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940" windowHeight="12405"/>
  </bookViews>
  <sheets>
    <sheet name="Каталог" sheetId="1" r:id="rId1"/>
    <sheet name="Сокращения" sheetId="4" r:id="rId2"/>
  </sheets>
  <calcPr calcId="145621"/>
</workbook>
</file>

<file path=xl/calcChain.xml><?xml version="1.0" encoding="utf-8"?>
<calcChain xmlns="http://schemas.openxmlformats.org/spreadsheetml/2006/main">
  <c r="A10" i="1" l="1"/>
  <c r="A11" i="1"/>
  <c r="A10292" i="1"/>
  <c r="A10291" i="1"/>
  <c r="A10290" i="1"/>
  <c r="A10289" i="1"/>
  <c r="A10288" i="1"/>
  <c r="A10287" i="1"/>
  <c r="A10286" i="1"/>
  <c r="A10285" i="1"/>
  <c r="A10284" i="1"/>
  <c r="A10282" i="1"/>
  <c r="A10281" i="1"/>
  <c r="A10280" i="1"/>
  <c r="A10278" i="1"/>
  <c r="A10277" i="1"/>
  <c r="A10276" i="1"/>
  <c r="A10275" i="1"/>
  <c r="A10274" i="1"/>
  <c r="A10273" i="1"/>
  <c r="A10272" i="1"/>
  <c r="A10271" i="1"/>
  <c r="A10270" i="1"/>
  <c r="A10268" i="1"/>
  <c r="A10267" i="1"/>
  <c r="A10266" i="1"/>
  <c r="A10265" i="1"/>
  <c r="A10264" i="1"/>
  <c r="A10263" i="1"/>
  <c r="A10261" i="1"/>
  <c r="A10260" i="1"/>
  <c r="A10259" i="1"/>
  <c r="A10258" i="1"/>
  <c r="A10256" i="1"/>
  <c r="A10255" i="1"/>
  <c r="A10254" i="1"/>
  <c r="A10253" i="1"/>
  <c r="A10252" i="1"/>
  <c r="A10251" i="1"/>
  <c r="A10250" i="1"/>
  <c r="A10249" i="1"/>
  <c r="A10248" i="1"/>
  <c r="A10246" i="1"/>
  <c r="A10245" i="1"/>
  <c r="A10244" i="1"/>
  <c r="A10243" i="1"/>
  <c r="A10242" i="1"/>
  <c r="A10241" i="1"/>
  <c r="A10240" i="1"/>
  <c r="A10239" i="1"/>
  <c r="A10237" i="1"/>
  <c r="A10236" i="1"/>
  <c r="A10235" i="1"/>
  <c r="A10234" i="1"/>
  <c r="A10233" i="1"/>
  <c r="A10232" i="1"/>
  <c r="A10231" i="1"/>
  <c r="A10230" i="1"/>
  <c r="A10228" i="1"/>
  <c r="A10227" i="1"/>
  <c r="A10226" i="1"/>
  <c r="A10225" i="1"/>
  <c r="A10224" i="1"/>
  <c r="A10223" i="1"/>
  <c r="A10222" i="1"/>
  <c r="A10221" i="1"/>
  <c r="A10219" i="1"/>
  <c r="A10218" i="1"/>
  <c r="A10217" i="1"/>
  <c r="A10216" i="1"/>
  <c r="A10215" i="1"/>
  <c r="A10214" i="1"/>
  <c r="A10213" i="1"/>
  <c r="A10212" i="1"/>
  <c r="A10211" i="1"/>
  <c r="A10210" i="1"/>
  <c r="A10209" i="1"/>
  <c r="A10208" i="1"/>
  <c r="A10206" i="1"/>
  <c r="A10205" i="1"/>
  <c r="A10204" i="1"/>
  <c r="A10203" i="1"/>
  <c r="A10202" i="1"/>
  <c r="A10201" i="1"/>
  <c r="A10200" i="1"/>
  <c r="A10199" i="1"/>
  <c r="A10198" i="1"/>
  <c r="A10197" i="1"/>
  <c r="A10196" i="1"/>
  <c r="A10195" i="1"/>
  <c r="A10194" i="1"/>
  <c r="A10193" i="1"/>
  <c r="A10192" i="1"/>
  <c r="A10191" i="1"/>
  <c r="A10189" i="1"/>
  <c r="A10188" i="1"/>
  <c r="A10187" i="1"/>
  <c r="A10186" i="1"/>
  <c r="A10185" i="1"/>
  <c r="A10184" i="1"/>
  <c r="A10183" i="1"/>
  <c r="A10182" i="1"/>
  <c r="A10181" i="1"/>
  <c r="A10180" i="1"/>
  <c r="A10179" i="1"/>
  <c r="A10178" i="1"/>
  <c r="A10177" i="1"/>
  <c r="A10176" i="1"/>
  <c r="A10174" i="1"/>
  <c r="A10172" i="1"/>
  <c r="A10171" i="1"/>
  <c r="A10170" i="1"/>
  <c r="A10169" i="1"/>
  <c r="A10167" i="1"/>
  <c r="A10166" i="1"/>
  <c r="A10164" i="1"/>
  <c r="A10163" i="1"/>
  <c r="A10162" i="1"/>
  <c r="A10161" i="1"/>
  <c r="A10160" i="1"/>
  <c r="A10159" i="1"/>
  <c r="A10158" i="1"/>
  <c r="A10157" i="1"/>
  <c r="A10156" i="1"/>
  <c r="A10154" i="1"/>
  <c r="A10153" i="1"/>
  <c r="A10152" i="1"/>
  <c r="A10151" i="1"/>
  <c r="A10150" i="1"/>
  <c r="A10149" i="1"/>
  <c r="A10148" i="1"/>
  <c r="A10146" i="1"/>
  <c r="A10145" i="1"/>
  <c r="A10144" i="1"/>
  <c r="A10143" i="1"/>
  <c r="A10142" i="1"/>
  <c r="A10141" i="1"/>
  <c r="A10140" i="1"/>
  <c r="A10139" i="1"/>
  <c r="A10138" i="1"/>
  <c r="A10137" i="1"/>
  <c r="A10136" i="1"/>
  <c r="A10134" i="1"/>
  <c r="A10132" i="1"/>
  <c r="A10131" i="1"/>
  <c r="A10129" i="1"/>
  <c r="A10128" i="1"/>
  <c r="A10127" i="1"/>
  <c r="A10126" i="1"/>
  <c r="A10125" i="1"/>
  <c r="A10124" i="1"/>
  <c r="A10123" i="1"/>
  <c r="A10122" i="1"/>
  <c r="A10121" i="1"/>
  <c r="A10120" i="1"/>
  <c r="A10118" i="1"/>
  <c r="A10117" i="1"/>
  <c r="A10116" i="1"/>
  <c r="A10115" i="1"/>
  <c r="A10114" i="1"/>
  <c r="A10113" i="1"/>
  <c r="A10112" i="1"/>
  <c r="A10111" i="1"/>
  <c r="A10110" i="1"/>
  <c r="A10109" i="1"/>
  <c r="A10107" i="1"/>
  <c r="A10106" i="1"/>
  <c r="A10105" i="1"/>
  <c r="A10104" i="1"/>
  <c r="A10103" i="1"/>
  <c r="A10102" i="1"/>
  <c r="A10101" i="1"/>
  <c r="A10100" i="1"/>
  <c r="A10097" i="1"/>
  <c r="A10096" i="1"/>
  <c r="A10095" i="1"/>
  <c r="A10094" i="1"/>
  <c r="A10093" i="1"/>
  <c r="A10092" i="1"/>
  <c r="A10090" i="1"/>
  <c r="A10089" i="1"/>
  <c r="A10088" i="1"/>
  <c r="A10087" i="1"/>
  <c r="A10086" i="1"/>
  <c r="A10085" i="1"/>
  <c r="A10084" i="1"/>
  <c r="A10083" i="1"/>
  <c r="A10082" i="1"/>
  <c r="A10081" i="1"/>
  <c r="A10080" i="1"/>
  <c r="A10079" i="1"/>
  <c r="A10078" i="1"/>
  <c r="A10077" i="1"/>
  <c r="A10076" i="1"/>
  <c r="A10074" i="1"/>
  <c r="A10073" i="1"/>
  <c r="A10072" i="1"/>
  <c r="A10071" i="1"/>
  <c r="A10070" i="1"/>
  <c r="A10069" i="1"/>
  <c r="A10068" i="1"/>
  <c r="A10067" i="1"/>
  <c r="A10066" i="1"/>
  <c r="A10065" i="1"/>
  <c r="A10064" i="1"/>
  <c r="A10063" i="1"/>
  <c r="A10062" i="1"/>
  <c r="A10061" i="1"/>
  <c r="A10060" i="1"/>
  <c r="A10059" i="1"/>
  <c r="A10058" i="1"/>
  <c r="A10057" i="1"/>
  <c r="A10056" i="1"/>
  <c r="A10055" i="1"/>
  <c r="A10054" i="1"/>
  <c r="A10053" i="1"/>
  <c r="A10052" i="1"/>
  <c r="A10051" i="1"/>
  <c r="A10049" i="1"/>
  <c r="A10048" i="1"/>
  <c r="A10047" i="1"/>
  <c r="A10046" i="1"/>
  <c r="A10045" i="1"/>
  <c r="A10044" i="1"/>
  <c r="A10043" i="1"/>
  <c r="A10042" i="1"/>
  <c r="A10041" i="1"/>
  <c r="A10040" i="1"/>
  <c r="A10039" i="1"/>
  <c r="A10038" i="1"/>
  <c r="A10037" i="1"/>
  <c r="A10036" i="1"/>
  <c r="A10035" i="1"/>
  <c r="A10034" i="1"/>
  <c r="A10033" i="1"/>
  <c r="A10032" i="1"/>
  <c r="A10031" i="1"/>
  <c r="A10030" i="1"/>
  <c r="A10029" i="1"/>
  <c r="A10028" i="1"/>
  <c r="A10027" i="1"/>
  <c r="A10026" i="1"/>
  <c r="A10025" i="1"/>
  <c r="A10024" i="1"/>
  <c r="A10023" i="1"/>
  <c r="A10022" i="1"/>
  <c r="A10021" i="1"/>
  <c r="A10020" i="1"/>
  <c r="A10019" i="1"/>
  <c r="A10018" i="1"/>
  <c r="A10017" i="1"/>
  <c r="A10016" i="1"/>
  <c r="A10015" i="1"/>
  <c r="A10014" i="1"/>
  <c r="A10013" i="1"/>
  <c r="A10012" i="1"/>
  <c r="A10011" i="1"/>
  <c r="A10010" i="1"/>
  <c r="A10009" i="1"/>
  <c r="A10008" i="1"/>
  <c r="A10007" i="1"/>
  <c r="A10006" i="1"/>
  <c r="A10005" i="1"/>
  <c r="A10004" i="1"/>
  <c r="A10003" i="1"/>
  <c r="A10002" i="1"/>
  <c r="A10001" i="1"/>
  <c r="A9999" i="1"/>
  <c r="A9998" i="1"/>
  <c r="A9997" i="1"/>
  <c r="A9996" i="1"/>
  <c r="A9995" i="1"/>
  <c r="A9994" i="1"/>
  <c r="A9993" i="1"/>
  <c r="A9992" i="1"/>
  <c r="A9991" i="1"/>
  <c r="A9990" i="1"/>
  <c r="A9989" i="1"/>
  <c r="A9988" i="1"/>
  <c r="A9986" i="1"/>
  <c r="A9985" i="1"/>
  <c r="A9984" i="1"/>
  <c r="A9983" i="1"/>
  <c r="A9982" i="1"/>
  <c r="A9981" i="1"/>
  <c r="A9980" i="1"/>
  <c r="A9979" i="1"/>
  <c r="A9978" i="1"/>
  <c r="A9977" i="1"/>
  <c r="A9976" i="1"/>
  <c r="A9975" i="1"/>
  <c r="A9974" i="1"/>
  <c r="A9973" i="1"/>
  <c r="A9972" i="1"/>
  <c r="A9971" i="1"/>
  <c r="A9970" i="1"/>
  <c r="A9969" i="1"/>
  <c r="A9968" i="1"/>
  <c r="A9967" i="1"/>
  <c r="A9966" i="1"/>
  <c r="A9965" i="1"/>
  <c r="A9963" i="1"/>
  <c r="A9962" i="1"/>
  <c r="A9961" i="1"/>
  <c r="A9960" i="1"/>
  <c r="A9959" i="1"/>
  <c r="A9958" i="1"/>
  <c r="A9957" i="1"/>
  <c r="A9956" i="1"/>
  <c r="A9955" i="1"/>
  <c r="A9954" i="1"/>
  <c r="A9953" i="1"/>
  <c r="A9951" i="1"/>
  <c r="A9950" i="1"/>
  <c r="A9948" i="1"/>
  <c r="A9947" i="1"/>
  <c r="A9946" i="1"/>
  <c r="A9945" i="1"/>
  <c r="A9944" i="1"/>
  <c r="A9942" i="1"/>
  <c r="A9941" i="1"/>
  <c r="A9940" i="1"/>
  <c r="A9939" i="1"/>
  <c r="A9938" i="1"/>
  <c r="A9937" i="1"/>
  <c r="A9936" i="1"/>
  <c r="A9935" i="1"/>
  <c r="A9934" i="1"/>
  <c r="A9933" i="1"/>
  <c r="A9932" i="1"/>
  <c r="A9931" i="1"/>
  <c r="A9930" i="1"/>
  <c r="A9929" i="1"/>
  <c r="A9928" i="1"/>
  <c r="A9927" i="1"/>
  <c r="A9925" i="1"/>
  <c r="A9924" i="1"/>
  <c r="A9923" i="1"/>
  <c r="A9921" i="1"/>
  <c r="A9920" i="1"/>
  <c r="A9919" i="1"/>
  <c r="A9918" i="1"/>
  <c r="A9917" i="1"/>
  <c r="A9915" i="1"/>
  <c r="A9914" i="1"/>
  <c r="A9913" i="1"/>
  <c r="A9912" i="1"/>
  <c r="A9911" i="1"/>
  <c r="A9910" i="1"/>
  <c r="A9909" i="1"/>
  <c r="A9908" i="1"/>
  <c r="A9907" i="1"/>
  <c r="A9906" i="1"/>
  <c r="A9905" i="1"/>
  <c r="A9904" i="1"/>
  <c r="A9903" i="1"/>
  <c r="A9902" i="1"/>
  <c r="A9901" i="1"/>
  <c r="A9900" i="1"/>
  <c r="A9898" i="1"/>
  <c r="A9897" i="1"/>
  <c r="A9896" i="1"/>
  <c r="A9894" i="1"/>
  <c r="A9893" i="1"/>
  <c r="A9892" i="1"/>
  <c r="A9891" i="1"/>
  <c r="A9890" i="1"/>
  <c r="A9889" i="1"/>
  <c r="A9888" i="1"/>
  <c r="A9887" i="1"/>
  <c r="A9886" i="1"/>
  <c r="A9885" i="1"/>
  <c r="A9884" i="1"/>
  <c r="A9883" i="1"/>
  <c r="A9882" i="1"/>
  <c r="A9881" i="1"/>
  <c r="A9880" i="1"/>
  <c r="A9879" i="1"/>
  <c r="A9878" i="1"/>
  <c r="A9876" i="1"/>
  <c r="A9875" i="1"/>
  <c r="A9874" i="1"/>
  <c r="A9873" i="1"/>
  <c r="A9872" i="1"/>
  <c r="A9871" i="1"/>
  <c r="A9869" i="1"/>
  <c r="A9868" i="1"/>
  <c r="A9867" i="1"/>
  <c r="A9866" i="1"/>
  <c r="A9865" i="1"/>
  <c r="A9864" i="1"/>
  <c r="A9863" i="1"/>
  <c r="A9862" i="1"/>
  <c r="A9861" i="1"/>
  <c r="A9860" i="1"/>
  <c r="A9859" i="1"/>
  <c r="A9858" i="1"/>
  <c r="A9857" i="1"/>
  <c r="A9856" i="1"/>
  <c r="A9855" i="1"/>
  <c r="A9854" i="1"/>
  <c r="A9853" i="1"/>
  <c r="A9852" i="1"/>
  <c r="A9851" i="1"/>
  <c r="A9850" i="1"/>
  <c r="A9849" i="1"/>
  <c r="A9848" i="1"/>
  <c r="A9847" i="1"/>
  <c r="A9845" i="1"/>
  <c r="A9844" i="1"/>
  <c r="A9843" i="1"/>
  <c r="A9842" i="1"/>
  <c r="A9841" i="1"/>
  <c r="A9840" i="1"/>
  <c r="A9839" i="1"/>
  <c r="A9838" i="1"/>
  <c r="A9837" i="1"/>
  <c r="A9836" i="1"/>
  <c r="A9835" i="1"/>
  <c r="A9834" i="1"/>
  <c r="A9833" i="1"/>
  <c r="A9832" i="1"/>
  <c r="A9831" i="1"/>
  <c r="A9830" i="1"/>
  <c r="A9829" i="1"/>
  <c r="A9828" i="1"/>
  <c r="A9827" i="1"/>
  <c r="A9826" i="1"/>
  <c r="A9824" i="1"/>
  <c r="A9823" i="1"/>
  <c r="A9822" i="1"/>
  <c r="A9821" i="1"/>
  <c r="A9819" i="1"/>
  <c r="A9818" i="1"/>
  <c r="A9817" i="1"/>
  <c r="A9816" i="1"/>
  <c r="A9815" i="1"/>
  <c r="A9814" i="1"/>
  <c r="A9813" i="1"/>
  <c r="A9812" i="1"/>
  <c r="A9811" i="1"/>
  <c r="A9810" i="1"/>
  <c r="A9809" i="1"/>
  <c r="A9808" i="1"/>
  <c r="A9807" i="1"/>
  <c r="A9806" i="1"/>
  <c r="A9805" i="1"/>
  <c r="A9804" i="1"/>
  <c r="A9803" i="1"/>
  <c r="A9802" i="1"/>
  <c r="A9801" i="1"/>
  <c r="A9800" i="1"/>
  <c r="A9799" i="1"/>
  <c r="A9798" i="1"/>
  <c r="A9797" i="1"/>
  <c r="A9796" i="1"/>
  <c r="A9795" i="1"/>
  <c r="A9794" i="1"/>
  <c r="A9793" i="1"/>
  <c r="A9792" i="1"/>
  <c r="A9791" i="1"/>
  <c r="A9790" i="1"/>
  <c r="A9788" i="1"/>
  <c r="A9787" i="1"/>
  <c r="A9786" i="1"/>
  <c r="A9785" i="1"/>
  <c r="A9784" i="1"/>
  <c r="A9783" i="1"/>
  <c r="A9782" i="1"/>
  <c r="A9781" i="1"/>
  <c r="A9780" i="1"/>
  <c r="A9779" i="1"/>
  <c r="A9778" i="1"/>
  <c r="A9777" i="1"/>
  <c r="A9776" i="1"/>
  <c r="A9775" i="1"/>
  <c r="A9774" i="1"/>
  <c r="A9773" i="1"/>
  <c r="A9772" i="1"/>
  <c r="A9771" i="1"/>
  <c r="A9770" i="1"/>
  <c r="A9768" i="1"/>
  <c r="A9767" i="1"/>
  <c r="A9766" i="1"/>
  <c r="A9765" i="1"/>
  <c r="A9764" i="1"/>
  <c r="A9763" i="1"/>
  <c r="A9762" i="1"/>
  <c r="A9761" i="1"/>
  <c r="A9760" i="1"/>
  <c r="A9759" i="1"/>
  <c r="A9758" i="1"/>
  <c r="A9757" i="1"/>
  <c r="A9756" i="1"/>
  <c r="A9755" i="1"/>
  <c r="A9754" i="1"/>
  <c r="A9753" i="1"/>
  <c r="A9752" i="1"/>
  <c r="A9751" i="1"/>
  <c r="A9750" i="1"/>
  <c r="A9749" i="1"/>
  <c r="A9748" i="1"/>
  <c r="A9747" i="1"/>
  <c r="A9746" i="1"/>
  <c r="A9745" i="1"/>
  <c r="A9744" i="1"/>
  <c r="A9743" i="1"/>
  <c r="A9742" i="1"/>
  <c r="A9740" i="1"/>
  <c r="A9739" i="1"/>
  <c r="A9738" i="1"/>
  <c r="A9737" i="1"/>
  <c r="A9736" i="1"/>
  <c r="A9735" i="1"/>
  <c r="A9733" i="1"/>
  <c r="A9732" i="1"/>
  <c r="A9730" i="1"/>
  <c r="A9729" i="1"/>
  <c r="A9728" i="1"/>
  <c r="A9727" i="1"/>
  <c r="A9726" i="1"/>
  <c r="A9724" i="1"/>
  <c r="A9723" i="1"/>
  <c r="A9722" i="1"/>
  <c r="A9721" i="1"/>
  <c r="A9720" i="1"/>
  <c r="A9719" i="1"/>
  <c r="A9717" i="1"/>
  <c r="A9716" i="1"/>
  <c r="A9715" i="1"/>
  <c r="A9714" i="1"/>
  <c r="A9712" i="1"/>
  <c r="A9711" i="1"/>
  <c r="A9710" i="1"/>
  <c r="A9709" i="1"/>
  <c r="A9708" i="1"/>
  <c r="A9707" i="1"/>
  <c r="A9706" i="1"/>
  <c r="A9705" i="1"/>
  <c r="A9703" i="1"/>
  <c r="A9702" i="1"/>
  <c r="A9701" i="1"/>
  <c r="A9700" i="1"/>
  <c r="A9699" i="1"/>
  <c r="A9697" i="1"/>
  <c r="A9696" i="1"/>
  <c r="A9694" i="1"/>
  <c r="A9693" i="1"/>
  <c r="A9692" i="1"/>
  <c r="A9691" i="1"/>
  <c r="A9690" i="1"/>
  <c r="A9689" i="1"/>
  <c r="A9688" i="1"/>
  <c r="A9687" i="1"/>
  <c r="A9686" i="1"/>
  <c r="A9685" i="1"/>
  <c r="A9683" i="1"/>
  <c r="A9682" i="1"/>
  <c r="A9681" i="1"/>
  <c r="A9680" i="1"/>
  <c r="A9679" i="1"/>
  <c r="A9678" i="1"/>
  <c r="A9677" i="1"/>
  <c r="A9676" i="1"/>
  <c r="A9674" i="1"/>
  <c r="A9673" i="1"/>
  <c r="A9672" i="1"/>
  <c r="A9671" i="1"/>
  <c r="A9670" i="1"/>
  <c r="A9669" i="1"/>
  <c r="A9668" i="1"/>
  <c r="A9667" i="1"/>
  <c r="A9666" i="1"/>
  <c r="A9665" i="1"/>
  <c r="A9664" i="1"/>
  <c r="A9663" i="1"/>
  <c r="A9662" i="1"/>
  <c r="A9661" i="1"/>
  <c r="A9659" i="1"/>
  <c r="A9658" i="1"/>
  <c r="A9657" i="1"/>
  <c r="A9656" i="1"/>
  <c r="A9655" i="1"/>
  <c r="A9654" i="1"/>
  <c r="A9653" i="1"/>
  <c r="A9652" i="1"/>
  <c r="A9651" i="1"/>
  <c r="A9650" i="1"/>
  <c r="A9649" i="1"/>
  <c r="A9648" i="1"/>
  <c r="A9647" i="1"/>
  <c r="A9646" i="1"/>
  <c r="A9645" i="1"/>
  <c r="A9644" i="1"/>
  <c r="A9643" i="1"/>
  <c r="A9642" i="1"/>
  <c r="A9641" i="1"/>
  <c r="A9639" i="1"/>
  <c r="A9638" i="1"/>
  <c r="A9637" i="1"/>
  <c r="A9636" i="1"/>
  <c r="A9635" i="1"/>
  <c r="A9634" i="1"/>
  <c r="A9633" i="1"/>
  <c r="A9632" i="1"/>
  <c r="A9631" i="1"/>
  <c r="A9630" i="1"/>
  <c r="A9629" i="1"/>
  <c r="A9628" i="1"/>
  <c r="A9627" i="1"/>
  <c r="A9626" i="1"/>
  <c r="A9625" i="1"/>
  <c r="A9624" i="1"/>
  <c r="A9623" i="1"/>
  <c r="A9622" i="1"/>
  <c r="A9621" i="1"/>
  <c r="A9620" i="1"/>
  <c r="A9619" i="1"/>
  <c r="A9618" i="1"/>
  <c r="A9617" i="1"/>
  <c r="A9616" i="1"/>
  <c r="A9615" i="1"/>
  <c r="A9614" i="1"/>
  <c r="A9613" i="1"/>
  <c r="A9612" i="1"/>
  <c r="A9611" i="1"/>
  <c r="A9610" i="1"/>
  <c r="A9609" i="1"/>
  <c r="A9608" i="1"/>
  <c r="A9607" i="1"/>
  <c r="A9606" i="1"/>
  <c r="A9605" i="1"/>
  <c r="A9604" i="1"/>
  <c r="A9603" i="1"/>
  <c r="A9601" i="1"/>
  <c r="A9600" i="1"/>
  <c r="A9599" i="1"/>
  <c r="A9598" i="1"/>
  <c r="A9597" i="1"/>
  <c r="A9596" i="1"/>
  <c r="A9595" i="1"/>
  <c r="A9594" i="1"/>
  <c r="A9593" i="1"/>
  <c r="A9592" i="1"/>
  <c r="A9591" i="1"/>
  <c r="A9590" i="1"/>
  <c r="A9589" i="1"/>
  <c r="A9588" i="1"/>
  <c r="A9587" i="1"/>
  <c r="A9586" i="1"/>
  <c r="A9585" i="1"/>
  <c r="A9584" i="1"/>
  <c r="A9583" i="1"/>
  <c r="A9582" i="1"/>
  <c r="A9581" i="1"/>
  <c r="A9580" i="1"/>
  <c r="A9579" i="1"/>
  <c r="A9578" i="1"/>
  <c r="A9577" i="1"/>
  <c r="A9576" i="1"/>
  <c r="A9575" i="1"/>
  <c r="A9574" i="1"/>
  <c r="A9573" i="1"/>
  <c r="A9572" i="1"/>
  <c r="A9571" i="1"/>
  <c r="A9570" i="1"/>
  <c r="A9569" i="1"/>
  <c r="A9568" i="1"/>
  <c r="A9567" i="1"/>
  <c r="A9566" i="1"/>
  <c r="A9565" i="1"/>
  <c r="A9564" i="1"/>
  <c r="A9563" i="1"/>
  <c r="A9562" i="1"/>
  <c r="A9561" i="1"/>
  <c r="A9560" i="1"/>
  <c r="A9559" i="1"/>
  <c r="A9558" i="1"/>
  <c r="A9557" i="1"/>
  <c r="A9555" i="1"/>
  <c r="A9554" i="1"/>
  <c r="A9553" i="1"/>
  <c r="A9551" i="1"/>
  <c r="A9550" i="1"/>
  <c r="A9549" i="1"/>
  <c r="A9548" i="1"/>
  <c r="A9547" i="1"/>
  <c r="A9546" i="1"/>
  <c r="A9545" i="1"/>
  <c r="A9544" i="1"/>
  <c r="A9543" i="1"/>
  <c r="A9542" i="1"/>
  <c r="A9541" i="1"/>
  <c r="A9540" i="1"/>
  <c r="A9539" i="1"/>
  <c r="A9538" i="1"/>
  <c r="A9537" i="1"/>
  <c r="A9536" i="1"/>
  <c r="A9535" i="1"/>
  <c r="A9534" i="1"/>
  <c r="A9533" i="1"/>
  <c r="A9532" i="1"/>
  <c r="A9531" i="1"/>
  <c r="A9530" i="1"/>
  <c r="A9529" i="1"/>
  <c r="A9528" i="1"/>
  <c r="A9527" i="1"/>
  <c r="A9526" i="1"/>
  <c r="A9525" i="1"/>
  <c r="A9524" i="1"/>
  <c r="A9523" i="1"/>
  <c r="A9522" i="1"/>
  <c r="A9521" i="1"/>
  <c r="A9520" i="1"/>
  <c r="A9519" i="1"/>
  <c r="A9518" i="1"/>
  <c r="A9517" i="1"/>
  <c r="A9516" i="1"/>
  <c r="A9515" i="1"/>
  <c r="A9514" i="1"/>
  <c r="A9513" i="1"/>
  <c r="A9511" i="1"/>
  <c r="A9510" i="1"/>
  <c r="A9509" i="1"/>
  <c r="A9508" i="1"/>
  <c r="A9507" i="1"/>
  <c r="A9506" i="1"/>
  <c r="A9504" i="1"/>
  <c r="A9503" i="1"/>
  <c r="A9501" i="1"/>
  <c r="A9500" i="1"/>
  <c r="A9499" i="1"/>
  <c r="A9497" i="1"/>
  <c r="A9496" i="1"/>
  <c r="A9494" i="1"/>
  <c r="A9493" i="1"/>
  <c r="A9492" i="1"/>
  <c r="A9491" i="1"/>
  <c r="A9490" i="1"/>
  <c r="A9489" i="1"/>
  <c r="A9488" i="1"/>
  <c r="A9487" i="1"/>
  <c r="A9486" i="1"/>
  <c r="A9485" i="1"/>
  <c r="A9484" i="1"/>
  <c r="A9483" i="1"/>
  <c r="A9482" i="1"/>
  <c r="A9481" i="1"/>
  <c r="A9480" i="1"/>
  <c r="A9479" i="1"/>
  <c r="A9478" i="1"/>
  <c r="A9477" i="1"/>
  <c r="A9476" i="1"/>
  <c r="A9475" i="1"/>
  <c r="A9474" i="1"/>
  <c r="A9473" i="1"/>
  <c r="A9472" i="1"/>
  <c r="A9471" i="1"/>
  <c r="A9470" i="1"/>
  <c r="A9469" i="1"/>
  <c r="A9468" i="1"/>
  <c r="A9467" i="1"/>
  <c r="A9465" i="1"/>
  <c r="A9464" i="1"/>
  <c r="A9463" i="1"/>
  <c r="A9462" i="1"/>
  <c r="A9461" i="1"/>
  <c r="A9460" i="1"/>
  <c r="A9459" i="1"/>
  <c r="A9457" i="1"/>
  <c r="A9456" i="1"/>
  <c r="A9455" i="1"/>
  <c r="A9454" i="1"/>
  <c r="A9452" i="1"/>
  <c r="A9451" i="1"/>
  <c r="A9449" i="1"/>
  <c r="A9448" i="1"/>
  <c r="A9446" i="1"/>
  <c r="A9443" i="1"/>
  <c r="A9442" i="1"/>
  <c r="A9440" i="1"/>
  <c r="A9439" i="1"/>
  <c r="A9438" i="1"/>
  <c r="A9437" i="1"/>
  <c r="A9436" i="1"/>
  <c r="A9435" i="1"/>
  <c r="A9434" i="1"/>
  <c r="A9433" i="1"/>
  <c r="A9432" i="1"/>
  <c r="A9431" i="1"/>
  <c r="A9429" i="1"/>
  <c r="A9428" i="1"/>
  <c r="A9427" i="1"/>
  <c r="A9426" i="1"/>
  <c r="A9425" i="1"/>
  <c r="A9424" i="1"/>
  <c r="A9423" i="1"/>
  <c r="A9422" i="1"/>
  <c r="A9421" i="1"/>
  <c r="A9420" i="1"/>
  <c r="A9419" i="1"/>
  <c r="A9418" i="1"/>
  <c r="A9417" i="1"/>
  <c r="A9416" i="1"/>
  <c r="A9414" i="1"/>
  <c r="A9413" i="1"/>
  <c r="A9412" i="1"/>
  <c r="A9411" i="1"/>
  <c r="A9410" i="1"/>
  <c r="A9409" i="1"/>
  <c r="A9408" i="1"/>
  <c r="A9407" i="1"/>
  <c r="A9406" i="1"/>
  <c r="A9405" i="1"/>
  <c r="A9404" i="1"/>
  <c r="A9403" i="1"/>
  <c r="A9402" i="1"/>
  <c r="A9401" i="1"/>
  <c r="A9400" i="1"/>
  <c r="A9399" i="1"/>
  <c r="A9398" i="1"/>
  <c r="A9396" i="1"/>
  <c r="A9394" i="1"/>
  <c r="A9392" i="1"/>
  <c r="A9391" i="1"/>
  <c r="A9390" i="1"/>
  <c r="A9389" i="1"/>
  <c r="A9388" i="1"/>
  <c r="A9387" i="1"/>
  <c r="A9386" i="1"/>
  <c r="A9385" i="1"/>
  <c r="A9384" i="1"/>
  <c r="A9382" i="1"/>
  <c r="A9381" i="1"/>
  <c r="A9380" i="1"/>
  <c r="A9379" i="1"/>
  <c r="A9378" i="1"/>
  <c r="A9376" i="1"/>
  <c r="A9375" i="1"/>
  <c r="A9374" i="1"/>
  <c r="A9373" i="1"/>
  <c r="A9372" i="1"/>
  <c r="A9370" i="1"/>
  <c r="A9368" i="1"/>
  <c r="A9367" i="1"/>
  <c r="A9366" i="1"/>
  <c r="A9365" i="1"/>
  <c r="A9364" i="1"/>
  <c r="A9363" i="1"/>
  <c r="A9362" i="1"/>
  <c r="A9361" i="1"/>
  <c r="A9360" i="1"/>
  <c r="A9359" i="1"/>
  <c r="A9358" i="1"/>
  <c r="A9357" i="1"/>
  <c r="A9356" i="1"/>
  <c r="A9354" i="1"/>
  <c r="A9353" i="1"/>
  <c r="A9352" i="1"/>
  <c r="A9351" i="1"/>
  <c r="A9350" i="1"/>
  <c r="A9349" i="1"/>
  <c r="A9348" i="1"/>
  <c r="A9347" i="1"/>
  <c r="A9346" i="1"/>
  <c r="A9345" i="1"/>
  <c r="A9344" i="1"/>
  <c r="A9343" i="1"/>
  <c r="A9342" i="1"/>
  <c r="A9341" i="1"/>
  <c r="A9340" i="1"/>
  <c r="A9339" i="1"/>
  <c r="A9338" i="1"/>
  <c r="A9337" i="1"/>
  <c r="A9335" i="1"/>
  <c r="A9334" i="1"/>
  <c r="A9333" i="1"/>
  <c r="A9332" i="1"/>
  <c r="A9331" i="1"/>
  <c r="A9330" i="1"/>
  <c r="A9329" i="1"/>
  <c r="A9328" i="1"/>
  <c r="A9327" i="1"/>
  <c r="A9326" i="1"/>
  <c r="A9325" i="1"/>
  <c r="A9324" i="1"/>
  <c r="A9323" i="1"/>
  <c r="A9322" i="1"/>
  <c r="A9321" i="1"/>
  <c r="A9319" i="1"/>
  <c r="A9318" i="1"/>
  <c r="A9317" i="1"/>
  <c r="A9316" i="1"/>
  <c r="A9315" i="1"/>
  <c r="A9314" i="1"/>
  <c r="A9312" i="1"/>
  <c r="A9311" i="1"/>
  <c r="A9309" i="1"/>
  <c r="A9308" i="1"/>
  <c r="A9306" i="1"/>
  <c r="A9305" i="1"/>
  <c r="A9304" i="1"/>
  <c r="A9303" i="1"/>
  <c r="A9302" i="1"/>
  <c r="A9301" i="1"/>
  <c r="A9299" i="1"/>
  <c r="A9298" i="1"/>
  <c r="A9297" i="1"/>
  <c r="A9296" i="1"/>
  <c r="A9295" i="1"/>
  <c r="A9293" i="1"/>
  <c r="A9292" i="1"/>
  <c r="A9291" i="1"/>
  <c r="A9289" i="1"/>
  <c r="A9288" i="1"/>
  <c r="A9287" i="1"/>
  <c r="A9285" i="1"/>
  <c r="A9284" i="1"/>
  <c r="A9282" i="1"/>
  <c r="A9280" i="1"/>
  <c r="A9278" i="1"/>
  <c r="A9277" i="1"/>
  <c r="A9275" i="1"/>
  <c r="A9273" i="1"/>
  <c r="A9272" i="1"/>
  <c r="A9270" i="1"/>
  <c r="A9268" i="1"/>
  <c r="A9267" i="1"/>
  <c r="A9266" i="1"/>
  <c r="A9265" i="1"/>
  <c r="A9264" i="1"/>
  <c r="A9262" i="1"/>
  <c r="A9261" i="1"/>
  <c r="A9260" i="1"/>
  <c r="A9259" i="1"/>
  <c r="A9257" i="1"/>
  <c r="A9256" i="1"/>
  <c r="A9255" i="1"/>
  <c r="A9254" i="1"/>
  <c r="A9253" i="1"/>
  <c r="A9252" i="1"/>
  <c r="A9251" i="1"/>
  <c r="A9250" i="1"/>
  <c r="A9249" i="1"/>
  <c r="A9248" i="1"/>
  <c r="A9247" i="1"/>
  <c r="A9246" i="1"/>
  <c r="A9245" i="1"/>
  <c r="A9244" i="1"/>
  <c r="A9242" i="1"/>
  <c r="A9241" i="1"/>
  <c r="A9240" i="1"/>
  <c r="A9239" i="1"/>
  <c r="A9238" i="1"/>
  <c r="A9237" i="1"/>
  <c r="A9236" i="1"/>
  <c r="A9235" i="1"/>
  <c r="A9234" i="1"/>
  <c r="A9233" i="1"/>
  <c r="A9232" i="1"/>
  <c r="A9230" i="1"/>
  <c r="A9229" i="1"/>
  <c r="A9228" i="1"/>
  <c r="A9227" i="1"/>
  <c r="A9226" i="1"/>
  <c r="A9225" i="1"/>
  <c r="A9224" i="1"/>
  <c r="A9223" i="1"/>
  <c r="A9222" i="1"/>
  <c r="A9221" i="1"/>
  <c r="A9219" i="1"/>
  <c r="A9218" i="1"/>
  <c r="A9217" i="1"/>
  <c r="A9216" i="1"/>
  <c r="A9215" i="1"/>
  <c r="A9214" i="1"/>
  <c r="A9212" i="1"/>
  <c r="A9211" i="1"/>
  <c r="A9209" i="1"/>
  <c r="A9208" i="1"/>
  <c r="A9206" i="1"/>
  <c r="A9205" i="1"/>
  <c r="A9203" i="1"/>
  <c r="A9201" i="1"/>
  <c r="A9200" i="1"/>
  <c r="A9198" i="1"/>
  <c r="A9197" i="1"/>
  <c r="A9196" i="1"/>
  <c r="A9195" i="1"/>
  <c r="A9194" i="1"/>
  <c r="A9193" i="1"/>
  <c r="A9191" i="1"/>
  <c r="A9189" i="1"/>
  <c r="A9187" i="1"/>
  <c r="A9185" i="1"/>
  <c r="A9184" i="1"/>
  <c r="A9183" i="1"/>
  <c r="A9182" i="1"/>
  <c r="A9181" i="1"/>
  <c r="A9180" i="1"/>
  <c r="A9179" i="1"/>
  <c r="A9178" i="1"/>
  <c r="A9177" i="1"/>
  <c r="A9176" i="1"/>
  <c r="A9175" i="1"/>
  <c r="A9174" i="1"/>
  <c r="A9173" i="1"/>
  <c r="A9171" i="1"/>
  <c r="A9170" i="1"/>
  <c r="A9169" i="1"/>
  <c r="A9168" i="1"/>
  <c r="A9167" i="1"/>
  <c r="A9166" i="1"/>
  <c r="A9165" i="1"/>
  <c r="A9163" i="1"/>
  <c r="A9162" i="1"/>
  <c r="A9161" i="1"/>
  <c r="A9160" i="1"/>
  <c r="A9158" i="1"/>
  <c r="A9156" i="1"/>
  <c r="A9155" i="1"/>
  <c r="A9154" i="1"/>
  <c r="A9152" i="1"/>
  <c r="A9151" i="1"/>
  <c r="A9150" i="1"/>
  <c r="A9149" i="1"/>
  <c r="A9148" i="1"/>
  <c r="A9147" i="1"/>
  <c r="A9145" i="1"/>
  <c r="A9144" i="1"/>
  <c r="A9143" i="1"/>
  <c r="A9142" i="1"/>
  <c r="A9141" i="1"/>
  <c r="A9140" i="1"/>
  <c r="A9138" i="1"/>
  <c r="A9137" i="1"/>
  <c r="A9136" i="1"/>
  <c r="A9135" i="1"/>
  <c r="A9134" i="1"/>
  <c r="A9133" i="1"/>
  <c r="A9132" i="1"/>
  <c r="A9131" i="1"/>
  <c r="A9130" i="1"/>
  <c r="A9129" i="1"/>
  <c r="A9128" i="1"/>
  <c r="A9127" i="1"/>
  <c r="A9126" i="1"/>
  <c r="A9125" i="1"/>
  <c r="A9124" i="1"/>
  <c r="A9123" i="1"/>
  <c r="A9122" i="1"/>
  <c r="A9121" i="1"/>
  <c r="A9120" i="1"/>
  <c r="A9119" i="1"/>
  <c r="A9118" i="1"/>
  <c r="A9117" i="1"/>
  <c r="A9116" i="1"/>
  <c r="A9115" i="1"/>
  <c r="A9114" i="1"/>
  <c r="A9113" i="1"/>
  <c r="A9112" i="1"/>
  <c r="A9111" i="1"/>
  <c r="A9110" i="1"/>
  <c r="A9109" i="1"/>
  <c r="A9107" i="1"/>
  <c r="A9106" i="1"/>
  <c r="A9105" i="1"/>
  <c r="A9104" i="1"/>
  <c r="A9103" i="1"/>
  <c r="A9102" i="1"/>
  <c r="A9101" i="1"/>
  <c r="A9100" i="1"/>
  <c r="A9099" i="1"/>
  <c r="A9098" i="1"/>
  <c r="A9097" i="1"/>
  <c r="A9096" i="1"/>
  <c r="A9095" i="1"/>
  <c r="A9094" i="1"/>
  <c r="A9093" i="1"/>
  <c r="A9092" i="1"/>
  <c r="A9090" i="1"/>
  <c r="A9089" i="1"/>
  <c r="A9088" i="1"/>
  <c r="A9087" i="1"/>
  <c r="A9086" i="1"/>
  <c r="A9085" i="1"/>
  <c r="A9084" i="1"/>
  <c r="A9082" i="1"/>
  <c r="A9081" i="1"/>
  <c r="A9080" i="1"/>
  <c r="A9079" i="1"/>
  <c r="A9078" i="1"/>
  <c r="A9077" i="1"/>
  <c r="A9076" i="1"/>
  <c r="A9075" i="1"/>
  <c r="A9074" i="1"/>
  <c r="A9073" i="1"/>
  <c r="A9072" i="1"/>
  <c r="A9071" i="1"/>
  <c r="A9070" i="1"/>
  <c r="A9069" i="1"/>
  <c r="A9068" i="1"/>
  <c r="A9067" i="1"/>
  <c r="A9066" i="1"/>
  <c r="A9065" i="1"/>
  <c r="A9064" i="1"/>
  <c r="A9063" i="1"/>
  <c r="A9061" i="1"/>
  <c r="A9060" i="1"/>
  <c r="A9059" i="1"/>
  <c r="A9058" i="1"/>
  <c r="A9057" i="1"/>
  <c r="A9056" i="1"/>
  <c r="A9055" i="1"/>
  <c r="A9054" i="1"/>
  <c r="A9053" i="1"/>
  <c r="A9051" i="1"/>
  <c r="A9050" i="1"/>
  <c r="A9049" i="1"/>
  <c r="A9048" i="1"/>
  <c r="A9047" i="1"/>
  <c r="A9046" i="1"/>
  <c r="A9045" i="1"/>
  <c r="A9044" i="1"/>
  <c r="A9043" i="1"/>
  <c r="A9042" i="1"/>
  <c r="A9041" i="1"/>
  <c r="A9040" i="1"/>
  <c r="A9039" i="1"/>
  <c r="A9038" i="1"/>
  <c r="A9037" i="1"/>
  <c r="A9036" i="1"/>
  <c r="A9035" i="1"/>
  <c r="A9034" i="1"/>
  <c r="A9032" i="1"/>
  <c r="A9030" i="1"/>
  <c r="A9029" i="1"/>
  <c r="A9028" i="1"/>
  <c r="A9026" i="1"/>
  <c r="A9025" i="1"/>
  <c r="A9024" i="1"/>
  <c r="A9023" i="1"/>
  <c r="A9022" i="1"/>
  <c r="A9021" i="1"/>
  <c r="A9020" i="1"/>
  <c r="A9018" i="1"/>
  <c r="A9016" i="1"/>
  <c r="A9015" i="1"/>
  <c r="A9014" i="1"/>
  <c r="A9012" i="1"/>
  <c r="A9011" i="1"/>
  <c r="A9010" i="1"/>
  <c r="A9008" i="1"/>
  <c r="A9007" i="1"/>
  <c r="A9006" i="1"/>
  <c r="A9005" i="1"/>
  <c r="A9004" i="1"/>
  <c r="A9002" i="1"/>
  <c r="A9001" i="1"/>
  <c r="A8999" i="1"/>
  <c r="A8997" i="1"/>
  <c r="A8996" i="1"/>
  <c r="A8995" i="1"/>
  <c r="A8994" i="1"/>
  <c r="A8993" i="1"/>
  <c r="A8992" i="1"/>
  <c r="A8991" i="1"/>
  <c r="A8990" i="1"/>
  <c r="A8989" i="1"/>
  <c r="A8988" i="1"/>
  <c r="A8987" i="1"/>
  <c r="A8986" i="1"/>
  <c r="A8985" i="1"/>
  <c r="A8984" i="1"/>
  <c r="A8983" i="1"/>
  <c r="A8982" i="1"/>
  <c r="A8981" i="1"/>
  <c r="A8980" i="1"/>
  <c r="A8979" i="1"/>
  <c r="A8978" i="1"/>
  <c r="A8977" i="1"/>
  <c r="A8976" i="1"/>
  <c r="A8975" i="1"/>
  <c r="A8974" i="1"/>
  <c r="A8972" i="1"/>
  <c r="A8971" i="1"/>
  <c r="A8970" i="1"/>
  <c r="A8969" i="1"/>
  <c r="A8968" i="1"/>
  <c r="A8967" i="1"/>
  <c r="A8966" i="1"/>
  <c r="A8965" i="1"/>
  <c r="A8964" i="1"/>
  <c r="A8963" i="1"/>
  <c r="A8962" i="1"/>
  <c r="A8961" i="1"/>
  <c r="A8959" i="1"/>
  <c r="A8957" i="1"/>
  <c r="A8956" i="1"/>
  <c r="A8955" i="1"/>
  <c r="A8954" i="1"/>
  <c r="A8953" i="1"/>
  <c r="A8952" i="1"/>
  <c r="A8951" i="1"/>
  <c r="A8950" i="1"/>
  <c r="A8948" i="1"/>
  <c r="A8947" i="1"/>
  <c r="A8946" i="1"/>
  <c r="A8945" i="1"/>
  <c r="A8944" i="1"/>
  <c r="A8943" i="1"/>
  <c r="A8942" i="1"/>
  <c r="A8941" i="1"/>
  <c r="A8940" i="1"/>
  <c r="A8939" i="1"/>
  <c r="A8938" i="1"/>
  <c r="A8937" i="1"/>
  <c r="A8935" i="1"/>
  <c r="A8934" i="1"/>
  <c r="A8933" i="1"/>
  <c r="A8932" i="1"/>
  <c r="A8931" i="1"/>
  <c r="A8929" i="1"/>
  <c r="A8928" i="1"/>
  <c r="A8927" i="1"/>
  <c r="A8926" i="1"/>
  <c r="A8925" i="1"/>
  <c r="A8924" i="1"/>
  <c r="A8922" i="1"/>
  <c r="A8921" i="1"/>
  <c r="A8920" i="1"/>
  <c r="A8919" i="1"/>
  <c r="A8918" i="1"/>
  <c r="A8917" i="1"/>
  <c r="A8916" i="1"/>
  <c r="A8915" i="1"/>
  <c r="A8914" i="1"/>
  <c r="A8913" i="1"/>
  <c r="A8912" i="1"/>
  <c r="A8910" i="1"/>
  <c r="A8909" i="1"/>
  <c r="A8908" i="1"/>
  <c r="A8907" i="1"/>
  <c r="A8906" i="1"/>
  <c r="A8904" i="1"/>
  <c r="A8903" i="1"/>
  <c r="A8902" i="1"/>
  <c r="A8901" i="1"/>
  <c r="A8900" i="1"/>
  <c r="A8899" i="1"/>
  <c r="A8898" i="1"/>
  <c r="A8897" i="1"/>
  <c r="A8896" i="1"/>
  <c r="A8895" i="1"/>
  <c r="A8893" i="1"/>
  <c r="A8892" i="1"/>
  <c r="A8891" i="1"/>
  <c r="A8890" i="1"/>
  <c r="A8889" i="1"/>
  <c r="A8888" i="1"/>
  <c r="A8887" i="1"/>
  <c r="A8886" i="1"/>
  <c r="A8885" i="1"/>
  <c r="A8884" i="1"/>
  <c r="A8882" i="1"/>
  <c r="A8881" i="1"/>
  <c r="A8880" i="1"/>
  <c r="A8879" i="1"/>
  <c r="A8878" i="1"/>
  <c r="A8877" i="1"/>
  <c r="A8876" i="1"/>
  <c r="A8875" i="1"/>
  <c r="A8874" i="1"/>
  <c r="A8873" i="1"/>
  <c r="A8872" i="1"/>
  <c r="A8871" i="1"/>
  <c r="A8870" i="1"/>
  <c r="A8869" i="1"/>
  <c r="A8868" i="1"/>
  <c r="A8867" i="1"/>
  <c r="A8866" i="1"/>
  <c r="A8865" i="1"/>
  <c r="A8864" i="1"/>
  <c r="A8863" i="1"/>
  <c r="A8862" i="1"/>
  <c r="A8861" i="1"/>
  <c r="A8860" i="1"/>
  <c r="A8859" i="1"/>
  <c r="A8858" i="1"/>
  <c r="A8857" i="1"/>
  <c r="A8856" i="1"/>
  <c r="A8855" i="1"/>
  <c r="A8854" i="1"/>
  <c r="A8853" i="1"/>
  <c r="A8852" i="1"/>
  <c r="A8851" i="1"/>
  <c r="A8850" i="1"/>
  <c r="A8849" i="1"/>
  <c r="A8848" i="1"/>
  <c r="A8846" i="1"/>
  <c r="A8845" i="1"/>
  <c r="A8844" i="1"/>
  <c r="A8842" i="1"/>
  <c r="A8841" i="1"/>
  <c r="A8840" i="1"/>
  <c r="A8839" i="1"/>
  <c r="A8838" i="1"/>
  <c r="A8837" i="1"/>
  <c r="A8836" i="1"/>
  <c r="A8835" i="1"/>
  <c r="A8834" i="1"/>
  <c r="A8833" i="1"/>
  <c r="A8832" i="1"/>
  <c r="A8831" i="1"/>
  <c r="A8830" i="1"/>
  <c r="A8829" i="1"/>
  <c r="A8828" i="1"/>
  <c r="A8826" i="1"/>
  <c r="A8825" i="1"/>
  <c r="A8824" i="1"/>
  <c r="A8823" i="1"/>
  <c r="A8822" i="1"/>
  <c r="A8821" i="1"/>
  <c r="A8820" i="1"/>
  <c r="A8819" i="1"/>
  <c r="A8818" i="1"/>
  <c r="A8817" i="1"/>
  <c r="A8816" i="1"/>
  <c r="A8815" i="1"/>
  <c r="A8814" i="1"/>
  <c r="A8813" i="1"/>
  <c r="A8812" i="1"/>
  <c r="A8811" i="1"/>
  <c r="A8810" i="1"/>
  <c r="A8807" i="1"/>
  <c r="A8806" i="1"/>
  <c r="A8805" i="1"/>
  <c r="A8804" i="1"/>
  <c r="A8803" i="1"/>
  <c r="A8802" i="1"/>
  <c r="A8801" i="1"/>
  <c r="A8800" i="1"/>
  <c r="A8799" i="1"/>
  <c r="A8798" i="1"/>
  <c r="A8797" i="1"/>
  <c r="A8796" i="1"/>
  <c r="A8795" i="1"/>
  <c r="A8794" i="1"/>
  <c r="A8793" i="1"/>
  <c r="A8792" i="1"/>
  <c r="A8791" i="1"/>
  <c r="A8790" i="1"/>
  <c r="A8789" i="1"/>
  <c r="A8788" i="1"/>
  <c r="A8787" i="1"/>
  <c r="A8785" i="1"/>
  <c r="A8784" i="1"/>
  <c r="A8783" i="1"/>
  <c r="A8782" i="1"/>
  <c r="A8780" i="1"/>
  <c r="A8779" i="1"/>
  <c r="A8778" i="1"/>
  <c r="A8777" i="1"/>
  <c r="A8776" i="1"/>
  <c r="A8775" i="1"/>
  <c r="A8774" i="1"/>
  <c r="A8773" i="1"/>
  <c r="A8772" i="1"/>
  <c r="A8771" i="1"/>
  <c r="A8770" i="1"/>
  <c r="A8769" i="1"/>
  <c r="A8767" i="1"/>
  <c r="A8766" i="1"/>
  <c r="A8765" i="1"/>
  <c r="A8764" i="1"/>
  <c r="A8763" i="1"/>
  <c r="A8762" i="1"/>
  <c r="A8761" i="1"/>
  <c r="A8760" i="1"/>
  <c r="A8759" i="1"/>
  <c r="A8758" i="1"/>
  <c r="A8757" i="1"/>
  <c r="A8756" i="1"/>
  <c r="A8755" i="1"/>
  <c r="A8754" i="1"/>
  <c r="A8753" i="1"/>
  <c r="A8752" i="1"/>
  <c r="A8751" i="1"/>
  <c r="A8749" i="1"/>
  <c r="A8748" i="1"/>
  <c r="A8747" i="1"/>
  <c r="A8746" i="1"/>
  <c r="A8744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19" i="1"/>
  <c r="A8718" i="1"/>
  <c r="A8717" i="1"/>
  <c r="A8716" i="1"/>
  <c r="A8715" i="1"/>
  <c r="A8714" i="1"/>
  <c r="A8713" i="1"/>
  <c r="A8712" i="1"/>
  <c r="A8711" i="1"/>
  <c r="A8709" i="1"/>
  <c r="A8708" i="1"/>
  <c r="A8707" i="1"/>
  <c r="A8706" i="1"/>
  <c r="A8705" i="1"/>
  <c r="A8704" i="1"/>
  <c r="A8703" i="1"/>
  <c r="A8702" i="1"/>
  <c r="A8700" i="1"/>
  <c r="A8699" i="1"/>
  <c r="A8698" i="1"/>
  <c r="A8697" i="1"/>
  <c r="A8696" i="1"/>
  <c r="A8695" i="1"/>
  <c r="A8694" i="1"/>
  <c r="A8693" i="1"/>
  <c r="A8692" i="1"/>
  <c r="A8691" i="1"/>
  <c r="A8690" i="1"/>
  <c r="A8688" i="1"/>
  <c r="A8687" i="1"/>
  <c r="A8686" i="1"/>
  <c r="A8685" i="1"/>
  <c r="A8684" i="1"/>
  <c r="A8683" i="1"/>
  <c r="A8682" i="1"/>
  <c r="A8680" i="1"/>
  <c r="A8679" i="1"/>
  <c r="A8678" i="1"/>
  <c r="A8677" i="1"/>
  <c r="A8676" i="1"/>
  <c r="A8675" i="1"/>
  <c r="A8674" i="1"/>
  <c r="A8673" i="1"/>
  <c r="A8671" i="1"/>
  <c r="A8670" i="1"/>
  <c r="A8669" i="1"/>
  <c r="A8668" i="1"/>
  <c r="A8667" i="1"/>
  <c r="A8666" i="1"/>
  <c r="A8665" i="1"/>
  <c r="A8664" i="1"/>
  <c r="A8663" i="1"/>
  <c r="A8662" i="1"/>
  <c r="A8661" i="1"/>
  <c r="A8660" i="1"/>
  <c r="A8658" i="1"/>
  <c r="A8657" i="1"/>
  <c r="A8656" i="1"/>
  <c r="A8654" i="1"/>
  <c r="A8653" i="1"/>
  <c r="A8651" i="1"/>
  <c r="A8650" i="1"/>
  <c r="A8649" i="1"/>
  <c r="A8648" i="1"/>
  <c r="A8647" i="1"/>
  <c r="A8645" i="1"/>
  <c r="A8644" i="1"/>
  <c r="A8643" i="1"/>
  <c r="A8642" i="1"/>
  <c r="A8641" i="1"/>
  <c r="A8640" i="1"/>
  <c r="A8639" i="1"/>
  <c r="A8638" i="1"/>
  <c r="A8637" i="1"/>
  <c r="A8636" i="1"/>
  <c r="A8635" i="1"/>
  <c r="A8634" i="1"/>
  <c r="A8633" i="1"/>
  <c r="A8631" i="1"/>
  <c r="A8630" i="1"/>
  <c r="A8629" i="1"/>
  <c r="A8628" i="1"/>
  <c r="A8627" i="1"/>
  <c r="A8625" i="1"/>
  <c r="A8624" i="1"/>
  <c r="A8623" i="1"/>
  <c r="A8622" i="1"/>
  <c r="A8621" i="1"/>
  <c r="A8619" i="1"/>
  <c r="A8618" i="1"/>
  <c r="A8617" i="1"/>
  <c r="A8616" i="1"/>
  <c r="A8614" i="1"/>
  <c r="A8613" i="1"/>
  <c r="A8612" i="1"/>
  <c r="A8611" i="1"/>
  <c r="A8610" i="1"/>
  <c r="A8609" i="1"/>
  <c r="A8608" i="1"/>
  <c r="A8607" i="1"/>
  <c r="A8606" i="1"/>
  <c r="A8605" i="1"/>
  <c r="A8604" i="1"/>
  <c r="A8603" i="1"/>
  <c r="A8602" i="1"/>
  <c r="A8600" i="1"/>
  <c r="A8599" i="1"/>
  <c r="A8598" i="1"/>
  <c r="A8596" i="1"/>
  <c r="A8595" i="1"/>
  <c r="A8593" i="1"/>
  <c r="A8592" i="1"/>
  <c r="A8591" i="1"/>
  <c r="A8590" i="1"/>
  <c r="A8589" i="1"/>
  <c r="A8588" i="1"/>
  <c r="A8587" i="1"/>
  <c r="A8584" i="1"/>
  <c r="A8582" i="1"/>
  <c r="A8581" i="1"/>
  <c r="A8580" i="1"/>
  <c r="A8578" i="1"/>
  <c r="A8577" i="1"/>
  <c r="A8576" i="1"/>
  <c r="A8575" i="1"/>
  <c r="A8574" i="1"/>
  <c r="A8572" i="1"/>
  <c r="A8571" i="1"/>
  <c r="A8570" i="1"/>
  <c r="A8569" i="1"/>
  <c r="A8568" i="1"/>
  <c r="A8567" i="1"/>
  <c r="A8566" i="1"/>
  <c r="A8565" i="1"/>
  <c r="A8563" i="1"/>
  <c r="A8562" i="1"/>
  <c r="A8561" i="1"/>
  <c r="A8560" i="1"/>
  <c r="A8558" i="1"/>
  <c r="A8557" i="1"/>
  <c r="A8556" i="1"/>
  <c r="A8555" i="1"/>
  <c r="A8554" i="1"/>
  <c r="A8553" i="1"/>
  <c r="A8552" i="1"/>
  <c r="A8551" i="1"/>
  <c r="A8550" i="1"/>
  <c r="A8549" i="1"/>
  <c r="A8547" i="1"/>
  <c r="A8546" i="1"/>
  <c r="A8545" i="1"/>
  <c r="A8544" i="1"/>
  <c r="A8543" i="1"/>
  <c r="A8541" i="1"/>
  <c r="A8540" i="1"/>
  <c r="A8539" i="1"/>
  <c r="A8538" i="1"/>
  <c r="A8537" i="1"/>
  <c r="A8536" i="1"/>
  <c r="A8535" i="1"/>
  <c r="A8534" i="1"/>
  <c r="A8532" i="1"/>
  <c r="A8531" i="1"/>
  <c r="A8530" i="1"/>
  <c r="A8529" i="1"/>
  <c r="A8528" i="1"/>
  <c r="A8527" i="1"/>
  <c r="A8526" i="1"/>
  <c r="A8525" i="1"/>
  <c r="A8524" i="1"/>
  <c r="A8523" i="1"/>
  <c r="A8522" i="1"/>
  <c r="A8520" i="1"/>
  <c r="A8519" i="1"/>
  <c r="A8518" i="1"/>
  <c r="A8516" i="1"/>
  <c r="A8515" i="1"/>
  <c r="A8513" i="1"/>
  <c r="A8512" i="1"/>
  <c r="A8511" i="1"/>
  <c r="A8510" i="1"/>
  <c r="A8509" i="1"/>
  <c r="A8508" i="1"/>
  <c r="A8507" i="1"/>
  <c r="A8506" i="1"/>
  <c r="A8504" i="1"/>
  <c r="A8503" i="1"/>
  <c r="A8502" i="1"/>
  <c r="A8500" i="1"/>
  <c r="A8499" i="1"/>
  <c r="A8498" i="1"/>
  <c r="A8497" i="1"/>
  <c r="A8496" i="1"/>
  <c r="A8495" i="1"/>
  <c r="A8493" i="1"/>
  <c r="A8492" i="1"/>
  <c r="A8491" i="1"/>
  <c r="A8490" i="1"/>
  <c r="A8489" i="1"/>
  <c r="A8488" i="1"/>
  <c r="A8487" i="1"/>
  <c r="A8486" i="1"/>
  <c r="A8484" i="1"/>
  <c r="A8483" i="1"/>
  <c r="A8481" i="1"/>
  <c r="A8480" i="1"/>
  <c r="A8479" i="1"/>
  <c r="A8478" i="1"/>
  <c r="A8477" i="1"/>
  <c r="A8475" i="1"/>
  <c r="A8474" i="1"/>
  <c r="A8473" i="1"/>
  <c r="A8472" i="1"/>
  <c r="A8471" i="1"/>
  <c r="A8470" i="1"/>
  <c r="A8468" i="1"/>
  <c r="A8466" i="1"/>
  <c r="A8463" i="1"/>
  <c r="A8462" i="1"/>
  <c r="A8461" i="1"/>
  <c r="A8460" i="1"/>
  <c r="A8459" i="1"/>
  <c r="A8458" i="1"/>
  <c r="A8457" i="1"/>
  <c r="A8456" i="1"/>
  <c r="A8455" i="1"/>
  <c r="A8453" i="1"/>
  <c r="A8452" i="1"/>
  <c r="A8451" i="1"/>
  <c r="A8450" i="1"/>
  <c r="A8449" i="1"/>
  <c r="A8448" i="1"/>
  <c r="A8447" i="1"/>
  <c r="A8446" i="1"/>
  <c r="A8445" i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5" i="1"/>
  <c r="A8424" i="1"/>
  <c r="A8423" i="1"/>
  <c r="A8422" i="1"/>
  <c r="A8421" i="1"/>
  <c r="A8420" i="1"/>
  <c r="A8419" i="1"/>
  <c r="A8417" i="1"/>
  <c r="A8416" i="1"/>
  <c r="A8415" i="1"/>
  <c r="A8414" i="1"/>
  <c r="A8413" i="1"/>
  <c r="A8412" i="1"/>
  <c r="A8411" i="1"/>
  <c r="A8410" i="1"/>
  <c r="A8408" i="1"/>
  <c r="A8407" i="1"/>
  <c r="A8406" i="1"/>
  <c r="A8404" i="1"/>
  <c r="A8401" i="1"/>
  <c r="A8400" i="1"/>
  <c r="A8399" i="1"/>
  <c r="A8397" i="1"/>
  <c r="A8396" i="1"/>
  <c r="A8395" i="1"/>
  <c r="A8394" i="1"/>
  <c r="A8393" i="1"/>
  <c r="A8391" i="1"/>
  <c r="A8390" i="1"/>
  <c r="A8389" i="1"/>
  <c r="A8388" i="1"/>
  <c r="A8387" i="1"/>
  <c r="A8386" i="1"/>
  <c r="A8385" i="1"/>
  <c r="A8384" i="1"/>
  <c r="A8383" i="1"/>
  <c r="A8382" i="1"/>
  <c r="A8381" i="1"/>
  <c r="A8380" i="1"/>
  <c r="A8379" i="1"/>
  <c r="A8378" i="1"/>
  <c r="A8376" i="1"/>
  <c r="A8375" i="1"/>
  <c r="A8374" i="1"/>
  <c r="A8373" i="1"/>
  <c r="A8372" i="1"/>
  <c r="A8371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2" i="1"/>
  <c r="A8331" i="1"/>
  <c r="A8330" i="1"/>
  <c r="A8329" i="1"/>
  <c r="A8328" i="1"/>
  <c r="A8327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5" i="1"/>
  <c r="A8294" i="1"/>
  <c r="A8293" i="1"/>
  <c r="A8292" i="1"/>
  <c r="A8291" i="1"/>
  <c r="A8290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0" i="1"/>
  <c r="A8259" i="1"/>
  <c r="A8257" i="1"/>
  <c r="A8256" i="1"/>
  <c r="A8255" i="1"/>
  <c r="A8254" i="1"/>
  <c r="A8253" i="1"/>
  <c r="A8252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2" i="1"/>
  <c r="A8211" i="1"/>
  <c r="A8210" i="1"/>
  <c r="A8209" i="1"/>
  <c r="A8208" i="1"/>
  <c r="A8207" i="1"/>
  <c r="A8206" i="1"/>
  <c r="A8205" i="1"/>
  <c r="A8204" i="1"/>
  <c r="A8203" i="1"/>
  <c r="A8202" i="1"/>
  <c r="A8201" i="1"/>
  <c r="A8200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69" i="1"/>
  <c r="A8168" i="1"/>
  <c r="A8167" i="1"/>
  <c r="A8166" i="1"/>
  <c r="A8165" i="1"/>
  <c r="A8164" i="1"/>
  <c r="A8163" i="1"/>
  <c r="A8162" i="1"/>
  <c r="A8161" i="1"/>
  <c r="A8160" i="1"/>
  <c r="A8159" i="1"/>
  <c r="A8157" i="1"/>
  <c r="A8156" i="1"/>
  <c r="A8155" i="1"/>
  <c r="A8154" i="1"/>
  <c r="A8153" i="1"/>
  <c r="A8152" i="1"/>
  <c r="A8151" i="1"/>
  <c r="A8150" i="1"/>
  <c r="A8149" i="1"/>
  <c r="A8148" i="1"/>
  <c r="A8147" i="1"/>
  <c r="A8146" i="1"/>
  <c r="A8144" i="1"/>
  <c r="A8143" i="1"/>
  <c r="A8141" i="1"/>
  <c r="A8140" i="1"/>
  <c r="A8139" i="1"/>
  <c r="A8138" i="1"/>
  <c r="A8137" i="1"/>
  <c r="A8136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8" i="1"/>
  <c r="A8117" i="1"/>
  <c r="A8116" i="1"/>
  <c r="A8115" i="1"/>
  <c r="A8114" i="1"/>
  <c r="A8113" i="1"/>
  <c r="A8112" i="1"/>
  <c r="A8111" i="1"/>
  <c r="A8110" i="1"/>
  <c r="A8108" i="1"/>
  <c r="A8107" i="1"/>
  <c r="A8106" i="1"/>
  <c r="A8105" i="1"/>
  <c r="A8104" i="1"/>
  <c r="A8103" i="1"/>
  <c r="A8102" i="1"/>
  <c r="A8101" i="1"/>
  <c r="A8100" i="1"/>
  <c r="A8099" i="1"/>
  <c r="A8098" i="1"/>
  <c r="A8097" i="1"/>
  <c r="A8096" i="1"/>
  <c r="A8094" i="1"/>
  <c r="A8093" i="1"/>
  <c r="A8092" i="1"/>
  <c r="A8091" i="1"/>
  <c r="A8090" i="1"/>
  <c r="A8089" i="1"/>
  <c r="A8088" i="1"/>
  <c r="A8087" i="1"/>
  <c r="A8085" i="1"/>
  <c r="A8084" i="1"/>
  <c r="A8083" i="1"/>
  <c r="A8082" i="1"/>
  <c r="A8080" i="1"/>
  <c r="A8079" i="1"/>
  <c r="A8078" i="1"/>
  <c r="A8077" i="1"/>
  <c r="A8075" i="1"/>
  <c r="A8074" i="1"/>
  <c r="A8073" i="1"/>
  <c r="A8072" i="1"/>
  <c r="A8071" i="1"/>
  <c r="A8070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5" i="1"/>
  <c r="A8054" i="1"/>
  <c r="A8053" i="1"/>
  <c r="A8052" i="1"/>
  <c r="A8051" i="1"/>
  <c r="A8050" i="1"/>
  <c r="A8048" i="1"/>
  <c r="A8046" i="1"/>
  <c r="A8045" i="1"/>
  <c r="A8043" i="1"/>
  <c r="A8042" i="1"/>
  <c r="A8041" i="1"/>
  <c r="A8040" i="1"/>
  <c r="A8039" i="1"/>
  <c r="A8038" i="1"/>
  <c r="A8035" i="1"/>
  <c r="A8034" i="1"/>
  <c r="A8033" i="1"/>
  <c r="A8032" i="1"/>
  <c r="A8031" i="1"/>
  <c r="A8030" i="1"/>
  <c r="A8029" i="1"/>
  <c r="A8028" i="1"/>
  <c r="A8027" i="1"/>
  <c r="A8025" i="1"/>
  <c r="A8024" i="1"/>
  <c r="A8022" i="1"/>
  <c r="A8021" i="1"/>
  <c r="A8019" i="1"/>
  <c r="A8017" i="1"/>
  <c r="A8016" i="1"/>
  <c r="A8014" i="1"/>
  <c r="A8013" i="1"/>
  <c r="A8012" i="1"/>
  <c r="A8011" i="1"/>
  <c r="A8010" i="1"/>
  <c r="A8009" i="1"/>
  <c r="A8008" i="1"/>
  <c r="A8007" i="1"/>
  <c r="A8005" i="1"/>
  <c r="A8004" i="1"/>
  <c r="A8003" i="1"/>
  <c r="A8002" i="1"/>
  <c r="A8001" i="1"/>
  <c r="A8000" i="1"/>
  <c r="A7999" i="1"/>
  <c r="A7997" i="1"/>
  <c r="A7995" i="1"/>
  <c r="A7992" i="1"/>
  <c r="A7990" i="1"/>
  <c r="A7988" i="1"/>
  <c r="A7987" i="1"/>
  <c r="A7985" i="1"/>
  <c r="A7983" i="1"/>
  <c r="A7982" i="1"/>
  <c r="A7980" i="1"/>
  <c r="A7979" i="1"/>
  <c r="A7978" i="1"/>
  <c r="A7977" i="1"/>
  <c r="A7976" i="1"/>
  <c r="A7975" i="1"/>
  <c r="A7974" i="1"/>
  <c r="A7973" i="1"/>
  <c r="A7971" i="1"/>
  <c r="A7970" i="1"/>
  <c r="A7968" i="1"/>
  <c r="A7967" i="1"/>
  <c r="A7965" i="1"/>
  <c r="A7964" i="1"/>
  <c r="A7963" i="1"/>
  <c r="A7962" i="1"/>
  <c r="A7961" i="1"/>
  <c r="A7960" i="1"/>
  <c r="A7959" i="1"/>
  <c r="A7958" i="1"/>
  <c r="A7957" i="1"/>
  <c r="A7955" i="1"/>
  <c r="A7954" i="1"/>
  <c r="A7953" i="1"/>
  <c r="A7952" i="1"/>
  <c r="A7951" i="1"/>
  <c r="A7950" i="1"/>
  <c r="A7949" i="1"/>
  <c r="A7948" i="1"/>
  <c r="A7947" i="1"/>
  <c r="A7946" i="1"/>
  <c r="A7945" i="1"/>
  <c r="A7943" i="1"/>
  <c r="A7942" i="1"/>
  <c r="A7941" i="1"/>
  <c r="A7940" i="1"/>
  <c r="A7939" i="1"/>
  <c r="A7938" i="1"/>
  <c r="A7937" i="1"/>
  <c r="A7936" i="1"/>
  <c r="A7934" i="1"/>
  <c r="A7933" i="1"/>
  <c r="A7932" i="1"/>
  <c r="A7931" i="1"/>
  <c r="A7930" i="1"/>
  <c r="A7929" i="1"/>
  <c r="A7928" i="1"/>
  <c r="A7927" i="1"/>
  <c r="A7926" i="1"/>
  <c r="A7925" i="1"/>
  <c r="A7924" i="1"/>
  <c r="A7922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5" i="1"/>
  <c r="A7904" i="1"/>
  <c r="A7903" i="1"/>
  <c r="A7902" i="1"/>
  <c r="A7901" i="1"/>
  <c r="A7899" i="1"/>
  <c r="A7898" i="1"/>
  <c r="A7897" i="1"/>
  <c r="A7896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81" i="1"/>
  <c r="A7880" i="1"/>
  <c r="A7878" i="1"/>
  <c r="A7877" i="1"/>
  <c r="A7875" i="1"/>
  <c r="A7873" i="1"/>
  <c r="A7872" i="1"/>
  <c r="A7871" i="1"/>
  <c r="A7870" i="1"/>
  <c r="A7868" i="1"/>
  <c r="A7867" i="1"/>
  <c r="A7865" i="1"/>
  <c r="A7863" i="1"/>
  <c r="A7862" i="1"/>
  <c r="A7861" i="1"/>
  <c r="A7860" i="1"/>
  <c r="A7859" i="1"/>
  <c r="A7858" i="1"/>
  <c r="A7857" i="1"/>
  <c r="A7856" i="1"/>
  <c r="A7855" i="1"/>
  <c r="A7854" i="1"/>
  <c r="A7853" i="1"/>
  <c r="A7852" i="1"/>
  <c r="A7850" i="1"/>
  <c r="A7849" i="1"/>
  <c r="A7847" i="1"/>
  <c r="A7846" i="1"/>
  <c r="A7845" i="1"/>
  <c r="A7844" i="1"/>
  <c r="A7843" i="1"/>
  <c r="A7842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3" i="1"/>
  <c r="A7812" i="1"/>
  <c r="A7811" i="1"/>
  <c r="A7810" i="1"/>
  <c r="A7809" i="1"/>
  <c r="A7808" i="1"/>
  <c r="A7807" i="1"/>
  <c r="A7806" i="1"/>
  <c r="A7804" i="1"/>
  <c r="A7803" i="1"/>
  <c r="A7802" i="1"/>
  <c r="A7801" i="1"/>
  <c r="A7800" i="1"/>
  <c r="A7799" i="1"/>
  <c r="A7798" i="1"/>
  <c r="A7797" i="1"/>
  <c r="A7796" i="1"/>
  <c r="A7794" i="1"/>
  <c r="A7793" i="1"/>
  <c r="A7792" i="1"/>
  <c r="A7791" i="1"/>
  <c r="A7790" i="1"/>
  <c r="A7789" i="1"/>
  <c r="A7788" i="1"/>
  <c r="A7787" i="1"/>
  <c r="A7786" i="1"/>
  <c r="A7785" i="1"/>
  <c r="A7784" i="1"/>
  <c r="A7783" i="1"/>
  <c r="A7782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5" i="1"/>
  <c r="A7733" i="1"/>
  <c r="A7732" i="1"/>
  <c r="A7731" i="1"/>
  <c r="A7730" i="1"/>
  <c r="A7729" i="1"/>
  <c r="A7728" i="1"/>
  <c r="A7727" i="1"/>
  <c r="A7725" i="1"/>
  <c r="A7723" i="1"/>
  <c r="A7722" i="1"/>
  <c r="A7721" i="1"/>
  <c r="A7720" i="1"/>
  <c r="A7719" i="1"/>
  <c r="A7718" i="1"/>
  <c r="A7717" i="1"/>
  <c r="A7715" i="1"/>
  <c r="A7714" i="1"/>
  <c r="A7713" i="1"/>
  <c r="A7712" i="1"/>
  <c r="A7711" i="1"/>
  <c r="A7710" i="1"/>
  <c r="A7709" i="1"/>
  <c r="A7708" i="1"/>
  <c r="A7706" i="1"/>
  <c r="A7705" i="1"/>
  <c r="A7704" i="1"/>
  <c r="A7703" i="1"/>
  <c r="A7702" i="1"/>
  <c r="A7701" i="1"/>
  <c r="A7700" i="1"/>
  <c r="A7699" i="1"/>
  <c r="A7698" i="1"/>
  <c r="A7697" i="1"/>
  <c r="A7696" i="1"/>
  <c r="A7695" i="1"/>
  <c r="A7694" i="1"/>
  <c r="A7693" i="1"/>
  <c r="A7692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1" i="1"/>
  <c r="A7660" i="1"/>
  <c r="A7659" i="1"/>
  <c r="A7658" i="1"/>
  <c r="A7657" i="1"/>
  <c r="A7656" i="1"/>
  <c r="A7655" i="1"/>
  <c r="A7654" i="1"/>
  <c r="A7653" i="1"/>
  <c r="A7652" i="1"/>
  <c r="A7650" i="1"/>
  <c r="A7649" i="1"/>
  <c r="A7648" i="1"/>
  <c r="A7647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6" i="1"/>
  <c r="A7605" i="1"/>
  <c r="A7604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1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3" i="1"/>
  <c r="A7561" i="1"/>
  <c r="A7560" i="1"/>
  <c r="A7559" i="1"/>
  <c r="A7558" i="1"/>
  <c r="A7557" i="1"/>
  <c r="A7556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499" i="1"/>
  <c r="A7498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0" i="1"/>
  <c r="A7479" i="1"/>
  <c r="A7477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1" i="1"/>
  <c r="A7430" i="1"/>
  <c r="A7429" i="1"/>
  <c r="A7428" i="1"/>
  <c r="A7427" i="1"/>
  <c r="A7426" i="1"/>
  <c r="A7425" i="1"/>
  <c r="A7424" i="1"/>
  <c r="A7423" i="1"/>
  <c r="A7422" i="1"/>
  <c r="A7421" i="1"/>
  <c r="A7419" i="1"/>
  <c r="A7418" i="1"/>
  <c r="A7417" i="1"/>
  <c r="A7416" i="1"/>
  <c r="A7414" i="1"/>
  <c r="A7413" i="1"/>
  <c r="A7412" i="1"/>
  <c r="A7411" i="1"/>
  <c r="A7410" i="1"/>
  <c r="A7409" i="1"/>
  <c r="A7408" i="1"/>
  <c r="A7407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9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29" i="1"/>
  <c r="A7328" i="1"/>
  <c r="A7327" i="1"/>
  <c r="A7326" i="1"/>
  <c r="A7325" i="1"/>
  <c r="A7324" i="1"/>
  <c r="A7321" i="1"/>
  <c r="A7319" i="1"/>
  <c r="A7317" i="1"/>
  <c r="A7316" i="1"/>
  <c r="A7315" i="1"/>
  <c r="A7314" i="1"/>
  <c r="A7311" i="1"/>
  <c r="A7310" i="1"/>
  <c r="A7309" i="1"/>
  <c r="A7308" i="1"/>
  <c r="A7306" i="1"/>
  <c r="A7305" i="1"/>
  <c r="A7304" i="1"/>
  <c r="A7303" i="1"/>
  <c r="A7302" i="1"/>
  <c r="A7301" i="1"/>
  <c r="A7299" i="1"/>
  <c r="A7297" i="1"/>
  <c r="A7296" i="1"/>
  <c r="A7295" i="1"/>
  <c r="A7293" i="1"/>
  <c r="A7292" i="1"/>
  <c r="A7290" i="1"/>
  <c r="A7287" i="1"/>
  <c r="A7285" i="1"/>
  <c r="A7282" i="1"/>
  <c r="A7281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1" i="1"/>
  <c r="A7210" i="1"/>
  <c r="A7209" i="1"/>
  <c r="A7208" i="1"/>
  <c r="A7207" i="1"/>
  <c r="A7206" i="1"/>
  <c r="A7204" i="1"/>
  <c r="A7203" i="1"/>
  <c r="A7202" i="1"/>
  <c r="A7201" i="1"/>
  <c r="A7200" i="1"/>
  <c r="A7199" i="1"/>
  <c r="A7198" i="1"/>
  <c r="A7197" i="1"/>
  <c r="A7196" i="1"/>
  <c r="A7195" i="1"/>
  <c r="A7193" i="1"/>
  <c r="A7191" i="1"/>
  <c r="A7190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69" i="1"/>
  <c r="A7168" i="1"/>
  <c r="A7167" i="1"/>
  <c r="A7166" i="1"/>
  <c r="A7165" i="1"/>
  <c r="A7164" i="1"/>
  <c r="A7163" i="1"/>
  <c r="A7162" i="1"/>
  <c r="A7161" i="1"/>
  <c r="A7160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5" i="1"/>
  <c r="A7144" i="1"/>
  <c r="A7143" i="1"/>
  <c r="A7142" i="1"/>
  <c r="A7141" i="1"/>
  <c r="A7140" i="1"/>
  <c r="A7139" i="1"/>
  <c r="A7138" i="1"/>
  <c r="A7137" i="1"/>
  <c r="A7135" i="1"/>
  <c r="A7133" i="1"/>
  <c r="A7132" i="1"/>
  <c r="A7130" i="1"/>
  <c r="A7128" i="1"/>
  <c r="A7127" i="1"/>
  <c r="A7126" i="1"/>
  <c r="A7125" i="1"/>
  <c r="A7124" i="1"/>
  <c r="A7122" i="1"/>
  <c r="A7121" i="1"/>
  <c r="A7120" i="1"/>
  <c r="A7119" i="1"/>
  <c r="A7118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8" i="1"/>
  <c r="A7097" i="1"/>
  <c r="A7096" i="1"/>
  <c r="A7095" i="1"/>
  <c r="A7094" i="1"/>
  <c r="A7093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4" i="1"/>
  <c r="A7023" i="1"/>
  <c r="A7022" i="1"/>
  <c r="A7021" i="1"/>
  <c r="A7020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2" i="1"/>
  <c r="A6991" i="1"/>
  <c r="A6990" i="1"/>
  <c r="A6989" i="1"/>
  <c r="A6988" i="1"/>
  <c r="A6987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8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2" i="1"/>
  <c r="A6920" i="1"/>
  <c r="A6918" i="1"/>
  <c r="A6917" i="1"/>
  <c r="A6916" i="1"/>
  <c r="A6915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899" i="1"/>
  <c r="A6898" i="1"/>
  <c r="A6897" i="1"/>
  <c r="A6896" i="1"/>
  <c r="A6895" i="1"/>
  <c r="A6894" i="1"/>
  <c r="A6893" i="1"/>
  <c r="A6892" i="1"/>
  <c r="A6891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6" i="1"/>
  <c r="A6845" i="1"/>
  <c r="A6844" i="1"/>
  <c r="A6843" i="1"/>
  <c r="A6842" i="1"/>
  <c r="A6841" i="1"/>
  <c r="A6840" i="1"/>
  <c r="A6839" i="1"/>
  <c r="A6838" i="1"/>
  <c r="A6837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4" i="1"/>
  <c r="A6791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4" i="1"/>
  <c r="A6643" i="1"/>
  <c r="A6641" i="1"/>
  <c r="A6640" i="1"/>
  <c r="A6639" i="1"/>
  <c r="A6638" i="1"/>
  <c r="A6637" i="1"/>
  <c r="A6636" i="1"/>
  <c r="A6634" i="1"/>
  <c r="A6633" i="1"/>
  <c r="A6632" i="1"/>
  <c r="A6631" i="1"/>
  <c r="A6630" i="1"/>
  <c r="A6629" i="1"/>
  <c r="A6628" i="1"/>
  <c r="A6627" i="1"/>
  <c r="A6625" i="1"/>
  <c r="A6623" i="1"/>
  <c r="A6621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1" i="1"/>
  <c r="A6600" i="1"/>
  <c r="A6599" i="1"/>
  <c r="A6598" i="1"/>
  <c r="A6597" i="1"/>
  <c r="A6596" i="1"/>
  <c r="A6595" i="1"/>
  <c r="A6594" i="1"/>
  <c r="A6593" i="1"/>
  <c r="A6592" i="1"/>
  <c r="A6591" i="1"/>
  <c r="A6589" i="1"/>
  <c r="A6588" i="1"/>
  <c r="A6586" i="1"/>
  <c r="A6585" i="1"/>
  <c r="A6584" i="1"/>
  <c r="A6583" i="1"/>
  <c r="A6582" i="1"/>
  <c r="A6581" i="1"/>
  <c r="A6580" i="1"/>
  <c r="A6578" i="1"/>
  <c r="A6577" i="1"/>
  <c r="A6575" i="1"/>
  <c r="A6574" i="1"/>
  <c r="A6573" i="1"/>
  <c r="A6572" i="1"/>
  <c r="A6571" i="1"/>
  <c r="A6570" i="1"/>
  <c r="A6569" i="1"/>
  <c r="A6568" i="1"/>
  <c r="A6567" i="1"/>
  <c r="A6566" i="1"/>
  <c r="A6565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5" i="1"/>
  <c r="A6514" i="1"/>
  <c r="A6513" i="1"/>
  <c r="A6512" i="1"/>
  <c r="A6510" i="1"/>
  <c r="A6509" i="1"/>
  <c r="A6508" i="1"/>
  <c r="A6507" i="1"/>
  <c r="A6506" i="1"/>
  <c r="A6504" i="1"/>
  <c r="A6503" i="1"/>
  <c r="A6502" i="1"/>
  <c r="A6501" i="1"/>
  <c r="A6500" i="1"/>
  <c r="A6499" i="1"/>
  <c r="A6498" i="1"/>
  <c r="A6496" i="1"/>
  <c r="A6495" i="1"/>
  <c r="A6494" i="1"/>
  <c r="A6493" i="1"/>
  <c r="A6492" i="1"/>
  <c r="A6491" i="1"/>
  <c r="A6490" i="1"/>
  <c r="A6489" i="1"/>
  <c r="A6488" i="1"/>
  <c r="A6487" i="1"/>
  <c r="A6486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8" i="1"/>
  <c r="A6397" i="1"/>
  <c r="A6396" i="1"/>
  <c r="A6395" i="1"/>
  <c r="A6394" i="1"/>
  <c r="A6392" i="1"/>
  <c r="A6390" i="1"/>
  <c r="A6389" i="1"/>
  <c r="A6388" i="1"/>
  <c r="A6387" i="1"/>
  <c r="A6385" i="1"/>
  <c r="A6383" i="1"/>
  <c r="A6381" i="1"/>
  <c r="A6380" i="1"/>
  <c r="A6379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3" i="1"/>
  <c r="A6352" i="1"/>
  <c r="A6351" i="1"/>
  <c r="A6350" i="1"/>
  <c r="A6349" i="1"/>
  <c r="A6348" i="1"/>
  <c r="A6346" i="1"/>
  <c r="A6345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2" i="1"/>
  <c r="A6311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6" i="1"/>
  <c r="A6275" i="1"/>
  <c r="A6274" i="1"/>
  <c r="A6273" i="1"/>
  <c r="A6272" i="1"/>
  <c r="A6271" i="1"/>
  <c r="A6270" i="1"/>
  <c r="A6269" i="1"/>
  <c r="A6268" i="1"/>
  <c r="A6267" i="1"/>
  <c r="A6266" i="1"/>
  <c r="A6264" i="1"/>
  <c r="A6263" i="1"/>
  <c r="A6261" i="1"/>
  <c r="A6260" i="1"/>
  <c r="A6259" i="1"/>
  <c r="A6257" i="1"/>
  <c r="A6256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6" i="1"/>
  <c r="A6215" i="1"/>
  <c r="A6214" i="1"/>
  <c r="A6213" i="1"/>
  <c r="A6212" i="1"/>
  <c r="A6211" i="1"/>
  <c r="A6210" i="1"/>
  <c r="A6209" i="1"/>
  <c r="A6208" i="1"/>
  <c r="A6207" i="1"/>
  <c r="A6205" i="1"/>
  <c r="A6203" i="1"/>
  <c r="A6201" i="1"/>
  <c r="A6200" i="1"/>
  <c r="A6199" i="1"/>
  <c r="A6198" i="1"/>
  <c r="A6196" i="1"/>
  <c r="A6195" i="1"/>
  <c r="A6193" i="1"/>
  <c r="A6192" i="1"/>
  <c r="A6191" i="1"/>
  <c r="A6190" i="1"/>
  <c r="A6189" i="1"/>
  <c r="A6188" i="1"/>
  <c r="A6187" i="1"/>
  <c r="A6186" i="1"/>
  <c r="A6185" i="1"/>
  <c r="A6183" i="1"/>
  <c r="A6182" i="1"/>
  <c r="A6181" i="1"/>
  <c r="A6180" i="1"/>
  <c r="A6179" i="1"/>
  <c r="A6178" i="1"/>
  <c r="A6177" i="1"/>
  <c r="A6176" i="1"/>
  <c r="A6175" i="1"/>
  <c r="A6174" i="1"/>
  <c r="A6173" i="1"/>
  <c r="A6171" i="1"/>
  <c r="A6170" i="1"/>
  <c r="A6169" i="1"/>
  <c r="A6168" i="1"/>
  <c r="A6167" i="1"/>
  <c r="A6166" i="1"/>
  <c r="A6165" i="1"/>
  <c r="A6164" i="1"/>
  <c r="A6163" i="1"/>
  <c r="A6161" i="1"/>
  <c r="A6159" i="1"/>
  <c r="A6157" i="1"/>
  <c r="A6156" i="1"/>
  <c r="A6155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39" i="1"/>
  <c r="A6138" i="1"/>
  <c r="A6137" i="1"/>
  <c r="A6136" i="1"/>
  <c r="A6135" i="1"/>
  <c r="A6134" i="1"/>
  <c r="A6133" i="1"/>
  <c r="A6132" i="1"/>
  <c r="A6131" i="1"/>
  <c r="A6130" i="1"/>
  <c r="A6128" i="1"/>
  <c r="A6127" i="1"/>
  <c r="A6125" i="1"/>
  <c r="A6123" i="1"/>
  <c r="A6121" i="1"/>
  <c r="A6120" i="1"/>
  <c r="A6119" i="1"/>
  <c r="A6118" i="1"/>
  <c r="A6117" i="1"/>
  <c r="A6116" i="1"/>
  <c r="A6115" i="1"/>
  <c r="A6114" i="1"/>
  <c r="A6113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1" i="1"/>
  <c r="A6050" i="1"/>
  <c r="A6049" i="1"/>
  <c r="A6048" i="1"/>
  <c r="A6047" i="1"/>
  <c r="A6046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8" i="1"/>
  <c r="A6027" i="1"/>
  <c r="A6026" i="1"/>
  <c r="A6025" i="1"/>
  <c r="A6024" i="1"/>
  <c r="A6023" i="1"/>
  <c r="A6021" i="1"/>
  <c r="A6020" i="1"/>
  <c r="A6018" i="1"/>
  <c r="A6016" i="1"/>
  <c r="A6015" i="1"/>
  <c r="A6014" i="1"/>
  <c r="A6013" i="1"/>
  <c r="A6012" i="1"/>
  <c r="A6011" i="1"/>
  <c r="A6010" i="1"/>
  <c r="A6009" i="1"/>
  <c r="A6007" i="1"/>
  <c r="A6006" i="1"/>
  <c r="A6005" i="1"/>
  <c r="A6004" i="1"/>
  <c r="A6003" i="1"/>
  <c r="A6002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6" i="1"/>
  <c r="A5985" i="1"/>
  <c r="A5984" i="1"/>
  <c r="A5983" i="1"/>
  <c r="A5982" i="1"/>
  <c r="A5981" i="1"/>
  <c r="A5980" i="1"/>
  <c r="A5979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3" i="1"/>
  <c r="A5961" i="1"/>
  <c r="A5960" i="1"/>
  <c r="A5959" i="1"/>
  <c r="A5958" i="1"/>
  <c r="A5956" i="1"/>
  <c r="A5955" i="1"/>
  <c r="A5953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09" i="1"/>
  <c r="A5908" i="1"/>
  <c r="A5907" i="1"/>
  <c r="A5906" i="1"/>
  <c r="A5905" i="1"/>
  <c r="A5904" i="1"/>
  <c r="A5903" i="1"/>
  <c r="A5902" i="1"/>
  <c r="A5900" i="1"/>
  <c r="A5899" i="1"/>
  <c r="A5898" i="1"/>
  <c r="A5897" i="1"/>
  <c r="A5896" i="1"/>
  <c r="A5895" i="1"/>
  <c r="A5894" i="1"/>
  <c r="A5893" i="1"/>
  <c r="A5891" i="1"/>
  <c r="A5890" i="1"/>
  <c r="A5889" i="1"/>
  <c r="A5888" i="1"/>
  <c r="A5887" i="1"/>
  <c r="A5886" i="1"/>
  <c r="A5885" i="1"/>
  <c r="A5884" i="1"/>
  <c r="A5883" i="1"/>
  <c r="A5881" i="1"/>
  <c r="A5880" i="1"/>
  <c r="A5879" i="1"/>
  <c r="A5878" i="1"/>
  <c r="A5877" i="1"/>
  <c r="A5876" i="1"/>
  <c r="A5874" i="1"/>
  <c r="A5872" i="1"/>
  <c r="A5871" i="1"/>
  <c r="A5870" i="1"/>
  <c r="A5869" i="1"/>
  <c r="A5868" i="1"/>
  <c r="A5867" i="1"/>
  <c r="A5866" i="1"/>
  <c r="A5865" i="1"/>
  <c r="A5864" i="1"/>
  <c r="A5862" i="1"/>
  <c r="A5861" i="1"/>
  <c r="A5860" i="1"/>
  <c r="A5859" i="1"/>
  <c r="A5858" i="1"/>
  <c r="A5857" i="1"/>
  <c r="A5856" i="1"/>
  <c r="A5854" i="1"/>
  <c r="A5853" i="1"/>
  <c r="A5852" i="1"/>
  <c r="A5851" i="1"/>
  <c r="A5850" i="1"/>
  <c r="A5849" i="1"/>
  <c r="A5848" i="1"/>
  <c r="A5846" i="1"/>
  <c r="A5844" i="1"/>
  <c r="A5842" i="1"/>
  <c r="A5840" i="1"/>
  <c r="A5838" i="1"/>
  <c r="A5837" i="1"/>
  <c r="A5836" i="1"/>
  <c r="A5835" i="1"/>
  <c r="A5834" i="1"/>
  <c r="A5833" i="1"/>
  <c r="A5832" i="1"/>
  <c r="A5830" i="1"/>
  <c r="A5829" i="1"/>
  <c r="A5828" i="1"/>
  <c r="A5827" i="1"/>
  <c r="A5826" i="1"/>
  <c r="A5825" i="1"/>
  <c r="A5824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8" i="1"/>
  <c r="A5807" i="1"/>
  <c r="A5806" i="1"/>
  <c r="A5805" i="1"/>
  <c r="A5804" i="1"/>
  <c r="A5803" i="1"/>
  <c r="A5802" i="1"/>
  <c r="A5801" i="1"/>
  <c r="A5800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2" i="1"/>
  <c r="A5780" i="1"/>
  <c r="A5778" i="1"/>
  <c r="A5777" i="1"/>
  <c r="A5774" i="1"/>
  <c r="A5772" i="1"/>
  <c r="A5769" i="1"/>
  <c r="A5768" i="1"/>
  <c r="A5767" i="1"/>
  <c r="A5766" i="1"/>
  <c r="A5765" i="1"/>
  <c r="A5764" i="1"/>
  <c r="A5762" i="1"/>
  <c r="A5761" i="1"/>
  <c r="A5760" i="1"/>
  <c r="A5759" i="1"/>
  <c r="A5758" i="1"/>
  <c r="A5757" i="1"/>
  <c r="A5756" i="1"/>
  <c r="A5754" i="1"/>
  <c r="A5753" i="1"/>
  <c r="A5751" i="1"/>
  <c r="A5750" i="1"/>
  <c r="A5749" i="1"/>
  <c r="A5748" i="1"/>
  <c r="A5747" i="1"/>
  <c r="A5746" i="1"/>
  <c r="A5745" i="1"/>
  <c r="A5744" i="1"/>
  <c r="A5743" i="1"/>
  <c r="A5742" i="1"/>
  <c r="A5740" i="1"/>
  <c r="A5738" i="1"/>
  <c r="A5737" i="1"/>
  <c r="A5736" i="1"/>
  <c r="A5734" i="1"/>
  <c r="A5733" i="1"/>
  <c r="A5732" i="1"/>
  <c r="A5731" i="1"/>
  <c r="A5730" i="1"/>
  <c r="A5729" i="1"/>
  <c r="A5728" i="1"/>
  <c r="A5727" i="1"/>
  <c r="A5726" i="1"/>
  <c r="A5724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79" i="1"/>
  <c r="A5678" i="1"/>
  <c r="A5677" i="1"/>
  <c r="A5676" i="1"/>
  <c r="A5675" i="1"/>
  <c r="A5674" i="1"/>
  <c r="A5673" i="1"/>
  <c r="A5672" i="1"/>
  <c r="A5671" i="1"/>
  <c r="A5670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0" i="1"/>
  <c r="A5649" i="1"/>
  <c r="A5648" i="1"/>
  <c r="A5647" i="1"/>
  <c r="A5646" i="1"/>
  <c r="A5645" i="1"/>
  <c r="A5644" i="1"/>
  <c r="A5643" i="1"/>
  <c r="A5642" i="1"/>
  <c r="A5641" i="1"/>
  <c r="A5639" i="1"/>
  <c r="A5638" i="1"/>
  <c r="A5637" i="1"/>
  <c r="A5636" i="1"/>
  <c r="A5635" i="1"/>
  <c r="A5634" i="1"/>
  <c r="A5633" i="1"/>
  <c r="A5631" i="1"/>
  <c r="A5630" i="1"/>
  <c r="A5629" i="1"/>
  <c r="A5628" i="1"/>
  <c r="A5627" i="1"/>
  <c r="A5626" i="1"/>
  <c r="A5625" i="1"/>
  <c r="A5624" i="1"/>
  <c r="A5623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7" i="1"/>
  <c r="A5606" i="1"/>
  <c r="A5605" i="1"/>
  <c r="A5604" i="1"/>
  <c r="A5603" i="1"/>
  <c r="A5602" i="1"/>
  <c r="A5601" i="1"/>
  <c r="A5600" i="1"/>
  <c r="A5599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8" i="1"/>
  <c r="A5567" i="1"/>
  <c r="A5566" i="1"/>
  <c r="A5565" i="1"/>
  <c r="A5564" i="1"/>
  <c r="A5563" i="1"/>
  <c r="A5561" i="1"/>
  <c r="A5560" i="1"/>
  <c r="A5559" i="1"/>
  <c r="A5558" i="1"/>
  <c r="A5557" i="1"/>
  <c r="A5556" i="1"/>
  <c r="A5555" i="1"/>
  <c r="A5554" i="1"/>
  <c r="A5553" i="1"/>
  <c r="A5552" i="1"/>
  <c r="A5551" i="1"/>
  <c r="A5549" i="1"/>
  <c r="A5548" i="1"/>
  <c r="A5547" i="1"/>
  <c r="A5545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1" i="1"/>
  <c r="A5520" i="1"/>
  <c r="A5519" i="1"/>
  <c r="A5518" i="1"/>
  <c r="A5517" i="1"/>
  <c r="A5515" i="1"/>
  <c r="A5514" i="1"/>
  <c r="A5513" i="1"/>
  <c r="A5512" i="1"/>
  <c r="A5511" i="1"/>
  <c r="A5510" i="1"/>
  <c r="A5509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2" i="1"/>
  <c r="A5491" i="1"/>
  <c r="A5490" i="1"/>
  <c r="A5489" i="1"/>
  <c r="A5488" i="1"/>
  <c r="A5487" i="1"/>
  <c r="A5486" i="1"/>
  <c r="A5484" i="1"/>
  <c r="A5483" i="1"/>
  <c r="A5482" i="1"/>
  <c r="A5481" i="1"/>
  <c r="A5480" i="1"/>
  <c r="A5478" i="1"/>
  <c r="A5477" i="1"/>
  <c r="A5476" i="1"/>
  <c r="A5475" i="1"/>
  <c r="A5474" i="1"/>
  <c r="A5473" i="1"/>
  <c r="A5472" i="1"/>
  <c r="A5471" i="1"/>
  <c r="A5470" i="1"/>
  <c r="A5468" i="1"/>
  <c r="A5467" i="1"/>
  <c r="A5465" i="1"/>
  <c r="A5463" i="1"/>
  <c r="A5461" i="1"/>
  <c r="A5460" i="1"/>
  <c r="A5459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7" i="1"/>
  <c r="A5426" i="1"/>
  <c r="A5425" i="1"/>
  <c r="A5424" i="1"/>
  <c r="A5423" i="1"/>
  <c r="A5422" i="1"/>
  <c r="A5421" i="1"/>
  <c r="A5420" i="1"/>
  <c r="A5419" i="1"/>
  <c r="A5418" i="1"/>
  <c r="A5416" i="1"/>
  <c r="A5415" i="1"/>
  <c r="A5414" i="1"/>
  <c r="A5413" i="1"/>
  <c r="A5412" i="1"/>
  <c r="A5411" i="1"/>
  <c r="A5410" i="1"/>
  <c r="A5409" i="1"/>
  <c r="A5407" i="1"/>
  <c r="A5406" i="1"/>
  <c r="A5405" i="1"/>
  <c r="A5404" i="1"/>
  <c r="A5403" i="1"/>
  <c r="A5401" i="1"/>
  <c r="A5400" i="1"/>
  <c r="A5399" i="1"/>
  <c r="A5398" i="1"/>
  <c r="A5397" i="1"/>
  <c r="A5396" i="1"/>
  <c r="A5395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5" i="1"/>
  <c r="A5373" i="1"/>
  <c r="A5372" i="1"/>
  <c r="A5370" i="1"/>
  <c r="A5369" i="1"/>
  <c r="A5366" i="1"/>
  <c r="A5365" i="1"/>
  <c r="A5364" i="1"/>
  <c r="A5363" i="1"/>
  <c r="A5362" i="1"/>
  <c r="A5361" i="1"/>
  <c r="A5360" i="1"/>
  <c r="A5359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3" i="1"/>
  <c r="A5302" i="1"/>
  <c r="A5301" i="1"/>
  <c r="A5300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7" i="1"/>
  <c r="A5236" i="1"/>
  <c r="A5234" i="1"/>
  <c r="A5233" i="1"/>
  <c r="A5232" i="1"/>
  <c r="A5231" i="1"/>
  <c r="A5229" i="1"/>
  <c r="A5228" i="1"/>
  <c r="A5227" i="1"/>
  <c r="A5226" i="1"/>
  <c r="A5225" i="1"/>
  <c r="A5224" i="1"/>
  <c r="A5223" i="1"/>
  <c r="A5222" i="1"/>
  <c r="A5221" i="1"/>
  <c r="A5220" i="1"/>
  <c r="A5219" i="1"/>
  <c r="A5217" i="1"/>
  <c r="A5216" i="1"/>
  <c r="A5215" i="1"/>
  <c r="A5214" i="1"/>
  <c r="A5213" i="1"/>
  <c r="A5212" i="1"/>
  <c r="A5211" i="1"/>
  <c r="A5210" i="1"/>
  <c r="A5209" i="1"/>
  <c r="A5207" i="1"/>
  <c r="A5206" i="1"/>
  <c r="A5205" i="1"/>
  <c r="A5204" i="1"/>
  <c r="A5202" i="1"/>
  <c r="A5201" i="1"/>
  <c r="A5200" i="1"/>
  <c r="A5198" i="1"/>
  <c r="A5196" i="1"/>
  <c r="A5195" i="1"/>
  <c r="A5193" i="1"/>
  <c r="A5192" i="1"/>
  <c r="A5190" i="1"/>
  <c r="A5189" i="1"/>
  <c r="A5188" i="1"/>
  <c r="A5187" i="1"/>
  <c r="A5186" i="1"/>
  <c r="A5185" i="1"/>
  <c r="A5183" i="1"/>
  <c r="A5182" i="1"/>
  <c r="A5181" i="1"/>
  <c r="A5180" i="1"/>
  <c r="A5179" i="1"/>
  <c r="A5177" i="1"/>
  <c r="A5176" i="1"/>
  <c r="A5175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4" i="1"/>
  <c r="A5143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6" i="1"/>
  <c r="A5125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6" i="1"/>
  <c r="A5085" i="1"/>
  <c r="A5084" i="1"/>
  <c r="A5083" i="1"/>
  <c r="A5082" i="1"/>
  <c r="A5081" i="1"/>
  <c r="A5080" i="1"/>
  <c r="A5079" i="1"/>
  <c r="A5078" i="1"/>
  <c r="A5077" i="1"/>
  <c r="A5076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5" i="1"/>
  <c r="A5034" i="1"/>
  <c r="A5033" i="1"/>
  <c r="A5032" i="1"/>
  <c r="A5031" i="1"/>
  <c r="A5030" i="1"/>
  <c r="A5029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0" i="1"/>
  <c r="A4919" i="1"/>
  <c r="A4918" i="1"/>
  <c r="A4916" i="1"/>
  <c r="A4915" i="1"/>
  <c r="A4914" i="1"/>
  <c r="A4913" i="1"/>
  <c r="A4912" i="1"/>
  <c r="A4910" i="1"/>
  <c r="A4909" i="1"/>
  <c r="A4908" i="1"/>
  <c r="A4907" i="1"/>
  <c r="A4906" i="1"/>
  <c r="A4905" i="1"/>
  <c r="A4903" i="1"/>
  <c r="A4902" i="1"/>
  <c r="A4901" i="1"/>
  <c r="A4900" i="1"/>
  <c r="A4899" i="1"/>
  <c r="A4898" i="1"/>
  <c r="A4897" i="1"/>
  <c r="A4896" i="1"/>
  <c r="A4895" i="1"/>
  <c r="A4894" i="1"/>
  <c r="A4892" i="1"/>
  <c r="A4891" i="1"/>
  <c r="A4890" i="1"/>
  <c r="A4888" i="1"/>
  <c r="A4886" i="1"/>
  <c r="A4885" i="1"/>
  <c r="A4884" i="1"/>
  <c r="A4883" i="1"/>
  <c r="A4881" i="1"/>
  <c r="A4880" i="1"/>
  <c r="A4879" i="1"/>
  <c r="A4878" i="1"/>
  <c r="A4877" i="1"/>
  <c r="A4876" i="1"/>
  <c r="A4875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3" i="1"/>
  <c r="A4842" i="1"/>
  <c r="A4841" i="1"/>
  <c r="A4840" i="1"/>
  <c r="A4839" i="1"/>
  <c r="A4838" i="1"/>
  <c r="A4836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5" i="1"/>
  <c r="A4814" i="1"/>
  <c r="A4813" i="1"/>
  <c r="A4812" i="1"/>
  <c r="A4811" i="1"/>
  <c r="A4810" i="1"/>
  <c r="A4809" i="1"/>
  <c r="A4807" i="1"/>
  <c r="A4806" i="1"/>
  <c r="A4805" i="1"/>
  <c r="A4804" i="1"/>
  <c r="A4803" i="1"/>
  <c r="A4801" i="1"/>
  <c r="A4800" i="1"/>
  <c r="A4799" i="1"/>
  <c r="A4798" i="1"/>
  <c r="A4797" i="1"/>
  <c r="A4796" i="1"/>
  <c r="A4795" i="1"/>
  <c r="A4794" i="1"/>
  <c r="A4793" i="1"/>
  <c r="A4792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1" i="1"/>
  <c r="A4760" i="1"/>
  <c r="A4759" i="1"/>
  <c r="A4758" i="1"/>
  <c r="A4757" i="1"/>
  <c r="A4756" i="1"/>
  <c r="A4754" i="1"/>
  <c r="A4753" i="1"/>
  <c r="A4752" i="1"/>
  <c r="A4751" i="1"/>
  <c r="A4750" i="1"/>
  <c r="A4749" i="1"/>
  <c r="A4748" i="1"/>
  <c r="A4747" i="1"/>
  <c r="A4746" i="1"/>
  <c r="A4745" i="1"/>
  <c r="A4744" i="1"/>
  <c r="A4742" i="1"/>
  <c r="A4741" i="1"/>
  <c r="A4740" i="1"/>
  <c r="A4739" i="1"/>
  <c r="A4738" i="1"/>
  <c r="A4736" i="1"/>
  <c r="A4735" i="1"/>
  <c r="A4734" i="1"/>
  <c r="A4733" i="1"/>
  <c r="A4732" i="1"/>
  <c r="A4731" i="1"/>
  <c r="A4730" i="1"/>
  <c r="A4729" i="1"/>
  <c r="A4727" i="1"/>
  <c r="A4726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2" i="1"/>
  <c r="A4691" i="1"/>
  <c r="A4690" i="1"/>
  <c r="A4689" i="1"/>
  <c r="A4688" i="1"/>
  <c r="A4687" i="1"/>
  <c r="A4686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0" i="1"/>
  <c r="A4649" i="1"/>
  <c r="A4647" i="1"/>
  <c r="A4646" i="1"/>
  <c r="A4645" i="1"/>
  <c r="A4644" i="1"/>
  <c r="A4643" i="1"/>
  <c r="A4642" i="1"/>
  <c r="A4640" i="1"/>
  <c r="A4639" i="1"/>
  <c r="A4638" i="1"/>
  <c r="A4637" i="1"/>
  <c r="A4636" i="1"/>
  <c r="A4635" i="1"/>
  <c r="A4634" i="1"/>
  <c r="A4633" i="1"/>
  <c r="A4631" i="1"/>
  <c r="A4630" i="1"/>
  <c r="A4629" i="1"/>
  <c r="A4628" i="1"/>
  <c r="A4627" i="1"/>
  <c r="A4626" i="1"/>
  <c r="A4625" i="1"/>
  <c r="A4624" i="1"/>
  <c r="A4623" i="1"/>
  <c r="A4622" i="1"/>
  <c r="A4620" i="1"/>
  <c r="A4618" i="1"/>
  <c r="A4617" i="1"/>
  <c r="A4616" i="1"/>
  <c r="A4615" i="1"/>
  <c r="A4614" i="1"/>
  <c r="A4612" i="1"/>
  <c r="A4610" i="1"/>
  <c r="A4609" i="1"/>
  <c r="A4608" i="1"/>
  <c r="A4607" i="1"/>
  <c r="A4606" i="1"/>
  <c r="A4605" i="1"/>
  <c r="A4603" i="1"/>
  <c r="A4602" i="1"/>
  <c r="A4601" i="1"/>
  <c r="A4600" i="1"/>
  <c r="A4598" i="1"/>
  <c r="A4597" i="1"/>
  <c r="A4596" i="1"/>
  <c r="A4595" i="1"/>
  <c r="A4594" i="1"/>
  <c r="A4592" i="1"/>
  <c r="A4591" i="1"/>
  <c r="A4590" i="1"/>
  <c r="A4589" i="1"/>
  <c r="A4588" i="1"/>
  <c r="A4587" i="1"/>
  <c r="A4585" i="1"/>
  <c r="A4584" i="1"/>
  <c r="A4583" i="1"/>
  <c r="A4581" i="1"/>
  <c r="A4580" i="1"/>
  <c r="A4579" i="1"/>
  <c r="A4578" i="1"/>
  <c r="A4577" i="1"/>
  <c r="A4575" i="1"/>
  <c r="A4573" i="1"/>
  <c r="A4572" i="1"/>
  <c r="A4571" i="1"/>
  <c r="A4570" i="1"/>
  <c r="A4569" i="1"/>
  <c r="A4568" i="1"/>
  <c r="A4567" i="1"/>
  <c r="A4566" i="1"/>
  <c r="A4565" i="1"/>
  <c r="A4564" i="1"/>
  <c r="A4562" i="1"/>
  <c r="A4560" i="1"/>
  <c r="A4558" i="1"/>
  <c r="A4556" i="1"/>
  <c r="A4554" i="1"/>
  <c r="A4553" i="1"/>
  <c r="A4552" i="1"/>
  <c r="A4551" i="1"/>
  <c r="A4550" i="1"/>
  <c r="A4549" i="1"/>
  <c r="A4548" i="1"/>
  <c r="A4547" i="1"/>
  <c r="A4546" i="1"/>
  <c r="A4545" i="1"/>
  <c r="A4544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4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1" i="1"/>
  <c r="A4490" i="1"/>
  <c r="A4489" i="1"/>
  <c r="A4488" i="1"/>
  <c r="A4487" i="1"/>
  <c r="A4486" i="1"/>
  <c r="A4485" i="1"/>
  <c r="A4484" i="1"/>
  <c r="A4482" i="1"/>
  <c r="A4481" i="1"/>
  <c r="A4480" i="1"/>
  <c r="A4479" i="1"/>
  <c r="A4478" i="1"/>
  <c r="A4477" i="1"/>
  <c r="A4476" i="1"/>
  <c r="A4474" i="1"/>
  <c r="A4473" i="1"/>
  <c r="A4471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7" i="1"/>
  <c r="A4426" i="1"/>
  <c r="A4425" i="1"/>
  <c r="A4424" i="1"/>
  <c r="A4423" i="1"/>
  <c r="A4422" i="1"/>
  <c r="A4421" i="1"/>
  <c r="A4419" i="1"/>
  <c r="A4418" i="1"/>
  <c r="A4417" i="1"/>
  <c r="A4416" i="1"/>
  <c r="A4415" i="1"/>
  <c r="A4414" i="1"/>
  <c r="A4413" i="1"/>
  <c r="A4411" i="1"/>
  <c r="A4410" i="1"/>
  <c r="A4409" i="1"/>
  <c r="A4408" i="1"/>
  <c r="A4407" i="1"/>
  <c r="A4406" i="1"/>
  <c r="A4405" i="1"/>
  <c r="A4404" i="1"/>
  <c r="A4402" i="1"/>
  <c r="A4401" i="1"/>
  <c r="A4400" i="1"/>
  <c r="A4399" i="1"/>
  <c r="A4398" i="1"/>
  <c r="A4397" i="1"/>
  <c r="A4396" i="1"/>
  <c r="A4395" i="1"/>
  <c r="A4393" i="1"/>
  <c r="A4392" i="1"/>
  <c r="A4390" i="1"/>
  <c r="A4389" i="1"/>
  <c r="A4388" i="1"/>
  <c r="A4387" i="1"/>
  <c r="A4386" i="1"/>
  <c r="A4385" i="1"/>
  <c r="A4384" i="1"/>
  <c r="A4383" i="1"/>
  <c r="A4382" i="1"/>
  <c r="A4381" i="1"/>
  <c r="A4380" i="1"/>
  <c r="A4378" i="1"/>
  <c r="A4377" i="1"/>
  <c r="A4376" i="1"/>
  <c r="A4375" i="1"/>
  <c r="A4373" i="1"/>
  <c r="A4371" i="1"/>
  <c r="A4370" i="1"/>
  <c r="A4369" i="1"/>
  <c r="A4368" i="1"/>
  <c r="A4367" i="1"/>
  <c r="A4366" i="1"/>
  <c r="A4365" i="1"/>
  <c r="A4364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6" i="1"/>
  <c r="A4335" i="1"/>
  <c r="A4334" i="1"/>
  <c r="A4333" i="1"/>
  <c r="A4332" i="1"/>
  <c r="A4331" i="1"/>
  <c r="A4330" i="1"/>
  <c r="A4329" i="1"/>
  <c r="A4328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3" i="1"/>
  <c r="A4282" i="1"/>
  <c r="A4281" i="1"/>
  <c r="A4280" i="1"/>
  <c r="A4279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3" i="1"/>
  <c r="A4260" i="1"/>
  <c r="A4259" i="1"/>
  <c r="A4258" i="1"/>
  <c r="A4257" i="1"/>
  <c r="A4256" i="1"/>
  <c r="A4255" i="1"/>
  <c r="A4254" i="1"/>
  <c r="A4253" i="1"/>
  <c r="A4252" i="1"/>
  <c r="A4251" i="1"/>
  <c r="A4250" i="1"/>
  <c r="A4248" i="1"/>
  <c r="A4247" i="1"/>
  <c r="A4245" i="1"/>
  <c r="A4244" i="1"/>
  <c r="A4243" i="1"/>
  <c r="A4242" i="1"/>
  <c r="A4241" i="1"/>
  <c r="A4240" i="1"/>
  <c r="A4239" i="1"/>
  <c r="A4238" i="1"/>
  <c r="A4236" i="1"/>
  <c r="A4234" i="1"/>
  <c r="A4232" i="1"/>
  <c r="A4231" i="1"/>
  <c r="A4230" i="1"/>
  <c r="A4229" i="1"/>
  <c r="A4228" i="1"/>
  <c r="A4227" i="1"/>
  <c r="A4226" i="1"/>
  <c r="A4224" i="1"/>
  <c r="A4223" i="1"/>
  <c r="A4222" i="1"/>
  <c r="A4221" i="1"/>
  <c r="A4220" i="1"/>
  <c r="A4219" i="1"/>
  <c r="A4218" i="1"/>
  <c r="A4216" i="1"/>
  <c r="A4215" i="1"/>
  <c r="A4214" i="1"/>
  <c r="A4211" i="1"/>
  <c r="A4208" i="1"/>
  <c r="A4207" i="1"/>
  <c r="A4205" i="1"/>
  <c r="A4204" i="1"/>
  <c r="A4202" i="1"/>
  <c r="A4201" i="1"/>
  <c r="A4200" i="1"/>
  <c r="A4199" i="1"/>
  <c r="A4197" i="1"/>
  <c r="A4195" i="1"/>
  <c r="A4194" i="1"/>
  <c r="A4193" i="1"/>
  <c r="A4191" i="1"/>
  <c r="A4190" i="1"/>
  <c r="A4189" i="1"/>
  <c r="A4187" i="1"/>
  <c r="A4185" i="1"/>
  <c r="A4184" i="1"/>
  <c r="A4182" i="1"/>
  <c r="A4179" i="1"/>
  <c r="A4178" i="1"/>
  <c r="A4177" i="1"/>
  <c r="A4175" i="1"/>
  <c r="A4174" i="1"/>
  <c r="A4171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0" i="1"/>
  <c r="A4139" i="1"/>
  <c r="A4138" i="1"/>
  <c r="A4136" i="1"/>
  <c r="A4135" i="1"/>
  <c r="A4134" i="1"/>
  <c r="A4133" i="1"/>
  <c r="A4132" i="1"/>
  <c r="A4131" i="1"/>
  <c r="A4130" i="1"/>
  <c r="A4129" i="1"/>
  <c r="A4128" i="1"/>
  <c r="A4127" i="1"/>
  <c r="A4124" i="1"/>
  <c r="A4123" i="1"/>
  <c r="A4122" i="1"/>
  <c r="A4121" i="1"/>
  <c r="A4120" i="1"/>
  <c r="A4119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2" i="1"/>
  <c r="A4081" i="1"/>
  <c r="A4080" i="1"/>
  <c r="A4079" i="1"/>
  <c r="A4078" i="1"/>
  <c r="A4077" i="1"/>
  <c r="A4076" i="1"/>
  <c r="A4075" i="1"/>
  <c r="A4074" i="1"/>
  <c r="A4072" i="1"/>
  <c r="A4071" i="1"/>
  <c r="A4070" i="1"/>
  <c r="A4069" i="1"/>
  <c r="A4068" i="1"/>
  <c r="A4066" i="1"/>
  <c r="A4065" i="1"/>
  <c r="A4064" i="1"/>
  <c r="A4061" i="1"/>
  <c r="A4060" i="1"/>
  <c r="A4057" i="1"/>
  <c r="A4056" i="1"/>
  <c r="A4055" i="1"/>
  <c r="A4054" i="1"/>
  <c r="A4053" i="1"/>
  <c r="A4052" i="1"/>
  <c r="A4051" i="1"/>
  <c r="A4050" i="1"/>
  <c r="A4049" i="1"/>
  <c r="A4047" i="1"/>
  <c r="A4046" i="1"/>
  <c r="A4044" i="1"/>
  <c r="A4043" i="1"/>
  <c r="A4042" i="1"/>
  <c r="A4041" i="1"/>
  <c r="A4040" i="1"/>
  <c r="A4039" i="1"/>
  <c r="A4037" i="1"/>
  <c r="A4036" i="1"/>
  <c r="A4035" i="1"/>
  <c r="A4034" i="1"/>
  <c r="A4033" i="1"/>
  <c r="A4032" i="1"/>
  <c r="A4031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8" i="1"/>
  <c r="A4007" i="1"/>
  <c r="A4005" i="1"/>
  <c r="A4004" i="1"/>
  <c r="A4003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2" i="1"/>
  <c r="A3981" i="1"/>
  <c r="A3979" i="1"/>
  <c r="A3978" i="1"/>
  <c r="A3977" i="1"/>
  <c r="A3976" i="1"/>
  <c r="A3975" i="1"/>
  <c r="A3974" i="1"/>
  <c r="A3973" i="1"/>
  <c r="A3972" i="1"/>
  <c r="A3971" i="1"/>
  <c r="A3970" i="1"/>
  <c r="A3969" i="1"/>
  <c r="A3967" i="1"/>
  <c r="A3966" i="1"/>
  <c r="A3965" i="1"/>
  <c r="A3964" i="1"/>
  <c r="A3963" i="1"/>
  <c r="A3962" i="1"/>
  <c r="A3960" i="1"/>
  <c r="A3958" i="1"/>
  <c r="A3957" i="1"/>
  <c r="A3956" i="1"/>
  <c r="A3955" i="1"/>
  <c r="A3953" i="1"/>
  <c r="A3952" i="1"/>
  <c r="A3951" i="1"/>
  <c r="A3950" i="1"/>
  <c r="A3949" i="1"/>
  <c r="A3948" i="1"/>
  <c r="A3947" i="1"/>
  <c r="A3944" i="1"/>
  <c r="A3942" i="1"/>
  <c r="A3940" i="1"/>
  <c r="A3939" i="1"/>
  <c r="A3938" i="1"/>
  <c r="A3937" i="1"/>
  <c r="A3936" i="1"/>
  <c r="A3934" i="1"/>
  <c r="A3933" i="1"/>
  <c r="A3932" i="1"/>
  <c r="A3931" i="1"/>
  <c r="A3930" i="1"/>
  <c r="A3929" i="1"/>
  <c r="A3928" i="1"/>
  <c r="A3927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1" i="1"/>
  <c r="A3909" i="1"/>
  <c r="A3908" i="1"/>
  <c r="A3907" i="1"/>
  <c r="A3906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4" i="1"/>
  <c r="A3883" i="1"/>
  <c r="A3882" i="1"/>
  <c r="A3881" i="1"/>
  <c r="A3880" i="1"/>
  <c r="A3879" i="1"/>
  <c r="A3878" i="1"/>
  <c r="A3877" i="1"/>
  <c r="A3876" i="1"/>
  <c r="A3875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0" i="1"/>
  <c r="A3858" i="1"/>
  <c r="A3857" i="1"/>
  <c r="A3856" i="1"/>
  <c r="A3855" i="1"/>
  <c r="A3854" i="1"/>
  <c r="A3853" i="1"/>
  <c r="A3852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7" i="1"/>
  <c r="A3836" i="1"/>
  <c r="A3834" i="1"/>
  <c r="A3833" i="1"/>
  <c r="A3832" i="1"/>
  <c r="A3830" i="1"/>
  <c r="A3829" i="1"/>
  <c r="A3828" i="1"/>
  <c r="A3827" i="1"/>
  <c r="A3826" i="1"/>
  <c r="A3825" i="1"/>
  <c r="A3823" i="1"/>
  <c r="A3822" i="1"/>
  <c r="A3821" i="1"/>
  <c r="A3819" i="1"/>
  <c r="A3818" i="1"/>
  <c r="A3817" i="1"/>
  <c r="A3816" i="1"/>
  <c r="A3815" i="1"/>
  <c r="A3814" i="1"/>
  <c r="A3813" i="1"/>
  <c r="A3812" i="1"/>
  <c r="A3810" i="1"/>
  <c r="A3809" i="1"/>
  <c r="A3808" i="1"/>
  <c r="A3807" i="1"/>
  <c r="A3805" i="1"/>
  <c r="A3804" i="1"/>
  <c r="A3803" i="1"/>
  <c r="A3802" i="1"/>
  <c r="A3801" i="1"/>
  <c r="A3800" i="1"/>
  <c r="A3799" i="1"/>
  <c r="A3797" i="1"/>
  <c r="A3796" i="1"/>
  <c r="A3795" i="1"/>
  <c r="A3794" i="1"/>
  <c r="A3793" i="1"/>
  <c r="A3791" i="1"/>
  <c r="A3789" i="1"/>
  <c r="A3788" i="1"/>
  <c r="A3787" i="1"/>
  <c r="A3786" i="1"/>
  <c r="A3785" i="1"/>
  <c r="A3783" i="1"/>
  <c r="A3782" i="1"/>
  <c r="A3781" i="1"/>
  <c r="A3780" i="1"/>
  <c r="A3779" i="1"/>
  <c r="A3778" i="1"/>
  <c r="A3777" i="1"/>
  <c r="A3775" i="1"/>
  <c r="A3773" i="1"/>
  <c r="A3772" i="1"/>
  <c r="A3771" i="1"/>
  <c r="A3770" i="1"/>
  <c r="A3769" i="1"/>
  <c r="A3768" i="1"/>
  <c r="A3767" i="1"/>
  <c r="A3766" i="1"/>
  <c r="A3764" i="1"/>
  <c r="A3763" i="1"/>
  <c r="A3762" i="1"/>
  <c r="A3761" i="1"/>
  <c r="A3760" i="1"/>
  <c r="A3759" i="1"/>
  <c r="A3758" i="1"/>
  <c r="A3757" i="1"/>
  <c r="A3756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8" i="1"/>
  <c r="A3737" i="1"/>
  <c r="A3736" i="1"/>
  <c r="A3735" i="1"/>
  <c r="A3734" i="1"/>
  <c r="A3733" i="1"/>
  <c r="A3731" i="1"/>
  <c r="A3730" i="1"/>
  <c r="A3729" i="1"/>
  <c r="A3728" i="1"/>
  <c r="A3727" i="1"/>
  <c r="A3726" i="1"/>
  <c r="A3725" i="1"/>
  <c r="A3724" i="1"/>
  <c r="A3723" i="1"/>
  <c r="A3722" i="1"/>
  <c r="A3721" i="1"/>
  <c r="A3719" i="1"/>
  <c r="A3718" i="1"/>
  <c r="A3717" i="1"/>
  <c r="A3716" i="1"/>
  <c r="A3715" i="1"/>
  <c r="A3713" i="1"/>
  <c r="A3712" i="1"/>
  <c r="A3711" i="1"/>
  <c r="A3710" i="1"/>
  <c r="A3708" i="1"/>
  <c r="A3705" i="1"/>
  <c r="A3704" i="1"/>
  <c r="A3702" i="1"/>
  <c r="A3701" i="1"/>
  <c r="A3700" i="1"/>
  <c r="A3699" i="1"/>
  <c r="A3698" i="1"/>
  <c r="A3697" i="1"/>
  <c r="A3696" i="1"/>
  <c r="A3695" i="1"/>
  <c r="A3694" i="1"/>
  <c r="A3693" i="1"/>
  <c r="A3691" i="1"/>
  <c r="A3690" i="1"/>
  <c r="A3688" i="1"/>
  <c r="A3687" i="1"/>
  <c r="A3686" i="1"/>
  <c r="A3685" i="1"/>
  <c r="A3684" i="1"/>
  <c r="A3683" i="1"/>
  <c r="A3681" i="1"/>
  <c r="A3678" i="1"/>
  <c r="A3676" i="1"/>
  <c r="A3675" i="1"/>
  <c r="A3673" i="1"/>
  <c r="A3671" i="1"/>
  <c r="A3669" i="1"/>
  <c r="A3668" i="1"/>
  <c r="A3666" i="1"/>
  <c r="A3665" i="1"/>
  <c r="A3664" i="1"/>
  <c r="A3663" i="1"/>
  <c r="A3662" i="1"/>
  <c r="A3661" i="1"/>
  <c r="A3660" i="1"/>
  <c r="A3658" i="1"/>
  <c r="A3657" i="1"/>
  <c r="A3656" i="1"/>
  <c r="A3655" i="1"/>
  <c r="A3654" i="1"/>
  <c r="A3653" i="1"/>
  <c r="A3652" i="1"/>
  <c r="A3649" i="1"/>
  <c r="A3648" i="1"/>
  <c r="A3647" i="1"/>
  <c r="A3646" i="1"/>
  <c r="A3645" i="1"/>
  <c r="A3644" i="1"/>
  <c r="A3643" i="1"/>
  <c r="A3642" i="1"/>
  <c r="A3641" i="1"/>
  <c r="A3639" i="1"/>
  <c r="A3638" i="1"/>
  <c r="A3637" i="1"/>
  <c r="A3636" i="1"/>
  <c r="A3635" i="1"/>
  <c r="A3634" i="1"/>
  <c r="A3633" i="1"/>
  <c r="A3632" i="1"/>
  <c r="A3631" i="1"/>
  <c r="A3630" i="1"/>
  <c r="A3628" i="1"/>
  <c r="A3626" i="1"/>
  <c r="A3624" i="1"/>
  <c r="A3621" i="1"/>
  <c r="A3619" i="1"/>
  <c r="A3616" i="1"/>
  <c r="A3615" i="1"/>
  <c r="A3614" i="1"/>
  <c r="A3612" i="1"/>
  <c r="A3611" i="1"/>
  <c r="A3610" i="1"/>
  <c r="A3609" i="1"/>
  <c r="A3608" i="1"/>
  <c r="A3607" i="1"/>
  <c r="A3605" i="1"/>
  <c r="A3604" i="1"/>
  <c r="A3603" i="1"/>
  <c r="A3602" i="1"/>
  <c r="A3601" i="1"/>
  <c r="A3599" i="1"/>
  <c r="A3598" i="1"/>
  <c r="A3597" i="1"/>
  <c r="A3596" i="1"/>
  <c r="A3595" i="1"/>
  <c r="A3594" i="1"/>
  <c r="A3593" i="1"/>
  <c r="A3591" i="1"/>
  <c r="A3590" i="1"/>
  <c r="A3589" i="1"/>
  <c r="A3588" i="1"/>
  <c r="A3587" i="1"/>
  <c r="A3586" i="1"/>
  <c r="A3585" i="1"/>
  <c r="A3584" i="1"/>
  <c r="A3583" i="1"/>
  <c r="A3582" i="1"/>
  <c r="A3580" i="1"/>
  <c r="A3579" i="1"/>
  <c r="A3578" i="1"/>
  <c r="A3577" i="1"/>
  <c r="A3576" i="1"/>
  <c r="A3574" i="1"/>
  <c r="A3573" i="1"/>
  <c r="A3572" i="1"/>
  <c r="A3571" i="1"/>
  <c r="A3570" i="1"/>
  <c r="A3569" i="1"/>
  <c r="A3568" i="1"/>
  <c r="A3567" i="1"/>
  <c r="A3565" i="1"/>
  <c r="A3564" i="1"/>
  <c r="A3563" i="1"/>
  <c r="A3562" i="1"/>
  <c r="A3561" i="1"/>
  <c r="A3560" i="1"/>
  <c r="A3559" i="1"/>
  <c r="A3557" i="1"/>
  <c r="A3556" i="1"/>
  <c r="A3555" i="1"/>
  <c r="A3554" i="1"/>
  <c r="A3553" i="1"/>
  <c r="A3552" i="1"/>
  <c r="A3551" i="1"/>
  <c r="A3550" i="1"/>
  <c r="A3549" i="1"/>
  <c r="A3547" i="1"/>
  <c r="A3546" i="1"/>
  <c r="A3545" i="1"/>
  <c r="A3544" i="1"/>
  <c r="A3543" i="1"/>
  <c r="A3541" i="1"/>
  <c r="A3539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4" i="1"/>
  <c r="A3523" i="1"/>
  <c r="A3522" i="1"/>
  <c r="A3521" i="1"/>
  <c r="A3520" i="1"/>
  <c r="A3519" i="1"/>
  <c r="A3518" i="1"/>
  <c r="A3516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7" i="1"/>
  <c r="A3496" i="1"/>
  <c r="A3495" i="1"/>
  <c r="A3494" i="1"/>
  <c r="A3493" i="1"/>
  <c r="A3491" i="1"/>
  <c r="A3490" i="1"/>
  <c r="A3489" i="1"/>
  <c r="A3488" i="1"/>
  <c r="A3487" i="1"/>
  <c r="A3486" i="1"/>
  <c r="A3485" i="1"/>
  <c r="A3483" i="1"/>
  <c r="A3482" i="1"/>
  <c r="A3481" i="1"/>
  <c r="A3480" i="1"/>
  <c r="A3479" i="1"/>
  <c r="A3478" i="1"/>
  <c r="A3477" i="1"/>
  <c r="A3476" i="1"/>
  <c r="A3475" i="1"/>
  <c r="A3474" i="1"/>
  <c r="A3472" i="1"/>
  <c r="A3471" i="1"/>
  <c r="A3470" i="1"/>
  <c r="A3469" i="1"/>
  <c r="A3468" i="1"/>
  <c r="A3467" i="1"/>
  <c r="A3466" i="1"/>
  <c r="A3464" i="1"/>
  <c r="A3462" i="1"/>
  <c r="A3461" i="1"/>
  <c r="A3460" i="1"/>
  <c r="A3458" i="1"/>
  <c r="A3457" i="1"/>
  <c r="A3456" i="1"/>
  <c r="A3455" i="1"/>
  <c r="A3454" i="1"/>
  <c r="A3453" i="1"/>
  <c r="A3451" i="1"/>
  <c r="A3450" i="1"/>
  <c r="A3449" i="1"/>
  <c r="A3448" i="1"/>
  <c r="A3447" i="1"/>
  <c r="A3446" i="1"/>
  <c r="A3445" i="1"/>
  <c r="A3444" i="1"/>
  <c r="A3443" i="1"/>
  <c r="A3441" i="1"/>
  <c r="A3440" i="1"/>
  <c r="A3439" i="1"/>
  <c r="A3437" i="1"/>
  <c r="A3436" i="1"/>
  <c r="A3435" i="1"/>
  <c r="A3434" i="1"/>
  <c r="A3432" i="1"/>
  <c r="A3431" i="1"/>
  <c r="A3430" i="1"/>
  <c r="A3428" i="1"/>
  <c r="A3427" i="1"/>
  <c r="A3426" i="1"/>
  <c r="A3425" i="1"/>
  <c r="A3423" i="1"/>
  <c r="A3422" i="1"/>
  <c r="A3421" i="1"/>
  <c r="A3420" i="1"/>
  <c r="A3419" i="1"/>
  <c r="A3418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1" i="1"/>
  <c r="A3400" i="1"/>
  <c r="A3399" i="1"/>
  <c r="A3398" i="1"/>
  <c r="A3396" i="1"/>
  <c r="A3395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79" i="1"/>
  <c r="A3378" i="1"/>
  <c r="A3377" i="1"/>
  <c r="A3376" i="1"/>
  <c r="A3375" i="1"/>
  <c r="A3373" i="1"/>
  <c r="A3372" i="1"/>
  <c r="A3371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4" i="1"/>
  <c r="A3333" i="1"/>
  <c r="A3332" i="1"/>
  <c r="A3331" i="1"/>
  <c r="A3330" i="1"/>
  <c r="A3328" i="1"/>
  <c r="A3327" i="1"/>
  <c r="A3326" i="1"/>
  <c r="A3325" i="1"/>
  <c r="A3324" i="1"/>
  <c r="A3323" i="1"/>
  <c r="A3320" i="1"/>
  <c r="A3319" i="1"/>
  <c r="A3318" i="1"/>
  <c r="A3316" i="1"/>
  <c r="A3315" i="1"/>
  <c r="A3314" i="1"/>
  <c r="A3313" i="1"/>
  <c r="A3312" i="1"/>
  <c r="A3311" i="1"/>
  <c r="A3310" i="1"/>
  <c r="A3309" i="1"/>
  <c r="A3308" i="1"/>
  <c r="A3306" i="1"/>
  <c r="A3304" i="1"/>
  <c r="A3303" i="1"/>
  <c r="A3302" i="1"/>
  <c r="A3301" i="1"/>
  <c r="A3300" i="1"/>
  <c r="A3298" i="1"/>
  <c r="A3297" i="1"/>
  <c r="A3296" i="1"/>
  <c r="A3295" i="1"/>
  <c r="A3294" i="1"/>
  <c r="A3293" i="1"/>
  <c r="A3292" i="1"/>
  <c r="A3290" i="1"/>
  <c r="A3289" i="1"/>
  <c r="A3288" i="1"/>
  <c r="A3287" i="1"/>
  <c r="A3286" i="1"/>
  <c r="A3284" i="1"/>
  <c r="A3283" i="1"/>
  <c r="A3282" i="1"/>
  <c r="A3280" i="1"/>
  <c r="A3278" i="1"/>
  <c r="A3276" i="1"/>
  <c r="A3275" i="1"/>
  <c r="A3274" i="1"/>
  <c r="A3273" i="1"/>
  <c r="A3272" i="1"/>
  <c r="A3270" i="1"/>
  <c r="A3268" i="1"/>
  <c r="A3267" i="1"/>
  <c r="A3266" i="1"/>
  <c r="A3265" i="1"/>
  <c r="A3263" i="1"/>
  <c r="A3262" i="1"/>
  <c r="A3260" i="1"/>
  <c r="A3259" i="1"/>
  <c r="A3258" i="1"/>
  <c r="A3257" i="1"/>
  <c r="A3256" i="1"/>
  <c r="A3255" i="1"/>
  <c r="A3254" i="1"/>
  <c r="A3253" i="1"/>
  <c r="A3252" i="1"/>
  <c r="A3251" i="1"/>
  <c r="A3249" i="1"/>
  <c r="A3247" i="1"/>
  <c r="A3245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0" i="1"/>
  <c r="A3229" i="1"/>
  <c r="A3228" i="1"/>
  <c r="A3227" i="1"/>
  <c r="A3225" i="1"/>
  <c r="A3224" i="1"/>
  <c r="A3222" i="1"/>
  <c r="A3221" i="1"/>
  <c r="A3220" i="1"/>
  <c r="A3219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5" i="1"/>
  <c r="A3164" i="1"/>
  <c r="A3163" i="1"/>
  <c r="A3162" i="1"/>
  <c r="A3160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1" i="1"/>
  <c r="A3140" i="1"/>
  <c r="A3139" i="1"/>
  <c r="A3138" i="1"/>
  <c r="A3137" i="1"/>
  <c r="A3136" i="1"/>
  <c r="A3135" i="1"/>
  <c r="A3134" i="1"/>
  <c r="A3133" i="1"/>
  <c r="A3132" i="1"/>
  <c r="A3130" i="1"/>
  <c r="A3129" i="1"/>
  <c r="A3128" i="1"/>
  <c r="A3127" i="1"/>
  <c r="A3126" i="1"/>
  <c r="A3125" i="1"/>
  <c r="A3124" i="1"/>
  <c r="A3123" i="1"/>
  <c r="A3122" i="1"/>
  <c r="A3120" i="1"/>
  <c r="A3119" i="1"/>
  <c r="A3118" i="1"/>
  <c r="A3117" i="1"/>
  <c r="A3115" i="1"/>
  <c r="A3114" i="1"/>
  <c r="A3113" i="1"/>
  <c r="A3112" i="1"/>
  <c r="A3111" i="1"/>
  <c r="A3110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4" i="1"/>
  <c r="A3093" i="1"/>
  <c r="A3092" i="1"/>
  <c r="A3091" i="1"/>
  <c r="A3090" i="1"/>
  <c r="A3089" i="1"/>
  <c r="A3088" i="1"/>
  <c r="A3087" i="1"/>
  <c r="A3085" i="1"/>
  <c r="A3084" i="1"/>
  <c r="A3083" i="1"/>
  <c r="A3082" i="1"/>
  <c r="A3081" i="1"/>
  <c r="A3080" i="1"/>
  <c r="A3079" i="1"/>
  <c r="A3078" i="1"/>
  <c r="A3076" i="1"/>
  <c r="A3075" i="1"/>
  <c r="A3074" i="1"/>
  <c r="A3073" i="1"/>
  <c r="A3072" i="1"/>
  <c r="A3070" i="1"/>
  <c r="A3069" i="1"/>
  <c r="A3068" i="1"/>
  <c r="A3067" i="1"/>
  <c r="A3065" i="1"/>
  <c r="A3064" i="1"/>
  <c r="A3063" i="1"/>
  <c r="A3062" i="1"/>
  <c r="A3061" i="1"/>
  <c r="A3060" i="1"/>
  <c r="A3059" i="1"/>
  <c r="A3058" i="1"/>
  <c r="A3057" i="1"/>
  <c r="A3056" i="1"/>
  <c r="A3054" i="1"/>
  <c r="A3053" i="1"/>
  <c r="A3052" i="1"/>
  <c r="A3051" i="1"/>
  <c r="A3050" i="1"/>
  <c r="A3049" i="1"/>
  <c r="A3048" i="1"/>
  <c r="A3047" i="1"/>
  <c r="A3045" i="1"/>
  <c r="A3044" i="1"/>
  <c r="A3043" i="1"/>
  <c r="A3042" i="1"/>
  <c r="A3041" i="1"/>
  <c r="A3040" i="1"/>
  <c r="A3039" i="1"/>
  <c r="A3037" i="1"/>
  <c r="A3036" i="1"/>
  <c r="A3035" i="1"/>
  <c r="A3033" i="1"/>
  <c r="A3032" i="1"/>
  <c r="A3031" i="1"/>
  <c r="A3030" i="1"/>
  <c r="A3029" i="1"/>
  <c r="A3028" i="1"/>
  <c r="A3027" i="1"/>
  <c r="A3025" i="1"/>
  <c r="A3024" i="1"/>
  <c r="A3022" i="1"/>
  <c r="A3020" i="1"/>
  <c r="A3019" i="1"/>
  <c r="A3018" i="1"/>
  <c r="A3016" i="1"/>
  <c r="A3014" i="1"/>
  <c r="A3013" i="1"/>
  <c r="A3012" i="1"/>
  <c r="A3011" i="1"/>
  <c r="A3009" i="1"/>
  <c r="A3007" i="1"/>
  <c r="A3006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89" i="1"/>
  <c r="A2988" i="1"/>
  <c r="A2987" i="1"/>
  <c r="A2986" i="1"/>
  <c r="A2985" i="1"/>
  <c r="A2984" i="1"/>
  <c r="A2983" i="1"/>
  <c r="A2982" i="1"/>
  <c r="A2980" i="1"/>
  <c r="A2979" i="1"/>
  <c r="A2978" i="1"/>
  <c r="A2977" i="1"/>
  <c r="A2976" i="1"/>
  <c r="A2975" i="1"/>
  <c r="A2974" i="1"/>
  <c r="A2973" i="1"/>
  <c r="A2972" i="1"/>
  <c r="A2971" i="1"/>
  <c r="A2969" i="1"/>
  <c r="A2968" i="1"/>
  <c r="A2967" i="1"/>
  <c r="A2966" i="1"/>
  <c r="A2965" i="1"/>
  <c r="A2964" i="1"/>
  <c r="A2963" i="1"/>
  <c r="A2962" i="1"/>
  <c r="A2961" i="1"/>
  <c r="A2960" i="1"/>
  <c r="A2959" i="1"/>
  <c r="A2957" i="1"/>
  <c r="A2956" i="1"/>
  <c r="A2954" i="1"/>
  <c r="A2953" i="1"/>
  <c r="A2952" i="1"/>
  <c r="A2951" i="1"/>
  <c r="A2950" i="1"/>
  <c r="A2949" i="1"/>
  <c r="A2948" i="1"/>
  <c r="A2947" i="1"/>
  <c r="A2946" i="1"/>
  <c r="A2944" i="1"/>
  <c r="A2943" i="1"/>
  <c r="A2942" i="1"/>
  <c r="A2941" i="1"/>
  <c r="A2940" i="1"/>
  <c r="A2938" i="1"/>
  <c r="A2936" i="1"/>
  <c r="A2935" i="1"/>
  <c r="A2933" i="1"/>
  <c r="A2932" i="1"/>
  <c r="A2929" i="1"/>
  <c r="A2926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1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3" i="1"/>
  <c r="A2822" i="1"/>
  <c r="A2821" i="1"/>
  <c r="A2820" i="1"/>
  <c r="A2819" i="1"/>
  <c r="A2818" i="1"/>
  <c r="A2817" i="1"/>
  <c r="A2816" i="1"/>
  <c r="A2815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79" i="1"/>
  <c r="A2778" i="1"/>
  <c r="A2777" i="1"/>
  <c r="A2775" i="1"/>
  <c r="A2774" i="1"/>
  <c r="A2773" i="1"/>
  <c r="A2771" i="1"/>
  <c r="A2770" i="1"/>
  <c r="A2769" i="1"/>
  <c r="A2768" i="1"/>
  <c r="A2767" i="1"/>
  <c r="A2765" i="1"/>
  <c r="A2763" i="1"/>
  <c r="A2762" i="1"/>
  <c r="A2761" i="1"/>
  <c r="A2759" i="1"/>
  <c r="A2757" i="1"/>
  <c r="A2755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1" i="1"/>
  <c r="A2680" i="1"/>
  <c r="A2679" i="1"/>
  <c r="A2678" i="1"/>
  <c r="A2677" i="1"/>
  <c r="A2675" i="1"/>
  <c r="A2674" i="1"/>
  <c r="A2673" i="1"/>
  <c r="A2672" i="1"/>
  <c r="A2671" i="1"/>
  <c r="A2670" i="1"/>
  <c r="A2669" i="1"/>
  <c r="A2668" i="1"/>
  <c r="A2666" i="1"/>
  <c r="A2665" i="1"/>
  <c r="A2664" i="1"/>
  <c r="A2663" i="1"/>
  <c r="A2662" i="1"/>
  <c r="A2661" i="1"/>
  <c r="A2660" i="1"/>
  <c r="A2659" i="1"/>
  <c r="A2658" i="1"/>
  <c r="A2657" i="1"/>
  <c r="A2656" i="1"/>
  <c r="A2654" i="1"/>
  <c r="A2653" i="1"/>
  <c r="A2651" i="1"/>
  <c r="A2650" i="1"/>
  <c r="A2649" i="1"/>
  <c r="A2648" i="1"/>
  <c r="A2646" i="1"/>
  <c r="A2645" i="1"/>
  <c r="A2644" i="1"/>
  <c r="A2643" i="1"/>
  <c r="A2642" i="1"/>
  <c r="A2641" i="1"/>
  <c r="A2640" i="1"/>
  <c r="A2639" i="1"/>
  <c r="A2638" i="1"/>
  <c r="A2637" i="1"/>
  <c r="A2635" i="1"/>
  <c r="A2634" i="1"/>
  <c r="A2633" i="1"/>
  <c r="A2632" i="1"/>
  <c r="A2631" i="1"/>
  <c r="A2630" i="1"/>
  <c r="A2629" i="1"/>
  <c r="A2628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7" i="1"/>
  <c r="A2566" i="1"/>
  <c r="A2565" i="1"/>
  <c r="A2564" i="1"/>
  <c r="A2563" i="1"/>
  <c r="A2562" i="1"/>
  <c r="A2561" i="1"/>
  <c r="A2560" i="1"/>
  <c r="A2559" i="1"/>
  <c r="A2558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5" i="1"/>
  <c r="A2494" i="1"/>
  <c r="A2493" i="1"/>
  <c r="A2492" i="1"/>
  <c r="A2491" i="1"/>
  <c r="A2490" i="1"/>
  <c r="A2489" i="1"/>
  <c r="A2488" i="1"/>
  <c r="A2487" i="1"/>
  <c r="A2486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2" i="1"/>
  <c r="A2401" i="1"/>
  <c r="A2400" i="1"/>
  <c r="A2399" i="1"/>
  <c r="A2398" i="1"/>
  <c r="A2397" i="1"/>
  <c r="A2395" i="1"/>
  <c r="A2394" i="1"/>
  <c r="A2393" i="1"/>
  <c r="A2392" i="1"/>
  <c r="A2391" i="1"/>
  <c r="A2390" i="1"/>
  <c r="A2388" i="1"/>
  <c r="A2386" i="1"/>
  <c r="A2384" i="1"/>
  <c r="A2382" i="1"/>
  <c r="A2380" i="1"/>
  <c r="A2378" i="1"/>
  <c r="A2377" i="1"/>
  <c r="A2376" i="1"/>
  <c r="A2375" i="1"/>
  <c r="A2374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4" i="1"/>
  <c r="A2292" i="1"/>
  <c r="A2290" i="1"/>
  <c r="A2289" i="1"/>
  <c r="A2287" i="1"/>
  <c r="A2285" i="1"/>
  <c r="A2284" i="1"/>
  <c r="A2283" i="1"/>
  <c r="A2282" i="1"/>
  <c r="A2281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5" i="1"/>
  <c r="A2254" i="1"/>
  <c r="A2253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8" i="1"/>
  <c r="A2207" i="1"/>
  <c r="A2206" i="1"/>
  <c r="A2205" i="1"/>
  <c r="A2204" i="1"/>
  <c r="A2203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8" i="1"/>
  <c r="A2176" i="1"/>
  <c r="A2174" i="1"/>
  <c r="A2173" i="1"/>
  <c r="A2172" i="1"/>
  <c r="A2171" i="1"/>
  <c r="A2170" i="1"/>
  <c r="A2169" i="1"/>
  <c r="A2168" i="1"/>
  <c r="A2166" i="1"/>
  <c r="A2165" i="1"/>
  <c r="A2164" i="1"/>
  <c r="A2163" i="1"/>
  <c r="A2162" i="1"/>
  <c r="A2161" i="1"/>
  <c r="A2160" i="1"/>
  <c r="A2159" i="1"/>
  <c r="A2158" i="1"/>
  <c r="A2156" i="1"/>
  <c r="A2155" i="1"/>
  <c r="A2154" i="1"/>
  <c r="A2153" i="1"/>
  <c r="A2152" i="1"/>
  <c r="A2151" i="1"/>
  <c r="A2150" i="1"/>
  <c r="A2149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2" i="1"/>
  <c r="A2071" i="1"/>
  <c r="A2070" i="1"/>
  <c r="A2068" i="1"/>
  <c r="A2066" i="1"/>
  <c r="A2065" i="1"/>
  <c r="A2064" i="1"/>
  <c r="A2063" i="1"/>
  <c r="A2062" i="1"/>
  <c r="A2061" i="1"/>
  <c r="A2060" i="1"/>
  <c r="A2058" i="1"/>
  <c r="A2057" i="1"/>
  <c r="A2056" i="1"/>
  <c r="A2055" i="1"/>
  <c r="A2054" i="1"/>
  <c r="A2053" i="1"/>
  <c r="A2052" i="1"/>
  <c r="A2051" i="1"/>
  <c r="A2050" i="1"/>
  <c r="A2048" i="1"/>
  <c r="A2047" i="1"/>
  <c r="A2046" i="1"/>
  <c r="A2045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5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4" i="1"/>
  <c r="A1993" i="1"/>
  <c r="A1992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1" i="1"/>
  <c r="A1970" i="1"/>
  <c r="A1969" i="1"/>
  <c r="A1968" i="1"/>
  <c r="A1967" i="1"/>
  <c r="A1966" i="1"/>
  <c r="A1965" i="1"/>
  <c r="A1964" i="1"/>
  <c r="A1962" i="1"/>
  <c r="A1960" i="1"/>
  <c r="A1959" i="1"/>
  <c r="A1958" i="1"/>
  <c r="A1957" i="1"/>
  <c r="A1956" i="1"/>
  <c r="A1954" i="1"/>
  <c r="A1953" i="1"/>
  <c r="A1952" i="1"/>
  <c r="A1951" i="1"/>
  <c r="A1950" i="1"/>
  <c r="A1949" i="1"/>
  <c r="A1948" i="1"/>
  <c r="A1947" i="1"/>
  <c r="A1946" i="1"/>
  <c r="A1945" i="1"/>
  <c r="A1943" i="1"/>
  <c r="A1942" i="1"/>
  <c r="A1941" i="1"/>
  <c r="A1940" i="1"/>
  <c r="A1939" i="1"/>
  <c r="A1938" i="1"/>
  <c r="A1937" i="1"/>
  <c r="A1936" i="1"/>
  <c r="A1934" i="1"/>
  <c r="A1933" i="1"/>
  <c r="A1932" i="1"/>
  <c r="A1931" i="1"/>
  <c r="A1930" i="1"/>
  <c r="A1929" i="1"/>
  <c r="A1928" i="1"/>
  <c r="A1927" i="1"/>
  <c r="A1926" i="1"/>
  <c r="A1925" i="1"/>
  <c r="A1923" i="1"/>
  <c r="A1922" i="1"/>
  <c r="A1921" i="1"/>
  <c r="A1920" i="1"/>
  <c r="A1919" i="1"/>
  <c r="A1918" i="1"/>
  <c r="A1917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4" i="1"/>
  <c r="A1893" i="1"/>
  <c r="A1892" i="1"/>
  <c r="A1891" i="1"/>
  <c r="A1889" i="1"/>
  <c r="A1888" i="1"/>
  <c r="A1887" i="1"/>
  <c r="A1886" i="1"/>
  <c r="A1885" i="1"/>
  <c r="A1884" i="1"/>
  <c r="A1883" i="1"/>
  <c r="A1882" i="1"/>
  <c r="A1880" i="1"/>
  <c r="A1879" i="1"/>
  <c r="A1878" i="1"/>
  <c r="A1877" i="1"/>
  <c r="A1876" i="1"/>
  <c r="A1874" i="1"/>
  <c r="A1872" i="1"/>
  <c r="A1869" i="1"/>
  <c r="A1866" i="1"/>
  <c r="A1863" i="1"/>
  <c r="A1862" i="1"/>
  <c r="A1861" i="1"/>
  <c r="A1859" i="1"/>
  <c r="A1857" i="1"/>
  <c r="A1856" i="1"/>
  <c r="A1855" i="1"/>
  <c r="A1854" i="1"/>
  <c r="A1853" i="1"/>
  <c r="A1852" i="1"/>
  <c r="A1850" i="1"/>
  <c r="A1847" i="1"/>
  <c r="A1845" i="1"/>
  <c r="A1844" i="1"/>
  <c r="A1843" i="1"/>
  <c r="A1842" i="1"/>
  <c r="A1841" i="1"/>
  <c r="A1840" i="1"/>
  <c r="A1838" i="1"/>
  <c r="A1837" i="1"/>
  <c r="A1835" i="1"/>
  <c r="A1834" i="1"/>
  <c r="A1833" i="1"/>
  <c r="A1832" i="1"/>
  <c r="A1831" i="1"/>
  <c r="A1830" i="1"/>
  <c r="A1828" i="1"/>
  <c r="A1827" i="1"/>
  <c r="A1825" i="1"/>
  <c r="A1824" i="1"/>
  <c r="A1823" i="1"/>
  <c r="A1821" i="1"/>
  <c r="A1820" i="1"/>
  <c r="A1818" i="1"/>
  <c r="A1817" i="1"/>
  <c r="A1816" i="1"/>
  <c r="A1814" i="1"/>
  <c r="A1813" i="1"/>
  <c r="A1811" i="1"/>
  <c r="A1810" i="1"/>
  <c r="A1809" i="1"/>
  <c r="A1807" i="1"/>
  <c r="A1806" i="1"/>
  <c r="A1804" i="1"/>
  <c r="A1803" i="1"/>
  <c r="A1801" i="1"/>
  <c r="A1799" i="1"/>
  <c r="A1797" i="1"/>
  <c r="A1796" i="1"/>
  <c r="A1795" i="1"/>
  <c r="A1794" i="1"/>
  <c r="A1793" i="1"/>
  <c r="A1791" i="1"/>
  <c r="A1790" i="1"/>
  <c r="A1789" i="1"/>
  <c r="A1788" i="1"/>
  <c r="A1787" i="1"/>
  <c r="A1785" i="1"/>
  <c r="A1783" i="1"/>
  <c r="A1780" i="1"/>
  <c r="A1778" i="1"/>
  <c r="A1776" i="1"/>
  <c r="A1774" i="1"/>
  <c r="A1771" i="1"/>
  <c r="A1770" i="1"/>
  <c r="A1769" i="1"/>
  <c r="A1768" i="1"/>
  <c r="A1767" i="1"/>
  <c r="A1766" i="1"/>
  <c r="A1764" i="1"/>
  <c r="A1763" i="1"/>
  <c r="A1762" i="1"/>
  <c r="A1761" i="1"/>
  <c r="A1760" i="1"/>
  <c r="A1757" i="1"/>
  <c r="A1756" i="1"/>
  <c r="A1755" i="1"/>
  <c r="A1754" i="1"/>
  <c r="A1752" i="1"/>
  <c r="A1751" i="1"/>
  <c r="A1750" i="1"/>
  <c r="A1749" i="1"/>
  <c r="A1747" i="1"/>
  <c r="A1746" i="1"/>
  <c r="A1745" i="1"/>
  <c r="A1744" i="1"/>
  <c r="A1743" i="1"/>
  <c r="A1742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5" i="1"/>
  <c r="A1724" i="1"/>
  <c r="A1722" i="1"/>
  <c r="A1721" i="1"/>
  <c r="A1720" i="1"/>
  <c r="A1719" i="1"/>
  <c r="A1718" i="1"/>
  <c r="A1717" i="1"/>
  <c r="A1716" i="1"/>
  <c r="A1715" i="1"/>
  <c r="A1714" i="1"/>
  <c r="A1713" i="1"/>
  <c r="A1712" i="1"/>
  <c r="A1710" i="1"/>
  <c r="A1708" i="1"/>
  <c r="A1705" i="1"/>
  <c r="A1703" i="1"/>
  <c r="A1702" i="1"/>
  <c r="A1700" i="1"/>
  <c r="A1699" i="1"/>
  <c r="A1698" i="1"/>
  <c r="A1696" i="1"/>
  <c r="A1694" i="1"/>
  <c r="A1692" i="1"/>
  <c r="A1690" i="1"/>
  <c r="A1687" i="1"/>
  <c r="A1685" i="1"/>
  <c r="A1683" i="1"/>
  <c r="A1682" i="1"/>
  <c r="A1680" i="1"/>
  <c r="A1678" i="1"/>
  <c r="A1677" i="1"/>
  <c r="A1676" i="1"/>
  <c r="A1675" i="1"/>
  <c r="A1674" i="1"/>
  <c r="A1673" i="1"/>
  <c r="A1672" i="1"/>
  <c r="A1670" i="1"/>
  <c r="A1668" i="1"/>
  <c r="A1667" i="1"/>
  <c r="A1666" i="1"/>
  <c r="A1665" i="1"/>
  <c r="A1664" i="1"/>
  <c r="A1663" i="1"/>
  <c r="A1662" i="1"/>
  <c r="A1660" i="1"/>
  <c r="A1657" i="1"/>
  <c r="A1656" i="1"/>
  <c r="A1655" i="1"/>
  <c r="A1654" i="1"/>
  <c r="A1653" i="1"/>
  <c r="A1652" i="1"/>
  <c r="A1651" i="1"/>
  <c r="A1650" i="1"/>
  <c r="A1649" i="1"/>
  <c r="A1648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599" i="1"/>
  <c r="A1598" i="1"/>
  <c r="A1597" i="1"/>
  <c r="A1596" i="1"/>
  <c r="A1595" i="1"/>
  <c r="A1594" i="1"/>
  <c r="A1593" i="1"/>
  <c r="A1592" i="1"/>
  <c r="A1591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6" i="1"/>
  <c r="A1565" i="1"/>
  <c r="A1564" i="1"/>
  <c r="A1563" i="1"/>
  <c r="A1562" i="1"/>
  <c r="A1561" i="1"/>
  <c r="A1560" i="1"/>
  <c r="A1559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1" i="1"/>
  <c r="A1480" i="1"/>
  <c r="A1479" i="1"/>
  <c r="A1478" i="1"/>
  <c r="A1477" i="1"/>
  <c r="A1476" i="1"/>
  <c r="A1475" i="1"/>
  <c r="A1474" i="1"/>
  <c r="A1473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5" i="1"/>
  <c r="A1454" i="1"/>
  <c r="A1453" i="1"/>
  <c r="A1452" i="1"/>
  <c r="A1451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8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0" i="1"/>
  <c r="A1379" i="1"/>
  <c r="A1378" i="1"/>
  <c r="A1377" i="1"/>
  <c r="A1376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6" i="1"/>
  <c r="A1355" i="1"/>
  <c r="A1353" i="1"/>
  <c r="A1352" i="1"/>
  <c r="A1351" i="1"/>
  <c r="A1349" i="1"/>
  <c r="A1347" i="1"/>
  <c r="A1346" i="1"/>
  <c r="A1345" i="1"/>
  <c r="A1344" i="1"/>
  <c r="A1343" i="1"/>
  <c r="A1342" i="1"/>
  <c r="A1340" i="1"/>
  <c r="A1339" i="1"/>
  <c r="A1338" i="1"/>
  <c r="A1337" i="1"/>
  <c r="A1335" i="1"/>
  <c r="A1334" i="1"/>
  <c r="A1333" i="1"/>
  <c r="A1332" i="1"/>
  <c r="A1331" i="1"/>
  <c r="A1330" i="1"/>
  <c r="A1329" i="1"/>
  <c r="A1327" i="1"/>
  <c r="A1326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5" i="1"/>
  <c r="A1284" i="1"/>
  <c r="A1283" i="1"/>
  <c r="A1282" i="1"/>
  <c r="A1281" i="1"/>
  <c r="A1280" i="1"/>
  <c r="A1279" i="1"/>
  <c r="A1278" i="1"/>
  <c r="A1277" i="1"/>
  <c r="A1275" i="1"/>
  <c r="A1274" i="1"/>
  <c r="A1273" i="1"/>
  <c r="A1272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49" i="1"/>
  <c r="A1248" i="1"/>
  <c r="A1246" i="1"/>
  <c r="A1245" i="1"/>
  <c r="A1244" i="1"/>
  <c r="A1243" i="1"/>
  <c r="A1242" i="1"/>
  <c r="A1240" i="1"/>
  <c r="A1239" i="1"/>
  <c r="A1238" i="1"/>
  <c r="A1237" i="1"/>
  <c r="A1236" i="1"/>
  <c r="A1235" i="1"/>
  <c r="A1234" i="1"/>
  <c r="A1233" i="1"/>
  <c r="A1232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3" i="1"/>
  <c r="A1212" i="1"/>
  <c r="A1211" i="1"/>
  <c r="A1210" i="1"/>
  <c r="A1209" i="1"/>
  <c r="A1208" i="1"/>
  <c r="A1207" i="1"/>
  <c r="A1206" i="1"/>
  <c r="A1205" i="1"/>
  <c r="A1204" i="1"/>
  <c r="A1203" i="1"/>
  <c r="A1201" i="1"/>
  <c r="A1200" i="1"/>
  <c r="A1199" i="1"/>
  <c r="A1198" i="1"/>
  <c r="A1197" i="1"/>
  <c r="A1196" i="1"/>
  <c r="A1195" i="1"/>
  <c r="A1194" i="1"/>
  <c r="A1193" i="1"/>
  <c r="A1192" i="1"/>
  <c r="A1191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69" i="1"/>
  <c r="A1168" i="1"/>
  <c r="A1167" i="1"/>
  <c r="A1166" i="1"/>
  <c r="A1165" i="1"/>
  <c r="A1164" i="1"/>
  <c r="A1163" i="1"/>
  <c r="A1162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7" i="1"/>
  <c r="A1094" i="1"/>
  <c r="A1092" i="1"/>
  <c r="A1091" i="1"/>
  <c r="A1090" i="1"/>
  <c r="A1088" i="1"/>
  <c r="A1087" i="1"/>
  <c r="A1086" i="1"/>
  <c r="A1085" i="1"/>
  <c r="A1084" i="1"/>
  <c r="A1083" i="1"/>
  <c r="A1081" i="1"/>
  <c r="A1078" i="1"/>
  <c r="A1077" i="1"/>
  <c r="A1076" i="1"/>
  <c r="A1075" i="1"/>
  <c r="A1074" i="1"/>
  <c r="A1073" i="1"/>
  <c r="A1072" i="1"/>
  <c r="A1071" i="1"/>
  <c r="A1070" i="1"/>
  <c r="A1068" i="1"/>
  <c r="A1067" i="1"/>
  <c r="A1066" i="1"/>
  <c r="A1064" i="1"/>
  <c r="A1063" i="1"/>
  <c r="A1062" i="1"/>
  <c r="A1061" i="1"/>
  <c r="A1060" i="1"/>
  <c r="A1059" i="1"/>
  <c r="A1058" i="1"/>
  <c r="A1057" i="1"/>
  <c r="A1056" i="1"/>
  <c r="A1054" i="1"/>
  <c r="A1053" i="1"/>
  <c r="A1052" i="1"/>
  <c r="A1050" i="1"/>
  <c r="A1049" i="1"/>
  <c r="A1048" i="1"/>
  <c r="A1047" i="1"/>
  <c r="A1045" i="1"/>
  <c r="A1043" i="1"/>
  <c r="A1042" i="1"/>
  <c r="A1041" i="1"/>
  <c r="A1040" i="1"/>
  <c r="A1038" i="1"/>
  <c r="A1037" i="1"/>
  <c r="A1036" i="1"/>
  <c r="A1035" i="1"/>
  <c r="A1034" i="1"/>
  <c r="A1033" i="1"/>
  <c r="A1032" i="1"/>
  <c r="A1030" i="1"/>
  <c r="A1029" i="1"/>
  <c r="A1028" i="1"/>
  <c r="A1027" i="1"/>
  <c r="A1026" i="1"/>
  <c r="A1025" i="1"/>
  <c r="A1024" i="1"/>
  <c r="A1023" i="1"/>
  <c r="A1021" i="1"/>
  <c r="A1020" i="1"/>
  <c r="A1019" i="1"/>
  <c r="A1018" i="1"/>
  <c r="A1017" i="1"/>
  <c r="A1016" i="1"/>
  <c r="A1014" i="1"/>
  <c r="A1013" i="1"/>
  <c r="A1011" i="1"/>
  <c r="A1010" i="1"/>
  <c r="A1008" i="1"/>
  <c r="A1007" i="1"/>
  <c r="A1006" i="1"/>
  <c r="A1004" i="1"/>
  <c r="A1003" i="1"/>
  <c r="A1001" i="1"/>
  <c r="A1000" i="1"/>
  <c r="A999" i="1"/>
  <c r="A997" i="1"/>
  <c r="A996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0" i="1"/>
  <c r="A979" i="1"/>
  <c r="A978" i="1"/>
  <c r="A977" i="1"/>
  <c r="A976" i="1"/>
  <c r="A974" i="1"/>
  <c r="A973" i="1"/>
  <c r="A972" i="1"/>
  <c r="A971" i="1"/>
  <c r="A970" i="1"/>
  <c r="A967" i="1"/>
  <c r="A966" i="1"/>
  <c r="A965" i="1"/>
  <c r="A964" i="1"/>
  <c r="A962" i="1"/>
  <c r="A961" i="1"/>
  <c r="A960" i="1"/>
  <c r="A958" i="1"/>
  <c r="A956" i="1"/>
  <c r="A955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0" i="1"/>
  <c r="A918" i="1"/>
  <c r="A917" i="1"/>
  <c r="A916" i="1"/>
  <c r="A915" i="1"/>
  <c r="A914" i="1"/>
  <c r="A913" i="1"/>
  <c r="A912" i="1"/>
  <c r="A911" i="1"/>
  <c r="A909" i="1"/>
  <c r="A907" i="1"/>
  <c r="A905" i="1"/>
  <c r="A903" i="1"/>
  <c r="A902" i="1"/>
  <c r="A901" i="1"/>
  <c r="A900" i="1"/>
  <c r="A899" i="1"/>
  <c r="A898" i="1"/>
  <c r="A897" i="1"/>
  <c r="A895" i="1"/>
  <c r="A893" i="1"/>
  <c r="A891" i="1"/>
  <c r="A889" i="1"/>
  <c r="A888" i="1"/>
  <c r="A886" i="1"/>
  <c r="A884" i="1"/>
  <c r="A883" i="1"/>
  <c r="A882" i="1"/>
  <c r="A881" i="1"/>
  <c r="A880" i="1"/>
  <c r="A879" i="1"/>
  <c r="A878" i="1"/>
  <c r="A875" i="1"/>
  <c r="A874" i="1"/>
  <c r="A873" i="1"/>
  <c r="A872" i="1"/>
  <c r="A871" i="1"/>
  <c r="A870" i="1"/>
  <c r="A869" i="1"/>
  <c r="A868" i="1"/>
  <c r="A866" i="1"/>
  <c r="A865" i="1"/>
  <c r="A864" i="1"/>
  <c r="A863" i="1"/>
  <c r="A862" i="1"/>
  <c r="A861" i="1"/>
  <c r="A860" i="1"/>
  <c r="A859" i="1"/>
  <c r="A858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2" i="1"/>
  <c r="A841" i="1"/>
  <c r="A840" i="1"/>
  <c r="A839" i="1"/>
  <c r="A838" i="1"/>
  <c r="A836" i="1"/>
  <c r="A834" i="1"/>
  <c r="A833" i="1"/>
  <c r="A830" i="1"/>
  <c r="A828" i="1"/>
  <c r="A827" i="1"/>
  <c r="A826" i="1"/>
  <c r="A824" i="1"/>
  <c r="A822" i="1"/>
  <c r="A821" i="1"/>
  <c r="A820" i="1"/>
  <c r="A818" i="1"/>
  <c r="A817" i="1"/>
  <c r="A816" i="1"/>
  <c r="A815" i="1"/>
  <c r="A812" i="1"/>
  <c r="A811" i="1"/>
  <c r="A810" i="1"/>
  <c r="A809" i="1"/>
  <c r="A807" i="1"/>
  <c r="A806" i="1"/>
  <c r="A804" i="1"/>
  <c r="A803" i="1"/>
  <c r="A802" i="1"/>
  <c r="A801" i="1"/>
  <c r="A800" i="1"/>
  <c r="A799" i="1"/>
  <c r="A797" i="1"/>
  <c r="A796" i="1"/>
  <c r="A795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6" i="1"/>
  <c r="A755" i="1"/>
  <c r="A754" i="1"/>
  <c r="A753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4" i="1"/>
  <c r="A733" i="1"/>
  <c r="A732" i="1"/>
  <c r="A731" i="1"/>
  <c r="A730" i="1"/>
  <c r="A729" i="1"/>
  <c r="A728" i="1"/>
  <c r="A727" i="1"/>
  <c r="A726" i="1"/>
  <c r="A725" i="1"/>
  <c r="A723" i="1"/>
  <c r="A722" i="1"/>
  <c r="A720" i="1"/>
  <c r="A719" i="1"/>
  <c r="A718" i="1"/>
  <c r="A717" i="1"/>
  <c r="A716" i="1"/>
  <c r="A715" i="1"/>
  <c r="A714" i="1"/>
  <c r="A713" i="1"/>
  <c r="A712" i="1"/>
  <c r="A711" i="1"/>
  <c r="A710" i="1"/>
  <c r="A708" i="1"/>
  <c r="A706" i="1"/>
  <c r="A705" i="1"/>
  <c r="A703" i="1"/>
  <c r="A702" i="1"/>
  <c r="A701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0" i="1"/>
  <c r="A669" i="1"/>
  <c r="A668" i="1"/>
  <c r="A667" i="1"/>
  <c r="A666" i="1"/>
  <c r="A665" i="1"/>
  <c r="A664" i="1"/>
  <c r="A663" i="1"/>
  <c r="A662" i="1"/>
  <c r="A661" i="1"/>
  <c r="A660" i="1"/>
  <c r="A658" i="1"/>
  <c r="A656" i="1"/>
  <c r="A655" i="1"/>
  <c r="A654" i="1"/>
  <c r="A653" i="1"/>
  <c r="A652" i="1"/>
  <c r="A651" i="1"/>
  <c r="A650" i="1"/>
  <c r="A649" i="1"/>
  <c r="A647" i="1"/>
  <c r="A646" i="1"/>
  <c r="A645" i="1"/>
  <c r="A644" i="1"/>
  <c r="A642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59" i="1"/>
  <c r="A558" i="1"/>
  <c r="A557" i="1"/>
  <c r="A556" i="1"/>
  <c r="A554" i="1"/>
  <c r="A552" i="1"/>
  <c r="A551" i="1"/>
  <c r="A550" i="1"/>
  <c r="A549" i="1"/>
  <c r="A548" i="1"/>
  <c r="A547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5" i="1"/>
  <c r="A524" i="1"/>
  <c r="A523" i="1"/>
  <c r="A522" i="1"/>
  <c r="A521" i="1"/>
  <c r="A520" i="1"/>
  <c r="A519" i="1"/>
  <c r="A518" i="1"/>
  <c r="A517" i="1"/>
  <c r="A516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4" i="1"/>
  <c r="A493" i="1"/>
  <c r="A492" i="1"/>
  <c r="A491" i="1"/>
  <c r="A490" i="1"/>
  <c r="A489" i="1"/>
  <c r="A488" i="1"/>
  <c r="A487" i="1"/>
  <c r="A486" i="1"/>
  <c r="A485" i="1"/>
  <c r="A484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0" i="1"/>
  <c r="A449" i="1"/>
  <c r="A448" i="1"/>
  <c r="A447" i="1"/>
  <c r="A446" i="1"/>
  <c r="A445" i="1"/>
  <c r="A444" i="1"/>
  <c r="A443" i="1"/>
  <c r="A442" i="1"/>
  <c r="A441" i="1"/>
  <c r="A440" i="1"/>
  <c r="A438" i="1"/>
  <c r="A437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2" i="1"/>
  <c r="A401" i="1"/>
  <c r="A400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79" i="1"/>
  <c r="A377" i="1"/>
  <c r="A374" i="1"/>
  <c r="A373" i="1"/>
  <c r="A372" i="1"/>
  <c r="A371" i="1"/>
  <c r="A369" i="1"/>
  <c r="A368" i="1"/>
  <c r="A367" i="1"/>
  <c r="A366" i="1"/>
  <c r="A364" i="1"/>
  <c r="A363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5" i="1"/>
  <c r="A324" i="1"/>
  <c r="A323" i="1"/>
  <c r="A321" i="1"/>
  <c r="A319" i="1"/>
  <c r="A318" i="1"/>
  <c r="A317" i="1"/>
  <c r="A315" i="1"/>
  <c r="A314" i="1"/>
  <c r="A313" i="1"/>
  <c r="A312" i="1"/>
  <c r="A311" i="1"/>
  <c r="A309" i="1"/>
  <c r="A308" i="1"/>
  <c r="A307" i="1"/>
  <c r="A305" i="1"/>
  <c r="A303" i="1"/>
  <c r="A302" i="1"/>
  <c r="A301" i="1"/>
  <c r="A300" i="1"/>
  <c r="A299" i="1"/>
  <c r="A297" i="1"/>
  <c r="A295" i="1"/>
  <c r="A294" i="1"/>
  <c r="A293" i="1"/>
  <c r="A292" i="1"/>
  <c r="A291" i="1"/>
  <c r="A290" i="1"/>
  <c r="A289" i="1"/>
  <c r="A288" i="1"/>
  <c r="A287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2" i="1"/>
  <c r="A271" i="1"/>
  <c r="A270" i="1"/>
  <c r="A269" i="1"/>
  <c r="A267" i="1"/>
  <c r="A266" i="1"/>
  <c r="A265" i="1"/>
  <c r="A264" i="1"/>
  <c r="A263" i="1"/>
  <c r="A262" i="1"/>
  <c r="A261" i="1"/>
  <c r="A260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0" i="1"/>
  <c r="A229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6" i="1"/>
  <c r="A195" i="1"/>
  <c r="A194" i="1"/>
  <c r="A192" i="1"/>
  <c r="A191" i="1"/>
  <c r="A190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1" i="1"/>
  <c r="A170" i="1"/>
  <c r="A169" i="1"/>
  <c r="A168" i="1"/>
  <c r="A167" i="1"/>
  <c r="A166" i="1"/>
  <c r="A165" i="1"/>
  <c r="A164" i="1"/>
  <c r="A163" i="1"/>
  <c r="A162" i="1"/>
  <c r="A161" i="1"/>
  <c r="A159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4" i="1"/>
  <c r="A133" i="1"/>
  <c r="A132" i="1"/>
  <c r="A131" i="1"/>
  <c r="A129" i="1"/>
  <c r="A126" i="1"/>
  <c r="A123" i="1"/>
  <c r="A122" i="1"/>
  <c r="A120" i="1"/>
  <c r="A119" i="1"/>
  <c r="A118" i="1"/>
  <c r="A117" i="1"/>
  <c r="A116" i="1"/>
  <c r="A115" i="1"/>
  <c r="A114" i="1"/>
  <c r="A113" i="1"/>
  <c r="A112" i="1"/>
  <c r="A111" i="1"/>
  <c r="A109" i="1"/>
  <c r="A108" i="1"/>
  <c r="A107" i="1"/>
  <c r="A106" i="1"/>
  <c r="A105" i="1"/>
  <c r="A104" i="1"/>
  <c r="A103" i="1"/>
  <c r="A102" i="1"/>
  <c r="A101" i="1"/>
  <c r="A100" i="1"/>
  <c r="A98" i="1"/>
  <c r="A97" i="1"/>
  <c r="A96" i="1"/>
  <c r="A95" i="1"/>
  <c r="A94" i="1"/>
  <c r="A93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3" i="1"/>
  <c r="A72" i="1"/>
  <c r="A71" i="1"/>
  <c r="A70" i="1"/>
  <c r="A69" i="1"/>
  <c r="A68" i="1"/>
  <c r="A67" i="1"/>
  <c r="A66" i="1"/>
  <c r="A65" i="1"/>
  <c r="A63" i="1"/>
  <c r="A62" i="1"/>
  <c r="A61" i="1"/>
  <c r="A60" i="1"/>
  <c r="A59" i="1"/>
  <c r="A58" i="1"/>
  <c r="A57" i="1"/>
  <c r="A56" i="1"/>
  <c r="A55" i="1"/>
  <c r="A54" i="1"/>
  <c r="A53" i="1"/>
  <c r="A52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19" i="1"/>
  <c r="A18" i="1"/>
  <c r="A17" i="1"/>
  <c r="A15" i="1"/>
  <c r="A14" i="1"/>
  <c r="A13" i="1"/>
  <c r="A12" i="1"/>
</calcChain>
</file>

<file path=xl/sharedStrings.xml><?xml version="1.0" encoding="utf-8"?>
<sst xmlns="http://schemas.openxmlformats.org/spreadsheetml/2006/main" count="37759" uniqueCount="19699">
  <si>
    <t>Год выпуска</t>
  </si>
  <si>
    <t>Наименование</t>
  </si>
  <si>
    <t>Тип</t>
  </si>
  <si>
    <t>ALFAROMEO</t>
  </si>
  <si>
    <t>33 I 1983-1994</t>
  </si>
  <si>
    <t>6961336</t>
  </si>
  <si>
    <t>1983-1990</t>
  </si>
  <si>
    <t>ALFAROMEO ALFA 33 СД+ХБ+УН 1983-1990  СТ ВЕТР ЗЛ</t>
  </si>
  <si>
    <t>ветровое</t>
  </si>
  <si>
    <t>6990028</t>
  </si>
  <si>
    <t>ALFAROMEO ALFA 33 СД+ХБ+УН 1983-1990  СТ ПЕР ДВ ОП ЛВ ЗЛ</t>
  </si>
  <si>
    <t>боковое</t>
  </si>
  <si>
    <t>6990030</t>
  </si>
  <si>
    <t>1983-1994</t>
  </si>
  <si>
    <t>ALFAROMEO ALFA 33 СД+ХБ 1983-1994  СТ ЗАДН ДВ ОП ЛВ ЗЛ</t>
  </si>
  <si>
    <t>6990032</t>
  </si>
  <si>
    <t>ALFAROMEO ALFA 33 СД+ХБ 1983-1994  СТ БОК НЕП ЛВ ЗЛ</t>
  </si>
  <si>
    <t>6990029</t>
  </si>
  <si>
    <t>ALFAROMEO ALFA 33 СД+ХБ 1983-1990  СТ ЗАДН ДВ ОП ПР ЗЛ</t>
  </si>
  <si>
    <t>6990031</t>
  </si>
  <si>
    <t>33 II 1990-1994</t>
  </si>
  <si>
    <t>6961621</t>
  </si>
  <si>
    <t>1990-1994</t>
  </si>
  <si>
    <t>ALFAROMEO ALFA 33 1990-1994  СТ ВЕТР ЗЛ</t>
  </si>
  <si>
    <t>6100438</t>
  </si>
  <si>
    <t>-</t>
  </si>
  <si>
    <t>ALFAROMEO ALFA 33 1990-1994  МОЛД.  УСТ КОМПЛ ДЛЯ СТ ВЕТР ДЛЯ СТ ВЕТР</t>
  </si>
  <si>
    <t>молдинг</t>
  </si>
  <si>
    <t>6990034</t>
  </si>
  <si>
    <t>ALFAROMEO ALFA 33 ХБ 1990-1994  СТ ЗАДН ЗЛ</t>
  </si>
  <si>
    <t>заднее</t>
  </si>
  <si>
    <t>75 1986-1992</t>
  </si>
  <si>
    <t>6961619</t>
  </si>
  <si>
    <t>1986-1992</t>
  </si>
  <si>
    <t>ALFAROMEO ALFA 75 1986-1992  СТ ВЕТР ЗЛ</t>
  </si>
  <si>
    <t>6100439</t>
  </si>
  <si>
    <t>ALFAROMEO ALFA 75 1987-1993 МОЛД.S   УСТ КОМПЛ ДЛЯ СТ ВЕТР ДЛЯ СТ ВЕТР</t>
  </si>
  <si>
    <t>6996609</t>
  </si>
  <si>
    <t>ALFAROMEO ALFA 75 87-93 СТ ЗАДН ДВ ОП ЛВ ЗЛ</t>
  </si>
  <si>
    <t>6996610</t>
  </si>
  <si>
    <t>ALFAROMEO ALFA 75 1986-1992  СТ БОК НЕП ЛВ ЗЛ</t>
  </si>
  <si>
    <t>6996611</t>
  </si>
  <si>
    <t>ALFAROMEO ALFA 75 1986-1992  СТ ПЕР ДВ ОП ПР ЗЛ</t>
  </si>
  <si>
    <t>6996612</t>
  </si>
  <si>
    <t>ALFAROMEO ALFA 75 1986-1992  СТ ЗАДН ДВ ОП ПР ЗЛ</t>
  </si>
  <si>
    <t>145 (3Д)/146 (5Д) 1994/1995-2001</t>
  </si>
  <si>
    <t>6961205</t>
  </si>
  <si>
    <t>1994-2001</t>
  </si>
  <si>
    <t>ALFAROMEO ALFA 145 1994/146 1995-2001  СТ ВЕТР ЗЛ</t>
  </si>
  <si>
    <t>6100014</t>
  </si>
  <si>
    <t>ALFAROMEO ALFA 145/146 1994-2001  МОЛД  ДЛЯ СТ ВЕТР С АЛЮМ ВСТАВКОЙ</t>
  </si>
  <si>
    <t>6992644</t>
  </si>
  <si>
    <t>1995-2001</t>
  </si>
  <si>
    <t>ALFAROMEO ALFA 146 1995-2001  СТ ЗАДН ЗЛ+АНТ+ИЗМ ИНК</t>
  </si>
  <si>
    <t>6991053</t>
  </si>
  <si>
    <t>ALFAROMEO ALFA 145 ХБ 1995-2001 СТ ЗАДН ЭО ЗЛ+ИНК</t>
  </si>
  <si>
    <t>6994309</t>
  </si>
  <si>
    <t>ALFAROMEO ALFA 145 1994-2001  СТ ПЕР ДВ ОП ЛВ ЗЛ</t>
  </si>
  <si>
    <t>6996975</t>
  </si>
  <si>
    <t>ALFAROMEO ALFA 145 1994-2001  СТ БОК НЕП ЛВ ЗЛ ОТКР</t>
  </si>
  <si>
    <t>6994311</t>
  </si>
  <si>
    <t>ALFAROMEO ALFA 146 1995-2001  СТ ПЕР ДВ ОП ЛВ ЗЛ</t>
  </si>
  <si>
    <t>6994312</t>
  </si>
  <si>
    <t>ALFAROMEO ALFA 146 1995-2001  СТ ЗАДН ДВ ОП ЛВ ЗЛ</t>
  </si>
  <si>
    <t>6994313</t>
  </si>
  <si>
    <t>ALFAROMEO ALFA 145 1994-2001  СТ ПЕР ДВ ОП ПР ЗЛ</t>
  </si>
  <si>
    <t>6996976</t>
  </si>
  <si>
    <t>ALFAROMEO ALFA 145 1994-2001  СТ БОК НЕП ПР ЗЛ ОТКР</t>
  </si>
  <si>
    <t>6994315</t>
  </si>
  <si>
    <t>ALFAROMEO ALFA 146 1995-2001  СТ ПЕР ДВ ОП ПР ЗЛ</t>
  </si>
  <si>
    <t>6994316</t>
  </si>
  <si>
    <t>ALFAROMEO ALFA 146 1995-2001  СТ ЗАДН ДВ ОП ПР ЗЛ</t>
  </si>
  <si>
    <t>147 2000-</t>
  </si>
  <si>
    <t>6960530</t>
  </si>
  <si>
    <t>2000-2010</t>
  </si>
  <si>
    <t>ALFAROMEO 147 2000-  СТ ВЕТР ЗЛ</t>
  </si>
  <si>
    <t>6961469</t>
  </si>
  <si>
    <t>ALFAROMEO 147 2000-  СТ ВЕТР ЗЛ+ДД</t>
  </si>
  <si>
    <t>6100268</t>
  </si>
  <si>
    <t>ALFAROMEO 147 3Д/5Д 2000-  МОЛД  ДЛЯ СТ ВЕТР</t>
  </si>
  <si>
    <t>6980021</t>
  </si>
  <si>
    <t>ALFAROMEO 147 ХБ 2000-  СТ ЗАДН ЗЛ+СТОП+УО</t>
  </si>
  <si>
    <t>6993213</t>
  </si>
  <si>
    <t>ALFAROMEO 147 2000-  СТ ПЕР ДВ ОП ЛВ ЗЛ+УО</t>
  </si>
  <si>
    <t>6980395</t>
  </si>
  <si>
    <t>6980055</t>
  </si>
  <si>
    <t>ALFAROMEO 147 2000-  СТ ЗАДН ДВ ОП ЛВ ЗЛ+УО</t>
  </si>
  <si>
    <t>6993214</t>
  </si>
  <si>
    <t>ALFAROMEO 147 2000-  СТ ПЕР ДВ ОП ПР ЗЛ+УО</t>
  </si>
  <si>
    <t>6980054</t>
  </si>
  <si>
    <t>6980056</t>
  </si>
  <si>
    <t>ALFAROMEO 147 2000-  СТ ЗАДН ДВ ОП ПР ЗЛ+УО</t>
  </si>
  <si>
    <t>155 1992-1998</t>
  </si>
  <si>
    <t>6961202</t>
  </si>
  <si>
    <t>1992-1998</t>
  </si>
  <si>
    <t>ALFAROMEO ALFA 155 1992-1998  СТ ВЕТР ГЛ</t>
  </si>
  <si>
    <t>6961201</t>
  </si>
  <si>
    <t>ALFAROMEO ALFA 155 1992-1998  СТ ВЕТР ЗЛ</t>
  </si>
  <si>
    <t>6963779</t>
  </si>
  <si>
    <t>ALFAROMEO ALFA 155 1992-1998  СТ ВЕТР ЗЛЗЛ/LANCIA DEDRA 1990- /DELTA 1993-1997  СТ ВЕТР ЗЛЗЛ</t>
  </si>
  <si>
    <t>6101139</t>
  </si>
  <si>
    <t>ALFAROMEO ALFA 155 1991-1998  УСТ КОМПЛ ДЛЯ СТ ВЕТР</t>
  </si>
  <si>
    <t>6998933</t>
  </si>
  <si>
    <t>ALFAROMEO ALFA 155 СД 1992-1998  СТ ЗАДН ЗЛ</t>
  </si>
  <si>
    <t>6190925</t>
  </si>
  <si>
    <t>ALFAROMEO ALFA 155 1992-1998  СТ ПЕР ДВ ОП ЛВ ЗЛ+УО/FIAT TIPO/TEMPRA СД+УН 1988-1996 СТ ПЕР ДВ ОП ЛВ ЗЛ+ФИТ</t>
  </si>
  <si>
    <t>6993097</t>
  </si>
  <si>
    <t>ALFAROMEO ALFA 155 1992-1998  СТ ЗАДН ДВ ОП ЛВ ГЛ+УО</t>
  </si>
  <si>
    <t>6190924</t>
  </si>
  <si>
    <t>ALFAROMEO ALFA 155 1992-1998  СТ ЗАДН ДВ ОП ЛВ ЗЛ+УО/FIAT TIPO/TEMPRA СЕД+УН 1988-1996 СТ ЗАДН ДВ ОП ЗЛ ЛВ+УО</t>
  </si>
  <si>
    <t>6993099</t>
  </si>
  <si>
    <t>ALFAROMEO ALFA 155 1992-1998  СТ ФОРТ ЗАДН НЕП ЛВ ГЛ</t>
  </si>
  <si>
    <t>6993105</t>
  </si>
  <si>
    <t>ALFAROMEO ALFA 155 1992-1998  СТ ПЕР ДВ ОП ПР ГЛ+УО</t>
  </si>
  <si>
    <t>6190926</t>
  </si>
  <si>
    <t>ALFAROMEO ALFA 155 1992-1998  СТ ЗАДН ДВ ОП ПР ЗЛ+УО/FIAT TIPO/TEMPRA СД+УН 1988-1996 СТ ЗАДН ДВ ОП ПР ЗЛ+ФИТ</t>
  </si>
  <si>
    <t>6993098</t>
  </si>
  <si>
    <t>ALFAROMEO ALFA 155 1992-1998  СТ ФОРТ ЗАДН НЕП ПР ГЛ</t>
  </si>
  <si>
    <t>156 1997-2005</t>
  </si>
  <si>
    <t>6961203</t>
  </si>
  <si>
    <t>1997-2005</t>
  </si>
  <si>
    <t>ALFAROMEO ALFA 156 1997-2005  СТ ВЕТР ЗЛ</t>
  </si>
  <si>
    <t>6961084</t>
  </si>
  <si>
    <t>ALFAROMEO ALFA 156 1997-2005  СТ ВЕТР ЗЛ+ИЗМ ШЕЛК</t>
  </si>
  <si>
    <t>6100017</t>
  </si>
  <si>
    <t>ALFAROMEO ALFA 156 1998-2005  МОЛД ДЛЯ СТ ВЕТР</t>
  </si>
  <si>
    <t>6994913</t>
  </si>
  <si>
    <t>ALFAROMEO ALFA 156 СД 1997-2005  СТ ЗАДН ЭО ЗЛ+АНТ</t>
  </si>
  <si>
    <t>6100437</t>
  </si>
  <si>
    <t>ALFAROMEO ALFA 156 1997-2005  МОЛД  ДЛЯ СТ ЗАДН</t>
  </si>
  <si>
    <t>6997630</t>
  </si>
  <si>
    <t>ALFAROMEO ALFA 156 1997-2005  СТ ПЕР ДВ ОП ЛВ ЗЛ+УО</t>
  </si>
  <si>
    <t>6997632</t>
  </si>
  <si>
    <t>ALFAROMEO ALFA 156 1997-2005  СТ ЗАДН ДВ ОП ЛВ ЗЛ+УО</t>
  </si>
  <si>
    <t>6997631</t>
  </si>
  <si>
    <t>ALFAROMEO ALFA 156 1997-2005  СТ ПЕР ДВ ОП ПР ЗЛ+УО</t>
  </si>
  <si>
    <t>6997633</t>
  </si>
  <si>
    <t>ALFAROMEO ALFA 156 1997-2005  СТ ЗАДН ДВ ОП ПР ЗЛ+УО</t>
  </si>
  <si>
    <t>159 СЕД+УН 2005-</t>
  </si>
  <si>
    <t>6960592</t>
  </si>
  <si>
    <t>2005-2011</t>
  </si>
  <si>
    <t>ALFAROMEO 159 СЕД 2005-  СТ ВЕТР ЗЛ</t>
  </si>
  <si>
    <t>6961396</t>
  </si>
  <si>
    <t>ALFAROMEO 159 СЕД 2005-  СТ ВЕТР ЗЛ+ДД+ИЗМ ШЕЛК</t>
  </si>
  <si>
    <t>6993351</t>
  </si>
  <si>
    <t>ALFAROMEO 159 5Д УН 2005-  СТ ЗАДН ТЗЛ+ИНК</t>
  </si>
  <si>
    <t>6992154</t>
  </si>
  <si>
    <t>ALFAROMEO 159 5Д УН 2005-  СТ ЗАДН ЗЛ+ИНК</t>
  </si>
  <si>
    <t>6992167</t>
  </si>
  <si>
    <t>ALFAROMEO 159 5Д СД 2005-  СТ ЗАДН ЗЛ+СТОП</t>
  </si>
  <si>
    <t>6993354</t>
  </si>
  <si>
    <t>ALFAROMEO 159 5Д УН 2005-  СТ ЗАДН ДВ ОП ЛВ ТЗЛ+УО</t>
  </si>
  <si>
    <t>6993352</t>
  </si>
  <si>
    <t>ALFAROMEO 159 5Д УН 2005-  СТ БОК НЕП ЛВ ТЗЛ+ИНК</t>
  </si>
  <si>
    <t>6993184</t>
  </si>
  <si>
    <t>ALFAROMEO 159 5Д УН 2005-  СТ ЗАДН ДВ ОП ЛВ ЗЛ+УО</t>
  </si>
  <si>
    <t>6992284</t>
  </si>
  <si>
    <t>ALFAROMEO 159 5Д УН 2005-  СТ БОК НЕП ЛВ ЗЛ+ИНК</t>
  </si>
  <si>
    <t>6992164</t>
  </si>
  <si>
    <t>ALFAROMEO 159 СЕД 2005-  СТ ПЕР ДВ ОП ЛВ ЗЛ</t>
  </si>
  <si>
    <t>6992166</t>
  </si>
  <si>
    <t>ALFAROMEO 159 СЕД 2005-  СТ ЗАДН ДВ ОП ЛВ ЗЛ+УО</t>
  </si>
  <si>
    <t>6993355</t>
  </si>
  <si>
    <t>ALFAROMEO 159 5Д УН 2005-  СТ ЗАДН ДВ ОП ПР ТЗЛ+УО</t>
  </si>
  <si>
    <t>6993353</t>
  </si>
  <si>
    <t>ALFAROMEO 159 5Д УН 2005-  СТ БОК НЕП ПР ТЗЛ+ИНК</t>
  </si>
  <si>
    <t>6993183</t>
  </si>
  <si>
    <t>ALFAROMEO 159 5Д УН 2005-  СТ ЗАДН ДВ ОП ПР ЗЛ+УО</t>
  </si>
  <si>
    <t>6992285</t>
  </si>
  <si>
    <t>ALFAROMEO 159 5Д УН 2005-  СТ БОК НЕП ПР ЗЛ+ИНК</t>
  </si>
  <si>
    <t>6992163</t>
  </si>
  <si>
    <t>ALFAROMEO 159 СЕД 2005-  СТ ПЕР ДВ ОП ПР ЗЛ</t>
  </si>
  <si>
    <t>6992165</t>
  </si>
  <si>
    <t>ALFAROMEO 159 СЕД 2005-  СТ ЗАДН ДВ ОП ПР ЗЛ+УО</t>
  </si>
  <si>
    <t>164 1989-1998</t>
  </si>
  <si>
    <t>6969800</t>
  </si>
  <si>
    <t>1989-1998</t>
  </si>
  <si>
    <t>ALFAROMEO ALFA 164 1989-1998  СТ ВЕТР ЗЛЗЛ</t>
  </si>
  <si>
    <t>6995636</t>
  </si>
  <si>
    <t>ALFAROMEO ALFA 164 1989-1998  СТ ПЕР ДВ ОП ЛВ ЗЛ</t>
  </si>
  <si>
    <t>6996614</t>
  </si>
  <si>
    <t>ALFAROMEO ALFA 164 1989-1998  СТ ЗАДН ДВ ОП ЛВ ЗЛ</t>
  </si>
  <si>
    <t>6995637</t>
  </si>
  <si>
    <t>ALFAROMEO ALFA 164 1989-1998  СТ ПЕР ДВ ОП ПР ЗЛ</t>
  </si>
  <si>
    <t>6996616</t>
  </si>
  <si>
    <t>ALFAROMEO ALFA 164 1989-1998  СТ ЗАДН ДВ ОП ПР ЗЛ</t>
  </si>
  <si>
    <t>6996617</t>
  </si>
  <si>
    <t>ALFAROMEO ALFA 164 1989-1998  СТ ФОРТ ЗАДН НЕП ПР ЗЛ</t>
  </si>
  <si>
    <t>166 1998-</t>
  </si>
  <si>
    <t>6961635</t>
  </si>
  <si>
    <t>1998-2007</t>
  </si>
  <si>
    <t>ALFAROMEO 166 1998-  СТ ВЕТР ЗЛГЛ</t>
  </si>
  <si>
    <t>6961637</t>
  </si>
  <si>
    <t>ALFAROMEO 166 1998-  СТ ВЕТР ЗЛГЛ+ЭО</t>
  </si>
  <si>
    <t>6961636</t>
  </si>
  <si>
    <t>ALFAROMEO 166 1998-  СТ ВЕТР ЗЛГЛ+ЭО+ДД</t>
  </si>
  <si>
    <t>6961638</t>
  </si>
  <si>
    <t>ALFAROMEO 166 1998-  СТ ВЕТР ЗЛГЛ+ДД</t>
  </si>
  <si>
    <t>6100019</t>
  </si>
  <si>
    <t>ALFAROMEO 166 1998-  МОЛД  ДЛЯ СТ ВЕТР ВЕРХ</t>
  </si>
  <si>
    <t>6993014</t>
  </si>
  <si>
    <t>ALFAROMEO 166 СД 1998-  СТ ЗАДН ЗЛ+АНТ+СТОП+УО</t>
  </si>
  <si>
    <t>6993011</t>
  </si>
  <si>
    <t>ALFAROMEO 166 1998-  СТ ПЕР ДВ ОП ЛВ ЗЛ</t>
  </si>
  <si>
    <t>6993013</t>
  </si>
  <si>
    <t>ALFAROMEO 166 1998-  СТ ЗАДН ДВ ОП ЛВ ЗЛ+УО</t>
  </si>
  <si>
    <t>6993010</t>
  </si>
  <si>
    <t>ALFAROMEO 166 1998-  СТ ПЕР ДВ ОП ПР ЗЛ</t>
  </si>
  <si>
    <t>6993012</t>
  </si>
  <si>
    <t>ALFAROMEO 166 1998-  СТ ЗАДН ДВ ОП ПР ЗЛ+УО</t>
  </si>
  <si>
    <t>GT 2004-</t>
  </si>
  <si>
    <t>6960549</t>
  </si>
  <si>
    <t>2004-2010</t>
  </si>
  <si>
    <t>ALFAROMEO GT 2004-  СТ ВЕТР ЗЛ</t>
  </si>
  <si>
    <t>6960728</t>
  </si>
  <si>
    <t>ALFAROMEO GT 2004-  СТ ВЕТР ЗЛ+ДД+ИЗМ ШЕЛК</t>
  </si>
  <si>
    <t>6992526</t>
  </si>
  <si>
    <t>ALFAROMEO GT КП 2004-  СТ ЗАДН ТЗЛ+ИНК</t>
  </si>
  <si>
    <t>6992082</t>
  </si>
  <si>
    <t>ALFAROMEO GT КП 2004-  СТ ЗАДН ЗЛ+ИНК</t>
  </si>
  <si>
    <t>6992524</t>
  </si>
  <si>
    <t>ALFAROMEO GT 2004-  СТ БОК НЕП ЛВ ТЗЛ+ИНК</t>
  </si>
  <si>
    <t>6992083</t>
  </si>
  <si>
    <t>ALFAROMEO GT 2004-  СТ ПЕР ДВ ОП ЛВ ЗЛ+УО</t>
  </si>
  <si>
    <t>6992085</t>
  </si>
  <si>
    <t>ALFAROMEO GT 2004-  СТ БОК НЕП ЛВ ЗЛ+ИНК</t>
  </si>
  <si>
    <t>6992525</t>
  </si>
  <si>
    <t>ALFAROMEO GT 2004-  СТ БОК НЕП ПР ТЗЛ+ИНК</t>
  </si>
  <si>
    <t>6992084</t>
  </si>
  <si>
    <t>ALFAROMEO GT 2004-  СТ ПЕР ДВ ОП ПР ЗЛ+УО</t>
  </si>
  <si>
    <t>6992086</t>
  </si>
  <si>
    <t>ALFAROMEO GT 2004-  СТ БОК НЕП ПР ЗЛ+ИНК</t>
  </si>
  <si>
    <t>SPYDER+GTV COUPE 1995-2004</t>
  </si>
  <si>
    <t>6963605</t>
  </si>
  <si>
    <t>1995-2004</t>
  </si>
  <si>
    <t>ALFAROMEO SPYDER+GTV COUPE 1995-2004  СТ ВЕТР ЗЛ</t>
  </si>
  <si>
    <t>6100015</t>
  </si>
  <si>
    <t>ALFAROMEO SPYDER+GTV COUPE 1995-2004  МОЛД ДЛЯ СТ ВЕТР</t>
  </si>
  <si>
    <t>ASIA</t>
  </si>
  <si>
    <t>HI-TOPIC 1995-</t>
  </si>
  <si>
    <t>6190232</t>
  </si>
  <si>
    <t>1995-</t>
  </si>
  <si>
    <t>ASIA HI TOPIC 1995-  СТ ВЕТР/MAZDA E00 МИН+ПИ 84  СТ ВЕТР</t>
  </si>
  <si>
    <t>AUDI</t>
  </si>
  <si>
    <t>80 I КП, QUATTRO 1980-1991</t>
  </si>
  <si>
    <t>6963527</t>
  </si>
  <si>
    <t>1980-1991</t>
  </si>
  <si>
    <t>AUDI 80 I КП 1980-1991 СТ ВЕТР ЗЛЗЛ</t>
  </si>
  <si>
    <t>80 III 08.1978-08.1986</t>
  </si>
  <si>
    <t>6967000</t>
  </si>
  <si>
    <t>1979-1986</t>
  </si>
  <si>
    <t>AUDI 80 III 1979-1986 СТ ВЕТР+ИЗМ КР</t>
  </si>
  <si>
    <t>6967002</t>
  </si>
  <si>
    <t>AUDI 80 III 1979-1986 СТ ВЕТР ЗЛЗЛ+ИЗМ КР</t>
  </si>
  <si>
    <t>6100344</t>
  </si>
  <si>
    <t>AUDI 80 79-86 В/С РЕЗ ПРОФ</t>
  </si>
  <si>
    <t>6997317</t>
  </si>
  <si>
    <t>AUDI 80 III СД 1979-1986 СТ ЗАДН</t>
  </si>
  <si>
    <t>80 V 09.1986-1994</t>
  </si>
  <si>
    <t>6961063</t>
  </si>
  <si>
    <t>1986-1994</t>
  </si>
  <si>
    <t>AUDI 80 V 1986-1994  СТ ВЕТР ЗЛГЛ</t>
  </si>
  <si>
    <t>6967005</t>
  </si>
  <si>
    <t>AUDI 80 V 1986-1994  СТ ВЕТР ЗЛЗЛ КР</t>
  </si>
  <si>
    <t>6967007</t>
  </si>
  <si>
    <t>AUDI 80 V 1986-1994  СТ ВЕТР ЗЛЗЛ КР+VIN</t>
  </si>
  <si>
    <t>6100235</t>
  </si>
  <si>
    <t>AUDI 80 V 1987-1994 УСТ КОМПЛ ДЛЯ СТ ВЕТР ДЛЯ СТ ВЕТР ЧЕРН С СОЕД</t>
  </si>
  <si>
    <t>6100236</t>
  </si>
  <si>
    <t>AUDI 80 V 1987-1994 УСТ КОМПЛ ДЛЯ СТ ВЕТР ДЛЯ СТ ВЕТР ХРОМ С СОЕД</t>
  </si>
  <si>
    <t>6102326</t>
  </si>
  <si>
    <t>AUDI 80 V 1986-1994  СЕД МОЛД ДЛЯ СТ ВЕТР С БУТИЛОМ</t>
  </si>
  <si>
    <t>6998926</t>
  </si>
  <si>
    <t>1992-1993</t>
  </si>
  <si>
    <t>AUDI 80 V УН 1992-1993  СТ ЗАДН ЗЛ+ИНК</t>
  </si>
  <si>
    <t>6998927</t>
  </si>
  <si>
    <t>AUDI 80 V СД 1986-1994  СТ ЗАДН ЗЛ+АНТ</t>
  </si>
  <si>
    <t>6998928</t>
  </si>
  <si>
    <t>AUDI 80 V СД 1986-1994  СТ ЗАДН ЗЛ+АНТ+ИЗМ КР</t>
  </si>
  <si>
    <t>6101119</t>
  </si>
  <si>
    <t>AUDI 80 V 1987-1992 МОЛД ДЛЯ СТ ЗАДН</t>
  </si>
  <si>
    <t>6102318</t>
  </si>
  <si>
    <t>AUDI 80 V 1987-1992 МОЛД ДЛЯ СТ ЗАДН РЕЗИН КАТ 21м+5 КЛИПС</t>
  </si>
  <si>
    <t>6998500</t>
  </si>
  <si>
    <t>AUDI 80 V СД 1986-1994  СТ ПЕР ДВ ОП ЛВ ЗЛ</t>
  </si>
  <si>
    <t>6995872</t>
  </si>
  <si>
    <t>AUDI 80 V СД 1986-1994  СТ ПЕР ДВ ОП ЛВ ЗЛ+ФИТ</t>
  </si>
  <si>
    <t>6996930</t>
  </si>
  <si>
    <t>AUDI 80 V СД 1986-1994  СТ ЗАДН ДВ ОП ЛВ ЗЛ</t>
  </si>
  <si>
    <t>6995873</t>
  </si>
  <si>
    <t>AUDI 80 V СД 1986-1994  СТ ЗАДН ДВ ОП ЛВ ЗЛ+ФИТ</t>
  </si>
  <si>
    <t>6999223</t>
  </si>
  <si>
    <t>AUDI 80 V СД 1986-1994  СТ БОК НЕП ЛВ ЗЛ</t>
  </si>
  <si>
    <t>6994664</t>
  </si>
  <si>
    <t>AUDI 80 V СД 1986-1994  СТ БОК НЕП ЛВ ЗЛ+ИНК</t>
  </si>
  <si>
    <t>6998501</t>
  </si>
  <si>
    <t>AUDI 80 V СД 1986-1994  СТ ПЕР ДВ ОП ПР ЗЛ</t>
  </si>
  <si>
    <t>6995874</t>
  </si>
  <si>
    <t>AUDI 80 V СД 1986-1994  СТ ПЕР ДВ ОП ПР ЗЛ+ФИТ</t>
  </si>
  <si>
    <t>6996931</t>
  </si>
  <si>
    <t>AUDI 80 V СД 1986-1994  СТ ЗАДН ДВ ОП ПР ЗЛ</t>
  </si>
  <si>
    <t>6995875</t>
  </si>
  <si>
    <t>AUDI 80 V СД 1986-1994  СТ ЗАДН ДВ ОП ПР ЗЛ+ФИТ</t>
  </si>
  <si>
    <t>6994666</t>
  </si>
  <si>
    <t>AUDI 80 V СД 1986-1994  СТ БОК НЕП ПР ЗЛ+ИНК</t>
  </si>
  <si>
    <t>80 КБ 06.1991-2000</t>
  </si>
  <si>
    <t>6963354</t>
  </si>
  <si>
    <t>1991-2000</t>
  </si>
  <si>
    <t>AUDI 80 КБ 1991-2000  СТ ВЕТР ЗЛЗЛ+КР</t>
  </si>
  <si>
    <t>100 III (200) 08.1982-1991</t>
  </si>
  <si>
    <t>6967018</t>
  </si>
  <si>
    <t>1983-1991</t>
  </si>
  <si>
    <t>AUDI 100 III (200) 08.1982-1991  СТ ВЕТР ЗЛЗЛ</t>
  </si>
  <si>
    <t>6967014</t>
  </si>
  <si>
    <t>AUDI 100 III (200) 08.1982-1991  СТ ВЕТР ЗЛЗЛ+КРУГЛ КР</t>
  </si>
  <si>
    <t>6967033</t>
  </si>
  <si>
    <t>AUDI 100 III (200) 08.1982-1991  СТ ВЕТР ЗЛГЛ+ИЗМ КР</t>
  </si>
  <si>
    <t>6100233</t>
  </si>
  <si>
    <t>AUDI 100 MKIII 83-91 В/С CHROME МОЛД.+ C</t>
  </si>
  <si>
    <t>6998506</t>
  </si>
  <si>
    <t>AUDI 100 III (200) СД 1983-1991  СТ ЗАДН ЭО ЗЛ</t>
  </si>
  <si>
    <t>6998502</t>
  </si>
  <si>
    <t>AUDI 100 III (200) СД+УН 1983-1991  СТ ПЕР ДВ ОП ЛВ ЗЛ</t>
  </si>
  <si>
    <t>6998504</t>
  </si>
  <si>
    <t>AUDI 100 III (200) СД 1983-1991  СТ ЗАДН ДВ ОП ЛВ ЗЛ</t>
  </si>
  <si>
    <t>6996919</t>
  </si>
  <si>
    <t>AUDI 100 III (200) СД 1983-1991  СТ БОК НЕП ЛВ ЗЛ</t>
  </si>
  <si>
    <t>6998503</t>
  </si>
  <si>
    <t>AUDI 100 III (200) СД+УН 1983-1991  СТ ПЕР ДВ ОП ПР ЗЛ</t>
  </si>
  <si>
    <t>6998505</t>
  </si>
  <si>
    <t>AUDI 100 III (200) СД 1983-1991  СТ ЗАДН ДВ ОП ПР ЗЛ</t>
  </si>
  <si>
    <t>6995871</t>
  </si>
  <si>
    <t>AUDI 100 III (200) СД 1983-1991  СТ БОК НЕП ПР ЗЛ</t>
  </si>
  <si>
    <t>100 IV (A6 I) 12.1990-04.1997</t>
  </si>
  <si>
    <t>6967020</t>
  </si>
  <si>
    <t>1991-1997</t>
  </si>
  <si>
    <t>AUDI 100 IV (A6 I) 1991-1997  СТ ВЕТР ЗЛГЛ</t>
  </si>
  <si>
    <t>6967010</t>
  </si>
  <si>
    <t>AUDI 100 IV (A6 I) 1991-1997  СТ ВЕТР ЗЛЗЛ</t>
  </si>
  <si>
    <t>6967041</t>
  </si>
  <si>
    <t>AUDI 100 IV (A6 I) 1991-1997  СТ ВЕТР ЗЛЗЛ+VIN</t>
  </si>
  <si>
    <t>6100240</t>
  </si>
  <si>
    <t>AUDI 100 IV (A6 I) 1991-1994/A6 1994-1997 МОЛД  ДЛЯ СТ ВЕТР</t>
  </si>
  <si>
    <t>6998929</t>
  </si>
  <si>
    <t>AUDI 100 IV (A6 I) QUATTRO УН 1991-1997  СТ ЗАДН ЗЛ+ИНК+ИЗМ ШЕЛК</t>
  </si>
  <si>
    <t>6998510</t>
  </si>
  <si>
    <t>AUDI 100 IV (A6 I) СД 1991-1997  СТ ЗАДН ЭО ЗЛ+АНТ</t>
  </si>
  <si>
    <t>6998414</t>
  </si>
  <si>
    <t>AUDI 100 IV (A6 I) СД 1991-1997  СТ ЗАДН ЗЛ+АНТ+СТОП</t>
  </si>
  <si>
    <t>6101044</t>
  </si>
  <si>
    <t>AUDI 100 IV (A6 I) СЕД 1991-1997  МОЛД  ДЛЯ СТ ЗАДН</t>
  </si>
  <si>
    <t>6998390</t>
  </si>
  <si>
    <t>AUDI 100 IV (A6 I) СД+УН 1991-1997  СТ ПЕР ДВ ОП ЛВ ЗЛ</t>
  </si>
  <si>
    <t>6998508</t>
  </si>
  <si>
    <t>AUDI 100 IV (A6 I) СД+УН 1991-1997  СТ ПЕР ДВ ОП ЛВ ЗЛ+УО</t>
  </si>
  <si>
    <t>6999897</t>
  </si>
  <si>
    <t>AUDI 100 IV (A6 I) СД 1991-1997  СТ ЗАДН ДВ ОП ЛВ ЗЛ</t>
  </si>
  <si>
    <t>6995882</t>
  </si>
  <si>
    <t>AUDI 100 IV (A6 I) СД 1991-1997  СТ ЗАДН ДВ ОП ЛВ ЗЛ+УО</t>
  </si>
  <si>
    <t>6998391</t>
  </si>
  <si>
    <t>AUDI 100 IV (A6 I) СД+УН 1991-1997  СТ ПЕР ДВ ОП ПР ЗЛ</t>
  </si>
  <si>
    <t>6998509</t>
  </si>
  <si>
    <t>AUDI 100 IV (A6 I) СД+УН 1991-1997  СТ ПЕР ДВ ОП ПР ЗЛ+УО</t>
  </si>
  <si>
    <t>6999899</t>
  </si>
  <si>
    <t>AUDI 100 IV (A6 I) СД 1991-1997  СТ ЗАДН ДВ ОП ПР ЗЛ</t>
  </si>
  <si>
    <t>6995883</t>
  </si>
  <si>
    <t>AUDI 100 IV (A6 I) СД 1991-1997  СТ ЗАДН ДВ ОП ПР ЗЛ+УО</t>
  </si>
  <si>
    <t>A1 2009-</t>
  </si>
  <si>
    <t>6965235</t>
  </si>
  <si>
    <t>2009-</t>
  </si>
  <si>
    <t>AUDI A1 2009-СТ ВЕТР ЗЛСР+ДД+VIN+ДО</t>
  </si>
  <si>
    <t>6965234</t>
  </si>
  <si>
    <t>AUDI A1 2009-СТ ВЕТР ЗЛСР+VIN+ДО+ИНК</t>
  </si>
  <si>
    <t>6965206</t>
  </si>
  <si>
    <t>AUDI A1 2009-СТ ВЕТР ЗЛ+VIN+ДО+ИНК</t>
  </si>
  <si>
    <t>A2 2000-</t>
  </si>
  <si>
    <t>6960979</t>
  </si>
  <si>
    <t>2000-2007</t>
  </si>
  <si>
    <t>AUDI A2 2000-  СТ ВЕТР ЗЛСР+ИНК</t>
  </si>
  <si>
    <t>6980057</t>
  </si>
  <si>
    <t>AUDI A2 2000-  СТ ПЕР ДВ ОП ЛВ ЗЛ</t>
  </si>
  <si>
    <t>6980792</t>
  </si>
  <si>
    <t>AUDI A2 2000-  СТ ПЕР ДВ ОП ПР ЗЛ</t>
  </si>
  <si>
    <t>A3 2003-</t>
  </si>
  <si>
    <t>6961813</t>
  </si>
  <si>
    <t>2003-2012</t>
  </si>
  <si>
    <t>AUDI A3 2003-  СТ ВЕТР ЗЛСР+ДД+VIN+УО+ИЗМ ШЕЛК</t>
  </si>
  <si>
    <t>6960417</t>
  </si>
  <si>
    <t>AUDI A3 2003-  СТ ВЕТР ЗЛСР+КР+VIN+УО</t>
  </si>
  <si>
    <t>6960416</t>
  </si>
  <si>
    <t>AUDI A3 2003-  СТ ВЕТР ЗЛСР+КР+УО</t>
  </si>
  <si>
    <t>6961670</t>
  </si>
  <si>
    <t>AUDI A3 2003-  СТ ВЕТР ЗЛ+VIN+УО</t>
  </si>
  <si>
    <t>6996479</t>
  </si>
  <si>
    <t>2004-2012</t>
  </si>
  <si>
    <t>AUDI A3 SPORTBACK УН 08/2004-  СТ ЗАДН ЗЛ+АНТ+GPS+ТВ АНТ+СИГН+УО</t>
  </si>
  <si>
    <t>6993730</t>
  </si>
  <si>
    <t>AUDI A3 ХБ 2003-  СТ ЗАДН ЗЛ+АНТ+GPS+ИНК</t>
  </si>
  <si>
    <t>6997543</t>
  </si>
  <si>
    <t>AUDI A3 SPORTBACK 08/2004-  СТ ПЕР ДВ ОП ЛВ ЗЛ</t>
  </si>
  <si>
    <t>6997544</t>
  </si>
  <si>
    <t>AUDI A3 SPORTBACK 08/2004-  СТ ЗАДН ДВ ОП ЛВ ЗЛ</t>
  </si>
  <si>
    <t>6996566</t>
  </si>
  <si>
    <t>AUDI A3 SPORTBACK 08/2004-  СТ БОК НЕП ЛВ ЗЛ+ИНК</t>
  </si>
  <si>
    <t>6993731</t>
  </si>
  <si>
    <t>AUDI A3 3Д 2003-  СТ ПЕР ДВ ОП ЛВ ЗЛ</t>
  </si>
  <si>
    <t>6993733</t>
  </si>
  <si>
    <t>AUDI A3 3Д 2003-  СТ БОК НЕП ЛВ ЗЛ+ИНК</t>
  </si>
  <si>
    <t>6993855</t>
  </si>
  <si>
    <t>AUDI A3 SPORTBACK 08/2004-  СТ ПЕР ДВ ОП ПР ЗЛ</t>
  </si>
  <si>
    <t>6993856</t>
  </si>
  <si>
    <t>AUDI A3 SPORTBACK 08/2004-  СТ ЗАДН ДВ ОП ПР ЗЛ</t>
  </si>
  <si>
    <t>6996567</t>
  </si>
  <si>
    <t>AUDI A3 SPORTBACK 08/2004-  СТ БОК НЕП ПР ЗЛ+ИНК</t>
  </si>
  <si>
    <t>6993732</t>
  </si>
  <si>
    <t>AUDI A3 3Д 2003-  СТ ПЕР ДВ ОП ПР ЗЛ</t>
  </si>
  <si>
    <t>6993734</t>
  </si>
  <si>
    <t>AUDI A3 3Д 2003-  СТ БОК НЕП ПР ЗЛ+ИНК</t>
  </si>
  <si>
    <t>A3 1996-2003</t>
  </si>
  <si>
    <t>6967046</t>
  </si>
  <si>
    <t>1996-2003</t>
  </si>
  <si>
    <t>AUDI A3 1996-2003  СТ ВЕТР ЗЛЗЛ+VIN+УО</t>
  </si>
  <si>
    <t>6967045</t>
  </si>
  <si>
    <t>AUDI A3 1996-2003  СТ ВЕТР ЗЛЗЛ+ФИТ</t>
  </si>
  <si>
    <t>6963283</t>
  </si>
  <si>
    <t>AUDI A3 1996-2003  СТ ВЕТР ЗЛСР+VIN ФИТ</t>
  </si>
  <si>
    <t>6963197</t>
  </si>
  <si>
    <t>AUDI A3 1996-2003  СТ ВЕТР ЗЛСР+ФИТ</t>
  </si>
  <si>
    <t>6101231</t>
  </si>
  <si>
    <t>AUDI A3 1996-2003  МОЛД  ДЛЯ СТ ВЕТР НИЖ</t>
  </si>
  <si>
    <t>6100245</t>
  </si>
  <si>
    <t>AUDI A3 1996-2003  МОЛД  ДЛЯ СТ ВЕТР ВЕРХ</t>
  </si>
  <si>
    <t>6998680</t>
  </si>
  <si>
    <t>AUDI A3 ХБ 1996-2003  СТ ЗАДН ДВ ЗЛ+СТОП+ИНК</t>
  </si>
  <si>
    <t>6995508</t>
  </si>
  <si>
    <t>AUDI A3 1996-2003  СТ ПЕР ДВ ОП ЛВ ЗЛ 2 ОТВ</t>
  </si>
  <si>
    <t>6993923</t>
  </si>
  <si>
    <t>AUDI A3 1996-2003  СТ БОК НЕП ЛВ ЗЛ+ОТКР+1ОТВ+ФИТ</t>
  </si>
  <si>
    <t>6996151</t>
  </si>
  <si>
    <t>1998-2003</t>
  </si>
  <si>
    <t>AUDI A3 1998-2003  СТ ПЕР ДВ ОП ЛВ ЗЛ</t>
  </si>
  <si>
    <t>6995509</t>
  </si>
  <si>
    <t>AUDI A3 1996-2003  СТ ПЕР ДВ ОП ПР ЗЛ+2 ОТВ</t>
  </si>
  <si>
    <t>6993924</t>
  </si>
  <si>
    <t>AUDI A3 1996-2003  СТ БОК НЕП ПР ЗЛ+ОТКР+1ОТВ+ФИТ</t>
  </si>
  <si>
    <t>6996152</t>
  </si>
  <si>
    <t>AUDI A3 1998-2003  СТ ПЕР ДВ ОП ПР ЗЛ</t>
  </si>
  <si>
    <t>A3 КБ 2008-</t>
  </si>
  <si>
    <t>6901468</t>
  </si>
  <si>
    <t>2008-2012</t>
  </si>
  <si>
    <t>AUDI A3 КБ 2008- СТ ПЕР ДВ ОП ЛВ ЗЛ</t>
  </si>
  <si>
    <t>6901467</t>
  </si>
  <si>
    <t>AUDI A3 КБ 2008- СТ ПЕР ДВ ПР ЗЛ</t>
  </si>
  <si>
    <t>A4 2001-2007</t>
  </si>
  <si>
    <t>6961770</t>
  </si>
  <si>
    <t>AUDI A4 2001-2007  СТ ВЕТР ЗЛСР+АКУСТИК+ДД+VIN+УО+ИЗМ ШЕЛК</t>
  </si>
  <si>
    <t>6961391</t>
  </si>
  <si>
    <t>2001-2007</t>
  </si>
  <si>
    <t>AUDI A4 2001-2007  СТ ВЕТР ЗЛСР+ДД+VIN+УО+ИЗМ ШЕЛК</t>
  </si>
  <si>
    <t>6960806</t>
  </si>
  <si>
    <t>AUDI A4 2001-2007  СТ ВЕТР ЗЛСР VIN+УО</t>
  </si>
  <si>
    <t>6966256</t>
  </si>
  <si>
    <t>AUDI A4 2001-2007  СТ ВЕТР ЗЛСР+УО</t>
  </si>
  <si>
    <t>6961392</t>
  </si>
  <si>
    <t>2004-2007</t>
  </si>
  <si>
    <t>AUDI A4 2004-2007  СТ ВЕТР ЗЛСР+VIN+УО+ИЗМ ШЕЛК</t>
  </si>
  <si>
    <t>6961393</t>
  </si>
  <si>
    <t>AUDI A4 2004-2007  СТ ВЕТР ЗЛ+VIN+УО+ИЗМ ШЕЛК</t>
  </si>
  <si>
    <t>6101820</t>
  </si>
  <si>
    <t>AUDI A4 СЕД 2000-  КОМПЛ ПР И ЛВ МОЛД ДЛЯ СТ ВЕТР</t>
  </si>
  <si>
    <t>6992791</t>
  </si>
  <si>
    <t>AUDI A4 УН 2001-2007  СТ ЗАДН ЗЛ+АНТ+ИНК</t>
  </si>
  <si>
    <t>6993146</t>
  </si>
  <si>
    <t>AUDI A4 2001-2007  СТ ПЕР ДВ ОП ЛВ ЗЛ+УО</t>
  </si>
  <si>
    <t>6996153</t>
  </si>
  <si>
    <t>AUDI A4 2001-2007  СТ ЗАДН ДВ ОП ЛВ ЗЛ+УО</t>
  </si>
  <si>
    <t>6993147</t>
  </si>
  <si>
    <t>AUDI A4 2001-2007  СТ ПЕР ДВ ОП ПР ЗЛ+УО</t>
  </si>
  <si>
    <t>6996154</t>
  </si>
  <si>
    <t>AUDI A4 2001-2007  СТ ЗАДН ДВ ОП ПР ЗЛ+УО</t>
  </si>
  <si>
    <t>A4 11.1994-2001</t>
  </si>
  <si>
    <t>6961069</t>
  </si>
  <si>
    <t>AUDI A4 1995-2001  СТ ВЕТР ЗЛГЛ</t>
  </si>
  <si>
    <t>6961080</t>
  </si>
  <si>
    <t>AUDI A4 1995-2001  СТ ВЕТР ЗЛГЛ+VIN+ИЗМ ШЕЛК+ИЗМ КР</t>
  </si>
  <si>
    <t>6967050</t>
  </si>
  <si>
    <t>AUDI A4 1995-2001  СТ ВЕТР ЗЛЗЛ</t>
  </si>
  <si>
    <t>6967055</t>
  </si>
  <si>
    <t>AUDI A4 1995-2001  СТ ВЕТР ЗЛЗЛ+VIN+ИЗМ ШЕЛК+ИЗМ КР</t>
  </si>
  <si>
    <t>6967061</t>
  </si>
  <si>
    <t>AUDI A4 1995-2001  СТ ВЕТР ЗЛСР+VIN+ИЗМ ШЕЛК+ИЗМ КР</t>
  </si>
  <si>
    <t>6100241</t>
  </si>
  <si>
    <t>AUDI A4 1994- 08/95 МОЛД  ДЛЯ СТ ВЕТР ВЕРХ ЖЕСТ</t>
  </si>
  <si>
    <t>6998930</t>
  </si>
  <si>
    <t>AUDI A4 УН 1995-2001  СТ ЗАДН ЗЛ+СТОП+ИНК</t>
  </si>
  <si>
    <t>6998987</t>
  </si>
  <si>
    <t>AUDI A4 СД 1995-2001 СТ ЗАДН ЭО ЗЛ+АНТ</t>
  </si>
  <si>
    <t>6994911</t>
  </si>
  <si>
    <t>AUDI A4 УН 1995-2001 СТ ЗАДН ДВ ОП ЛВ ЗЛ</t>
  </si>
  <si>
    <t>6998411</t>
  </si>
  <si>
    <t>AUDI A4 СД 1994 /УН 1995-2001  СТ ПЕР ДВ ОП ЛВ ЗЛ</t>
  </si>
  <si>
    <t>6998409</t>
  </si>
  <si>
    <t>AUDI A4 1995-2001  СТ ЗАДН ДВ ОП ЛВ ЗЛ 2 ОТВ</t>
  </si>
  <si>
    <t>6994912</t>
  </si>
  <si>
    <t>AUDI A4 УН 1995-2001 СТ ЗАДН ДВ ОП ПР ЗЛ</t>
  </si>
  <si>
    <t>6998410</t>
  </si>
  <si>
    <t>AUDI A4 СД 94 /УН 1995-2001  СТ ПЕР ДВ ОП ПР ЗЛ</t>
  </si>
  <si>
    <t>6998408</t>
  </si>
  <si>
    <t>AUDI A4 1995-2001  СТ ЗАДН ДВ ОП ПР ЗЛ 2 ОТВ</t>
  </si>
  <si>
    <t>A4 4Д 2007-</t>
  </si>
  <si>
    <t>6962753</t>
  </si>
  <si>
    <t>2007-</t>
  </si>
  <si>
    <t>AUDI A4 2007-  СТ ВЕТР ЗЛСР+ДД+VIN+ИНК+ИЗМ КР+ИЗМ ШЕЛК</t>
  </si>
  <si>
    <t>6964638</t>
  </si>
  <si>
    <t>AUDI A4 2007-  СТ ВЕТР ЗЛСР+VIN+ИНК</t>
  </si>
  <si>
    <t>6962784</t>
  </si>
  <si>
    <t>AUDI A4 2007-  СТ ВЕТР ЗЛ+VIN+ИНК</t>
  </si>
  <si>
    <t>6900564</t>
  </si>
  <si>
    <t>AUDI A4 СД 2007-  СТ ЗАДН ЗЛ+АНТ+СТОП+УО</t>
  </si>
  <si>
    <t>6900796</t>
  </si>
  <si>
    <t>AUDI A4 СД 2007-  СТ ПЕР ДВ ОП ЛВ ЗЛ</t>
  </si>
  <si>
    <t>6900798</t>
  </si>
  <si>
    <t>AUDI A4 СД 2007-  СТ ЗАДН ДВ ОП ЛВ ЗЛ</t>
  </si>
  <si>
    <t>6900795</t>
  </si>
  <si>
    <t>AUDI A4 СД 2007-  СТ ПЕР ДВ ОП ПР ЗЛ</t>
  </si>
  <si>
    <t>6900797</t>
  </si>
  <si>
    <t>AUDI A4 СД 2007-  СТ ЗАДН ДВ ОП ПР ЗЛ</t>
  </si>
  <si>
    <t>A5 КП 2007-</t>
  </si>
  <si>
    <t>6962476</t>
  </si>
  <si>
    <t>AUDI A5 КП 2007-  СТ ВЕТР ЗЛСР+ДД+VIN+ИНК+ИЗМ КР+ИЗМ ШЕЛК</t>
  </si>
  <si>
    <t>6962468</t>
  </si>
  <si>
    <t>AUDI A5 КП 2007-  СТ ВЕТР ЗЛ+VIN+ИНК</t>
  </si>
  <si>
    <t>6900648</t>
  </si>
  <si>
    <t>AUDI A5 КП 2007-  СТ ПЕР ДВ ОП ЛВ ЗЛ</t>
  </si>
  <si>
    <t>6900647</t>
  </si>
  <si>
    <t>AUDI A5 КП 2007-  СТ ПЕР ДВ ОП ПР ЗЛ</t>
  </si>
  <si>
    <t>A6 2004-</t>
  </si>
  <si>
    <t>6962483</t>
  </si>
  <si>
    <t>2004-2011</t>
  </si>
  <si>
    <t>AUDI A6 2004-  СТ ВЕТР ТЕПЛООТРСР+ДД+УО+ИЗМ ШЕЛК</t>
  </si>
  <si>
    <t>6961347</t>
  </si>
  <si>
    <t>AUDI A6 2004-  СТ ВЕТР ЗЛСР+ДД+VIN+УО</t>
  </si>
  <si>
    <t>6962373</t>
  </si>
  <si>
    <t>AUDI A6 СД 2004-  СТ ЗАДН ТЕПЛООТР+СТОП+АНТ+ТВ АНТ+GPS+ИНК+ТРИПЛ+АНТ МОБ ТЕЛ</t>
  </si>
  <si>
    <t>6992176</t>
  </si>
  <si>
    <t>AUDI A6 УН 2005-  СТ ЗАДН ЗЛ+АНТ+УО</t>
  </si>
  <si>
    <t>6997750</t>
  </si>
  <si>
    <t>AUDI A6 СД 2004-  СТ ЗАДН ЗЛ+АНТ+СТОП+ИНК+GPS+ТВ АНТ+АНТ МОБ ТЕЛ</t>
  </si>
  <si>
    <t>6997751</t>
  </si>
  <si>
    <t>AUDI A6 УН 2005-  СТ ЗАДН БР+АНТ+УО</t>
  </si>
  <si>
    <t>6992294</t>
  </si>
  <si>
    <t>AUDI A6 УН 2005-  СТ ЗАДН ДВ ОП ЛВ ЗЛ</t>
  </si>
  <si>
    <t>6997545</t>
  </si>
  <si>
    <t>AUDI A6 2004-  СТ ПЕР ДВ ОП ЛВ ЗЛ</t>
  </si>
  <si>
    <t>6997546</t>
  </si>
  <si>
    <t>AUDI A6 СЕД 2004-  СТ ЗАДН ДВ ОП ЛВ ЗЛ</t>
  </si>
  <si>
    <t>6992295</t>
  </si>
  <si>
    <t>AUDI A6 УН 2005-  СТ ЗАДН ДВ ОП ПР ЗЛ</t>
  </si>
  <si>
    <t>6993858</t>
  </si>
  <si>
    <t>AUDI A6 2004-  СТ ПЕР ДВ ОП ПР ЗЛ</t>
  </si>
  <si>
    <t>6993857</t>
  </si>
  <si>
    <t>AUDI A6 СЕД 2004-  СТ ЗАДН ДВ ОП ПР ЗЛ</t>
  </si>
  <si>
    <t>A6 СД 05.1997-2004</t>
  </si>
  <si>
    <t>6960004</t>
  </si>
  <si>
    <t>1998-2004</t>
  </si>
  <si>
    <t>AUDI A6 1998-2004  СТ ВЕТР ЗЛСР+VIN+ИНК</t>
  </si>
  <si>
    <t>6961672</t>
  </si>
  <si>
    <t>2002-2004</t>
  </si>
  <si>
    <t>AUDI A6 2002-2004 СТ ВЕТР ЗЛСР+VIN+ИНК+ИЗМ ШЕЛК</t>
  </si>
  <si>
    <t>6967040</t>
  </si>
  <si>
    <t>1997-2004</t>
  </si>
  <si>
    <t>AUDI A6 1997-2004  СТ ВЕТР ЗЛСР+ИНК</t>
  </si>
  <si>
    <t>6997746</t>
  </si>
  <si>
    <t>AUDI A6 СД 1997-2004  СТ ЗАДН ЗЛ+АНТ+GPS+ИНК</t>
  </si>
  <si>
    <t>6998681</t>
  </si>
  <si>
    <t>AUDI A6 СД 1997-2004  СТ ЗАДН ЗЛ+АНТ+ИНК</t>
  </si>
  <si>
    <t>6994685</t>
  </si>
  <si>
    <t>AUDI A6 СД 1997-2004  СТ ПЕР ДВ ОП ЛВ ЗЛ</t>
  </si>
  <si>
    <t>6994686</t>
  </si>
  <si>
    <t>AUDI A6 СД 1997-2004  СТ ЗАДН ДВ ОП ЛВ ЗЛ</t>
  </si>
  <si>
    <t>6994687</t>
  </si>
  <si>
    <t>AUDI A6 СД 1997-2004  СТ ПЕР ДВ ОП ПР ЗЛ</t>
  </si>
  <si>
    <t>6994688</t>
  </si>
  <si>
    <t>AUDI A6 СД 1997-2004  СТ ЗАДН ДВ ОП ПР ЗЛ</t>
  </si>
  <si>
    <t>A6 СД V8 1999-2004</t>
  </si>
  <si>
    <t>6962097</t>
  </si>
  <si>
    <t>1999-2004</t>
  </si>
  <si>
    <t>AUDI A6 V8 СЕД 1999-2004  СТ ВЕТР ЗЛСР+VIN+ИНК</t>
  </si>
  <si>
    <t>A6 УН (AVANT) 12.1997-2005</t>
  </si>
  <si>
    <t>6960540</t>
  </si>
  <si>
    <t>AUDI A6 УН 1997-2005  СТ ВЕТР ЗЛСР+VIN+ИНК</t>
  </si>
  <si>
    <t>6961264</t>
  </si>
  <si>
    <t>AUDI A6 УН 1997-2005  СТ ВЕТР ЗЛСР+VIN+ИНК+ИЗМ ШЕЛК</t>
  </si>
  <si>
    <t>6961915</t>
  </si>
  <si>
    <t>AUDI A6 УН 1997-2005 СТ ВЕТР ЗЛСР+ИНК</t>
  </si>
  <si>
    <t>6998682</t>
  </si>
  <si>
    <t>AUDI A6 УН 1997-2005  СТ ЗАДН ЗЛ+ИНК</t>
  </si>
  <si>
    <t>6992548</t>
  </si>
  <si>
    <t>AUDI A6 УН 1997-2005 /ALL ROAD QUATTRO 00 СТ ЗАДН ДВ ОП ПР ЗЛ</t>
  </si>
  <si>
    <t>A6/C7 2010-</t>
  </si>
  <si>
    <t>6965662</t>
  </si>
  <si>
    <t>2010-</t>
  </si>
  <si>
    <t>AUDI A6/C7 2010-СТ ВЕТР ЗЛ+ДД+VIN+ДО+ИНК</t>
  </si>
  <si>
    <t>A7 2010-</t>
  </si>
  <si>
    <t>6965550</t>
  </si>
  <si>
    <t>AUDI A7 2010-СТ ВЕТР ЗЛ+ДД+VIN+ДО+ИНК</t>
  </si>
  <si>
    <t>6902173</t>
  </si>
  <si>
    <t>AUDI A7 2010- СТ ПЕР ДВ ОП ЛВ ЗЛ</t>
  </si>
  <si>
    <t>6902172</t>
  </si>
  <si>
    <t>AUDI A7 2010- СТ ПЕР ДВ ОП ПР ЗЛ</t>
  </si>
  <si>
    <t>A8 2002-2004</t>
  </si>
  <si>
    <t>6962481</t>
  </si>
  <si>
    <t>AUDI A8 02 УО 2002/04-2004 СТ ВЕТР ТЕПЛООТРСР+ДД+VIN+УО+ИЗМ ИЗГ</t>
  </si>
  <si>
    <t>6962378</t>
  </si>
  <si>
    <t>AUDI A8 02 УО 2002/04-2004 СТ ВЕТР ЗЛСР+ДД+VIN+УО+ДЗ</t>
  </si>
  <si>
    <t>6950007</t>
  </si>
  <si>
    <t>AUDI A8 02 УО 2002/04-2004 СТ ВЕТР ЗЛСР+ДД+VIN+УО</t>
  </si>
  <si>
    <t>6962374</t>
  </si>
  <si>
    <t>AUDI A8 СД 2002/04-2004 СТ ЗАДН ТЕПЛООТР+АНТ+ТРИПЛ+ИНК+ПОЛ</t>
  </si>
  <si>
    <t>6962914</t>
  </si>
  <si>
    <t>AUDI A8 СД 2002/04-2004 СТ ЗАДН ЗЛ+АНТ+ТРИПЛ+ИНК</t>
  </si>
  <si>
    <t>A8 1994-09.1998</t>
  </si>
  <si>
    <t>6963723</t>
  </si>
  <si>
    <t>1994-1998</t>
  </si>
  <si>
    <t>AUDI A8 1994-1998  СТ ВЕТР ЗЛЗЛ</t>
  </si>
  <si>
    <t>6101168</t>
  </si>
  <si>
    <t>AUDI A8 1994-1998  МОЛД  ДЛЯ СТ ВЕТР</t>
  </si>
  <si>
    <t>6998075</t>
  </si>
  <si>
    <t>AUDI A8 СД 1994-1998  СТ ЗАДН ТЕПЛООТР+ТРИПЛ</t>
  </si>
  <si>
    <t>A8 1999-2002</t>
  </si>
  <si>
    <t>6961925</t>
  </si>
  <si>
    <t>1998-2002</t>
  </si>
  <si>
    <t>AUDI A8 4Д 1999-2002 СТ ВЕТР ЗЛСР</t>
  </si>
  <si>
    <t>R8 2Д КП 2007- /SPYDER 2009-</t>
  </si>
  <si>
    <t>6962492</t>
  </si>
  <si>
    <t>AUDI R8 2Д КП 2007- СТ ВЕТР ЗЛСР+VIN+ИНК</t>
  </si>
  <si>
    <t>6901466</t>
  </si>
  <si>
    <t>AUDI R8 2Д КП 2007- /SPYDER 2009- СТ ПЕР ДВ ОП ЛВ ЗЛ</t>
  </si>
  <si>
    <t>6901465</t>
  </si>
  <si>
    <t>AUDI R8 2Д КП 2007- /SPYDER 2009- СТ ПЕР ДВ ОП ПР ЗЛ+УО</t>
  </si>
  <si>
    <t>Q5 2008-</t>
  </si>
  <si>
    <t>6964703</t>
  </si>
  <si>
    <t>2008-</t>
  </si>
  <si>
    <t>AUDI Q5 2008- СТ ВЕТР ЗЛ+VIN++УО+ИНК</t>
  </si>
  <si>
    <t>6964971</t>
  </si>
  <si>
    <t>AUDI Q5 2008- СТ ВЕТР ЗЛ СР+ДД+VIN+ИНК</t>
  </si>
  <si>
    <t>6965976</t>
  </si>
  <si>
    <t>AUDI Q5 2008- СТ ВЕТР ЗЛСР+ДД+VIN+ДО+ИНК</t>
  </si>
  <si>
    <t>8596AGAGYMVWZ1P</t>
  </si>
  <si>
    <t>6996134</t>
  </si>
  <si>
    <t>AUDI Q5 2008- СТ ЗАДН ДВ ОП ЛВ ЗЛ</t>
  </si>
  <si>
    <t>6900764</t>
  </si>
  <si>
    <t>AUDI Q5 2008- СТ ЗАДН ДВ ОП ЛВ СР</t>
  </si>
  <si>
    <t>6900766</t>
  </si>
  <si>
    <t>6996132</t>
  </si>
  <si>
    <t>AUDI Q5 2008- СТ ПЕР ДВ ОП ЛВ ЗЛ</t>
  </si>
  <si>
    <t>6996072</t>
  </si>
  <si>
    <t>AUDI Q5 2008- СТ ЗАДН НЕП ЛВ ЗЛ+ИНК+ИЗМ ШЕЛК</t>
  </si>
  <si>
    <t>6996439</t>
  </si>
  <si>
    <t>AUDI Q5 2008- СТ ЗАДН НЕП ЛВ ЗЛ+ИНК</t>
  </si>
  <si>
    <t>6997674</t>
  </si>
  <si>
    <t>AUDI Q5 2008- СТ ЗАДН НЕП ЛВ ЗЛ+АНТ+ИЗМ ШЕЛК</t>
  </si>
  <si>
    <t>6996438</t>
  </si>
  <si>
    <t>AUDI Q5 2008- СТ ЗАДН НЕП ЛВ СР+ИНК+ИЗМ ШЕЛК</t>
  </si>
  <si>
    <t>6996131</t>
  </si>
  <si>
    <t>AUDI Q5 2008- СТ ПЕР ДВ ОП ПР ЗЛ</t>
  </si>
  <si>
    <t>6996133</t>
  </si>
  <si>
    <t>AUDI Q5 2008- СТ ЗАДН ДВ ОП ПР ЗЛ</t>
  </si>
  <si>
    <t>6996434</t>
  </si>
  <si>
    <t>AUDI Q5 2008- СТ ЗАДН ДВ ОП ПР СР PR</t>
  </si>
  <si>
    <t>6900763</t>
  </si>
  <si>
    <t>AUDI Q5 2008- СТ ЗАДН ДВ ОП ПР СР</t>
  </si>
  <si>
    <t>6900765</t>
  </si>
  <si>
    <t>6996442</t>
  </si>
  <si>
    <t>AUDI Q5 2008- СТ ЗАДН НЕП ПР ТСР</t>
  </si>
  <si>
    <t>6996071</t>
  </si>
  <si>
    <t>AUDI Q5 2008- СТ ЗАДН НЕП ПР ЗЛ+ИНК+ИЗМ ШЕЛК</t>
  </si>
  <si>
    <t>6996440</t>
  </si>
  <si>
    <t>AUDI Q5 2008- СТ ЗАДН НЕП ПР ЗЛ+ИНК</t>
  </si>
  <si>
    <t>6996437</t>
  </si>
  <si>
    <t>AUDI Q5 2008- СТ ЗАДН НЕП ПР СР+ИНК+ИЗМ ШЕЛК</t>
  </si>
  <si>
    <t>6996065</t>
  </si>
  <si>
    <t>AUDI Q5 ВН 2008- СТ ЗАДН ЗЛ+АНТ+КЛЕММЫ+УО</t>
  </si>
  <si>
    <t>6996436</t>
  </si>
  <si>
    <t>AUDI Q5 ВН 2008- СТ ЗАДН СР+АНТ+КЛЕММЫ+УО</t>
  </si>
  <si>
    <t>Q7 2006-</t>
  </si>
  <si>
    <t>6962780</t>
  </si>
  <si>
    <t>2006-</t>
  </si>
  <si>
    <t>AUDI Q7 2006-  СТ ВЕТР ЗЛ+МЕСТО Д/КАМЕРЫ+ДД+ЭО+VIN+УО+ИЗМ ШЕЛК</t>
  </si>
  <si>
    <t>6961593</t>
  </si>
  <si>
    <t>AUDI Q7 2006-  СТ ВЕТР ЗЛСР+ДД+VIN+УО</t>
  </si>
  <si>
    <t>6102634</t>
  </si>
  <si>
    <t>AUDI Q7 2006 (JAPANESE MODEL)- МОЛД ДЛЯ СТ ВЕТР ЛЕВ</t>
  </si>
  <si>
    <t>6102635</t>
  </si>
  <si>
    <t>AUDI Q7 2006 (JAPANESE MODEL)- МОЛД ДЛЯ СТ ВЕТР ПР</t>
  </si>
  <si>
    <t>6997756</t>
  </si>
  <si>
    <t>AUDI Q7 ВН 2006-  СТ ЗАДН ЗЛ+АНТ+ИНК</t>
  </si>
  <si>
    <t>6997757</t>
  </si>
  <si>
    <t>AUDI Q7 ВН 2006-  СТ ЗАДН БР+АНТ+ИНК</t>
  </si>
  <si>
    <t>6996568</t>
  </si>
  <si>
    <t>AUDI Q7 2006-  СТ ПЕР ДВ ОП ЛВ ЗЛ</t>
  </si>
  <si>
    <t>6996570</t>
  </si>
  <si>
    <t>AUDI Q7 2006-  СТ ЗАДН ДВ ОП ЛВ ЗЛ</t>
  </si>
  <si>
    <t>6997485</t>
  </si>
  <si>
    <t>AUDI Q7 2006-  СТ ЗАДН ДВ ОП ЛВ БР</t>
  </si>
  <si>
    <t>6996569</t>
  </si>
  <si>
    <t>AUDI Q7 2006-  СТ ПЕР ДВ ОП ПР ЗЛ</t>
  </si>
  <si>
    <t>6996571</t>
  </si>
  <si>
    <t>AUDI Q7 2006-  СТ ЗАДН ДВ ОП ПР ЗЛ</t>
  </si>
  <si>
    <t>6997486</t>
  </si>
  <si>
    <t>AUDI Q7 2006-  СТ ЗАДН ДВ ОП ПР БР</t>
  </si>
  <si>
    <t>TT ROADSTER CAB 2007-</t>
  </si>
  <si>
    <t>6962495</t>
  </si>
  <si>
    <t>AUDI TT ROADSTER CABRIO 2007- СТ ВЕТР ЗЛСР+ДД+VIN+УО+ИЗМ КР</t>
  </si>
  <si>
    <t>6962497</t>
  </si>
  <si>
    <t>AUDI TT ROADSTER CABRIO 2007- СТ ВЕТР ЗЛСР+VIN+УО</t>
  </si>
  <si>
    <t>TT COUPE 2006-</t>
  </si>
  <si>
    <t>6962500</t>
  </si>
  <si>
    <t>AUDI TT КУП 2006-  СТ ВЕТР ЗЛСР+ДД+VIN+ИНК+ИЗМ КР</t>
  </si>
  <si>
    <t>6962498</t>
  </si>
  <si>
    <t>AUDI TT КУП 2006-  СТ ВЕТР ЗЛСР+VIN+ИНК</t>
  </si>
  <si>
    <t>6962499</t>
  </si>
  <si>
    <t>AUDI TT КУП 2006-  СТ ВЕТР ЗЛ+VIN+ИНК</t>
  </si>
  <si>
    <t>6901034</t>
  </si>
  <si>
    <t>AUDI TT КП 2006-  СТ ЗАДН ЗЛ+АНТ+ТВ АНТ+КЛЕММЫ+УО</t>
  </si>
  <si>
    <t>TT COUPE 1998-</t>
  </si>
  <si>
    <t>6960535</t>
  </si>
  <si>
    <t>1998-2006</t>
  </si>
  <si>
    <t>AUDI TT КУП 1998-  СТ ВЕТР ЗЛСР+VIN+ИНК+ИЗМ КР</t>
  </si>
  <si>
    <t>6960994</t>
  </si>
  <si>
    <t>AUDI TT КУП 1998-  СТ ВЕТР ЗЛСР+ИНК+ИЗМ КР</t>
  </si>
  <si>
    <t>6980784</t>
  </si>
  <si>
    <t>AUDI TT КУП 1998-  СТ ПЕР ДВ ОП ЛВ ЗЛ</t>
  </si>
  <si>
    <t>6980788</t>
  </si>
  <si>
    <t>AUDI TT КУП 1998-  СТ ПЕР ДВ ОП ПР ЗЛ</t>
  </si>
  <si>
    <t>BEDFORD</t>
  </si>
  <si>
    <t>RASCAL 1986-</t>
  </si>
  <si>
    <t>6969971</t>
  </si>
  <si>
    <t>1986-</t>
  </si>
  <si>
    <t>BEDFORD RASCAL 1986- СТ ВЕТР/OPEL RASCAL 86- СТ ВЕТР</t>
  </si>
  <si>
    <t>BRAVA 1988-</t>
  </si>
  <si>
    <t>6190345</t>
  </si>
  <si>
    <t>1988-</t>
  </si>
  <si>
    <t>BEDFORD BRAVA 1988-  СТ ВЕТР/ISUZU AMIGO/RODEO/CAMPO 88 09/93 СТ ВЕТР</t>
  </si>
  <si>
    <t>BMW</t>
  </si>
  <si>
    <t>1 SERIES (E87) 2004-</t>
  </si>
  <si>
    <t>6961277</t>
  </si>
  <si>
    <t>2004-</t>
  </si>
  <si>
    <t>BMW 1 SERIES СД 2004- СТ ВЕТР ЗЛЗЛ+ДД+VIN+ИЗМ ШЕЛК</t>
  </si>
  <si>
    <t>6961278</t>
  </si>
  <si>
    <t>BMW 1 SERIES СД 2004- СТ ВЕТР ЗЛЗЛ+VIN</t>
  </si>
  <si>
    <t>6961279</t>
  </si>
  <si>
    <t>BMW 1 SERIES СД 2004- СТ ВЕТР ЗЛ+ДД+VIN+ИЗМ ШЕЛК</t>
  </si>
  <si>
    <t>6961280</t>
  </si>
  <si>
    <t>BMW 1 SERIES СД 2004- СТ ВЕТР ЗЛ+VIN</t>
  </si>
  <si>
    <t>6101617</t>
  </si>
  <si>
    <t>BMW 1 SERIES 5Д ХБ 2004- МОЛД  ДЛЯ СТ ВЕТР</t>
  </si>
  <si>
    <t>6997549</t>
  </si>
  <si>
    <t>BMW 1 SERIES СД ХБ 2004-  / ХБ 2004-/07  СТ ЗАДН ЗЛ+АНТ+СТОП</t>
  </si>
  <si>
    <t>6996480</t>
  </si>
  <si>
    <t>BMW 1 SERIES СД ХБ 2004-  / ХБ 2004-/07  СТ ЗАДН ЗЛ+АНТ+СТОП+ИЗМ АНТ</t>
  </si>
  <si>
    <t>6996572</t>
  </si>
  <si>
    <t>BMW 1 SERIES СД ХБ 2004-  СТ ЗАДН ДВ ОП ЛВ ТЗЛ</t>
  </si>
  <si>
    <t>6996574</t>
  </si>
  <si>
    <t>BMW 1 SERIES СД ХБ 2004-  СТ ФОРТ ЗАДН НЕП ЛВ ТЗЛ</t>
  </si>
  <si>
    <t>6996456</t>
  </si>
  <si>
    <t>BMW 1 SERIES СД ХБ 2004-  СТ ПЕР ДВ ОП ЛВ ЗЛ</t>
  </si>
  <si>
    <t>6996457</t>
  </si>
  <si>
    <t>BMW 1 SERIES СД ХБ 2004-  СТ ЗАДН ДВ ОП ЛВ ЗЛ</t>
  </si>
  <si>
    <t>6996459</t>
  </si>
  <si>
    <t>BMW 1 SERIES СД ХБ 2004-  СТ ФОРТ ЗАДН НЕП ЛВ ЗЛ</t>
  </si>
  <si>
    <t>6996573</t>
  </si>
  <si>
    <t>BMW 1 SERIES СД ХБ 2004-  СТ ЗАДН ДВ ОП ПР ТЗЛ</t>
  </si>
  <si>
    <t>6996575</t>
  </si>
  <si>
    <t>BMW 1 SERIES СД ХБ 2004-  СТ ФОРТ ЗАДН НЕП ПР ТЗЛ</t>
  </si>
  <si>
    <t>6993861</t>
  </si>
  <si>
    <t>BMW 1 SERIES СД ХБ 2004-  СТ ПЕР ДВ ОП ПР ЗЛ</t>
  </si>
  <si>
    <t>6993862</t>
  </si>
  <si>
    <t>BMW 1 SERIES СД ХБ 2004-  СТ ЗАДН ДВ ОП ПР ЗЛ</t>
  </si>
  <si>
    <t>6996458</t>
  </si>
  <si>
    <t>BMW 1 SERIES СД ХБ 2004-  СТ ФОРТ ЗАДН НЕП ПР ЗЛ</t>
  </si>
  <si>
    <t>3 SERIES (E21) 1975-1983</t>
  </si>
  <si>
    <t>6967200</t>
  </si>
  <si>
    <t>1975-1983</t>
  </si>
  <si>
    <t>BMW 3 SERIES (E21) 316/323 1975-1983 СТ ВЕТР</t>
  </si>
  <si>
    <t>6967201</t>
  </si>
  <si>
    <t>BMW 3 SERIES (E21) 316/323 1975-1983 СТ ВЕТР ЗЛ</t>
  </si>
  <si>
    <t>6967202</t>
  </si>
  <si>
    <t>BMW 3 SERIES (E21) 316/323 1975-1983 СТ ВЕТР ЗЛЗЛ</t>
  </si>
  <si>
    <t>3 SERIES (E30) 1983-1989</t>
  </si>
  <si>
    <t>6967217</t>
  </si>
  <si>
    <t>1983-1989</t>
  </si>
  <si>
    <t>BMW 3 SERIES (E30) 316/325 1983-1989 СТ ВЕТР БР</t>
  </si>
  <si>
    <t>6967218</t>
  </si>
  <si>
    <t>BMW 3 SERIES (E30) 316/325 1983-1989 СТ ВЕТР БРГЛ</t>
  </si>
  <si>
    <t>6967205</t>
  </si>
  <si>
    <t>BMW 3 SERIES (E30) 316/325 1983-1989 СТ ВЕТР</t>
  </si>
  <si>
    <t>6967206</t>
  </si>
  <si>
    <t>BMW 3 SERIES (E30) 316/325 1983-1989 СТ ВЕТР ЗЛ</t>
  </si>
  <si>
    <t>6963688</t>
  </si>
  <si>
    <t>1983-1993</t>
  </si>
  <si>
    <t>BMW 3 SERIES (E30) КБ 1983-1993 СТ ВЕТР ЗЛ+ИЗМ КР</t>
  </si>
  <si>
    <t>6967216</t>
  </si>
  <si>
    <t>BMW 3 SERIES (E30) 316/325 1983-1989 СТ ВЕТР ЗЛГЛ</t>
  </si>
  <si>
    <t>6967207</t>
  </si>
  <si>
    <t>BMW 3 SERIES (E30) 316/325 1983-1989 СТ ВЕТР ЗЛЗЛ</t>
  </si>
  <si>
    <t>6963689</t>
  </si>
  <si>
    <t>BMW 3 SERIES (E30) КБ 1983-1993 СТ ВЕТР ЗЛЗЛ+ИЗМ КР</t>
  </si>
  <si>
    <t>6100446</t>
  </si>
  <si>
    <t>BMW 3 SERIES (E30) 316/325 1983-1989 РЕЗ ПРОФ ДЛЯ СТ ВЕТР</t>
  </si>
  <si>
    <t>6991919</t>
  </si>
  <si>
    <t>BMW 3 SERIES (E30) 316/325 СД+КП 1983-1989 СТ ЗАДН</t>
  </si>
  <si>
    <t>6998695</t>
  </si>
  <si>
    <t>BMW 3 SERIES (E30) 316/325 УН 1983-1989 СТ ЗАДН ЗЛ</t>
  </si>
  <si>
    <t>6991920</t>
  </si>
  <si>
    <t>BMW 3 SERIES (E30) 316/325 СД+КП 1983-1989 СТ ЗАДН ЭО ЗЛ</t>
  </si>
  <si>
    <t>6996628</t>
  </si>
  <si>
    <t>BMW 3 SERIES (E30) 316/325 СЕД +УН 1983-1989 СТ ПЕР ДВ ОП ЛВ</t>
  </si>
  <si>
    <t>6996630</t>
  </si>
  <si>
    <t>BMW 3 SERIES (E30) 316/325 СЕД 1983-1989 СТ ФОРТ ЗАДН НЕП ЛВ</t>
  </si>
  <si>
    <t>6996636</t>
  </si>
  <si>
    <t>BMW 3 SERIES (E30) 316/325 СЕД 1983-1989 СТ ПЕР ДВ ОП ЛВ ЗЛ</t>
  </si>
  <si>
    <t>6999337</t>
  </si>
  <si>
    <t>BMW 3 SERIES (E30) 316/325 СЕД 04/1988-1989 СТ ПЕР ДВ ОП ЛВ ЗЛ+ИЗМ ИНК</t>
  </si>
  <si>
    <t>6991902</t>
  </si>
  <si>
    <t>BMW 3 SERIES (E30) 316/325 СЕД +УН 1983-1989 СТ ПЕР ДВ ОП ЗЛ</t>
  </si>
  <si>
    <t>6991900</t>
  </si>
  <si>
    <t>1988-1989</t>
  </si>
  <si>
    <t>BMW 3 SERIES (E30) 316/325 СЕД +УН 04/1988-1989 СТ ПЕР ДВ ОП  ЗЛ ЛВ+ИЗМ ИНК</t>
  </si>
  <si>
    <t>6991908</t>
  </si>
  <si>
    <t>BMW 3 SERIES (E30) 316/325 СД4D 1983-1989 СТ БОК НЕП ЛВ ЗЛ</t>
  </si>
  <si>
    <t>6996638</t>
  </si>
  <si>
    <t>BMW 3 SERIES (E30) 316/325 КБ 1983-1989 СТ ПЕР ДВ ОП ЛВ ЗЛ</t>
  </si>
  <si>
    <t>6996623</t>
  </si>
  <si>
    <t>BMW 3 SERIES (E30) 316/325 СЕД +УН 1983-1989 СТ ПЕР ДВ ОП БР ПР</t>
  </si>
  <si>
    <t>6996631</t>
  </si>
  <si>
    <t>BMW 3 SERIES (E30) 316/325 СЕД 2D 1983-1989 СТ ПЕР ДВ ОП ПР</t>
  </si>
  <si>
    <t>6996633</t>
  </si>
  <si>
    <t>BMW 3 SERIES (E30) 316/325 СЕД +УН 1983-1989 СТ ПЕР ДВ ОП ПР</t>
  </si>
  <si>
    <t>6996634</t>
  </si>
  <si>
    <t>BMW 3 SERIES (E30) 316/325 СЕД +УН 1983-1989 СТ ЗАДН ДВ ОП ПР</t>
  </si>
  <si>
    <t>6996635</t>
  </si>
  <si>
    <t>BMW 3 SERIES (E30) 316/325 СЕД 1983-1989 СТ ФОРТ ЗАДН НЕП ПР</t>
  </si>
  <si>
    <t>6999338</t>
  </si>
  <si>
    <t>BMW 3 SERIES (E30) 316/325 СЕД 04/1988-1989 СТ ПЕР ДВ ОП ПР ЗЛ+ИЗМ ИНК</t>
  </si>
  <si>
    <t>6991903</t>
  </si>
  <si>
    <t>BMW 3 SERIES (E30) 316/325 4D+УН 1983-1989 СТ ПЕР ДВ ОП ПР ЗЛ</t>
  </si>
  <si>
    <t>6991901</t>
  </si>
  <si>
    <t>BMW 3 SERIES (E30) 316/325 СЕД +УН 04/1988-1989 СТ ПЕР ДВ ОП ЗЛ ПР+ИЗМ ИНК</t>
  </si>
  <si>
    <t>6991907</t>
  </si>
  <si>
    <t>BMW 3 SERIES (E30) 316/325 СЕД +УН 1983-1989 СТ ЗАДН ОП ЗЛ ПР</t>
  </si>
  <si>
    <t>6991905</t>
  </si>
  <si>
    <t>BMW 3 SERIES (E30) 316/325 СЕД +УН 04/1988-1989 СТ ЗАДН ДВ ОП ЗЛ ПР+ИЗМ ИНК</t>
  </si>
  <si>
    <t>6991909</t>
  </si>
  <si>
    <t>BMW 3 SERIES (E30) 316/325 СД4D 1983-1989 СТ БОК НЕП ПР ЗЛ</t>
  </si>
  <si>
    <t>6996642</t>
  </si>
  <si>
    <t>BMW 3 SERIES (E30) 316/325 КБ 1983-1989 СТ ПЕР ДВ ОП ПР ЗЛ</t>
  </si>
  <si>
    <t>3 SERIES (E30) 1987-1993</t>
  </si>
  <si>
    <t>6963290</t>
  </si>
  <si>
    <t>1987-1993</t>
  </si>
  <si>
    <t>BMW 3 SERIES (E30) 1987-1993 СТ ВЕТР ЗЛЗЛ+ИНК</t>
  </si>
  <si>
    <t>6963538</t>
  </si>
  <si>
    <t>BMW 3 SERIES (E30) 1987-1993 СТ ВЕТР ЗЛ+ИНК</t>
  </si>
  <si>
    <t>3 SERIES (E36) КП/КБ 1991-04.1999</t>
  </si>
  <si>
    <t>6967308</t>
  </si>
  <si>
    <t>1991-1999</t>
  </si>
  <si>
    <t>BMW 3 SERIES (E36) КП/КБ 1991-1999 M3 КБ 1994 СТ ВЕТР ЗЛГЛ+КР+VIN</t>
  </si>
  <si>
    <t>6967313</t>
  </si>
  <si>
    <t>BMW 3 SERIES (E36) КП/КБ 1991-1999 M3 КБ 1994 СТ ВЕТР ЗЛЗЛ+VIN</t>
  </si>
  <si>
    <t>6967312</t>
  </si>
  <si>
    <t>BMW 3 SERIES (E36) КП/КБ 1991-1999 M3 КБ 1994 СТ ВЕТР ЗЛ+КР+VIN</t>
  </si>
  <si>
    <t>6100023</t>
  </si>
  <si>
    <t>BMW 3 SERIES (E36) КБ+CAB. 1992-1999  МОЛД  ДЛЯ СТ ВЕТР</t>
  </si>
  <si>
    <t>6998936</t>
  </si>
  <si>
    <t>BMW 3 SERIES (E36) КП 1991-1999 СТ ЗАДН ЭО ЗЛ+АНТ</t>
  </si>
  <si>
    <t>6998937</t>
  </si>
  <si>
    <t>BMW 3 SERIES (E36) КП 1991-1999 СТ ЗАДН ЭО ЗЛ+АНТ+СТОП</t>
  </si>
  <si>
    <t>6100430</t>
  </si>
  <si>
    <t>BMW 3 SERIES (E36) КБ 1991-1999  МОЛД  ДЛЯ СТ ЗАДН</t>
  </si>
  <si>
    <t>6994750</t>
  </si>
  <si>
    <t>1991-1994</t>
  </si>
  <si>
    <t>BMW 3 SERIES (E36) КП+КБ 1991-1994 СТ ПЕР ДВ ОП ЛВ ЗЛ</t>
  </si>
  <si>
    <t>6994100</t>
  </si>
  <si>
    <t>1994-1999</t>
  </si>
  <si>
    <t>BMW 3 SERIES (E36) КП/КБ/M3 КБ 1994-1999 СТ ПЕР ДВ ОП ЛВ ЗЛ+ИЗМ ШЕЛК</t>
  </si>
  <si>
    <t>6994753</t>
  </si>
  <si>
    <t>BMW 3 SERIES (E36) КП+КБ91 1994-1999 СТ ПЕР ДВ ОП ПР ЗЛ</t>
  </si>
  <si>
    <t>6994101</t>
  </si>
  <si>
    <t>BMW 3 SERIES (E36) КП/КБ/M3 КБ 1994-1999 СТ ПЕР ДВ ОП ПР ЗЛ+ИЗМ ШЕЛК</t>
  </si>
  <si>
    <t>3 SERIES (E36) СЕД/ХБ 1990-1998, EST 1995-1999</t>
  </si>
  <si>
    <t>6967304</t>
  </si>
  <si>
    <t>1990-1998</t>
  </si>
  <si>
    <t>BMW 3 SERIES (E36) СЕД+ХБ 1990-1998 УН 1995-1999 СТ ВЕТР ЗЛ</t>
  </si>
  <si>
    <t>6967306</t>
  </si>
  <si>
    <t>BMW 3 SERIES (E36) СЕД+ХБ 1990-1998 УН 1995-1999  СТ ВЕТР ЗЛГЛ</t>
  </si>
  <si>
    <t>6967303</t>
  </si>
  <si>
    <t>BMW 3 SERIES (E36) СЕД+ХБ 1990-1998 УН 1995-1999 СТ ВЕТР ЗЛГЛ+КР+VIN</t>
  </si>
  <si>
    <t>6967305</t>
  </si>
  <si>
    <t>BMW 3 SERIES (E36) СЕД+ХБ 1990-1998 УН 1995-1999 СТ ВЕТР ЗЛЗЛ</t>
  </si>
  <si>
    <t>6967302</t>
  </si>
  <si>
    <t>BMW 3 SERIES (E36) СЕД+ХБ 1990-1998 УН 1995-1999 СТ ВЕТР ЗЛЗЛ КР+VIN</t>
  </si>
  <si>
    <t>6967301</t>
  </si>
  <si>
    <t>BMW 3 SERIES (E36) СЕД+ХБ 1990-1998 УН 1995-1999 СТ ВЕТР ЗЛ КР+VIN</t>
  </si>
  <si>
    <t>6100022</t>
  </si>
  <si>
    <t>BMW 3 SERIES (E36) E36 СЕД+ХБK 1991-1999   МОЛД ДЛЯ СТ ВЕТР ВЕРХ</t>
  </si>
  <si>
    <t>6102607</t>
  </si>
  <si>
    <t>НАБОР КЛИПС ДЛЯ BMW 3 Series E36 / 8 Series E31 (50 ШТ) (PMA_7101004-50)</t>
  </si>
  <si>
    <t>6998697</t>
  </si>
  <si>
    <t>BMW 3 SERIES (E36) ХБ 3Д 1994-1999 СТ ЗАДН ЗЛ</t>
  </si>
  <si>
    <t>6993670</t>
  </si>
  <si>
    <t>BMW 3 SERIES (E36) ХБ 3Д 1994-1999 СТ ЗАДН ЗЛ+АНТ</t>
  </si>
  <si>
    <t>6980271</t>
  </si>
  <si>
    <t>BMW 3 SERIES (E36) ХБ 1994-1999 СТ ЗАДН ЗЛ+АНТ+СТОП</t>
  </si>
  <si>
    <t>6991918</t>
  </si>
  <si>
    <t>BMW 3 SERIES (E36) СД 1990-1998 СТ ЗАДН ЭО ЗЛ+АНТ</t>
  </si>
  <si>
    <t>6991922</t>
  </si>
  <si>
    <t>BMW 3 SERIES (E36) СД 1990-1998 СТ ЗАДН ЭО ЗЛ+АНТ+СТОП</t>
  </si>
  <si>
    <t>6100431</t>
  </si>
  <si>
    <t>BMW 3 SERIES (E36) ХБ 3Д 1994-1998  МОЛД  ДЛЯ СТ ЗАДН НИЖН</t>
  </si>
  <si>
    <t>6101118</t>
  </si>
  <si>
    <t>BMW 3 SERIES (E36) 1990-1998  МОЛД ДЛЯ СТ ЗАДН</t>
  </si>
  <si>
    <t>6994317</t>
  </si>
  <si>
    <t>BMW 3 SERIES (E36) ХБ 3Д 1994-1999 СТ ПЕР ДВ ОП ЛВ ЗЛ</t>
  </si>
  <si>
    <t>6995987</t>
  </si>
  <si>
    <t>BMW 3 SERIES (E36) 1990-1998  СТ ПЕР ДВ ОП ЛВ ЗЛ</t>
  </si>
  <si>
    <t>6991910</t>
  </si>
  <si>
    <t>1995-1999</t>
  </si>
  <si>
    <t>BMW 3 SERIES (E36) СЕД+УН 1995-1999  СТ ПЕР ДВ ОП ЛВ ЗЛ+ИЗМ ТОЛЩ</t>
  </si>
  <si>
    <t>6999814</t>
  </si>
  <si>
    <t>BMW 3 SERIES (E36) СЕД+УН 1995-1999 СТ ПЕР ДВ ОП ЛВ ЗЛ ФИТ+ИЗМ ТОЛЩ</t>
  </si>
  <si>
    <t>6993051</t>
  </si>
  <si>
    <t>BMW 3 SERIES (E36) СЕД+УН 1995-1999 СТ ПЕР ДВ ОП ЛВ+КЛЕММЫ+ИЗМ ТОЛЩ</t>
  </si>
  <si>
    <t>6991912</t>
  </si>
  <si>
    <t>BMW 3 SERIES (E36) 1990-1998  СЕД 4Д СТ ЗАДН ДВ ОП ЛВ ЗЛ</t>
  </si>
  <si>
    <t>6991914</t>
  </si>
  <si>
    <t>BMW 3 SERIES (E36) 1990-1998 СТ БОК НЕП ЛВ ЗЛ</t>
  </si>
  <si>
    <t>6991916</t>
  </si>
  <si>
    <t>BMW 3 SERIES (E36) 1990-1998 СТ БОК НЕП ЛВ ЗЛ+КЛЕММЫ</t>
  </si>
  <si>
    <t>6994318</t>
  </si>
  <si>
    <t>BMW 3 SERIES (E36) ХБ 3Д 1994-1999 СТ ПЕР ДВ ОП ПР ЗЛ</t>
  </si>
  <si>
    <t>6995186</t>
  </si>
  <si>
    <t>BMW 3 SERIES (E36) 1990-1998  СТ ПЕР ДВ ОП ПР ЗЛ</t>
  </si>
  <si>
    <t>6991911</t>
  </si>
  <si>
    <t>BMW 3 SERIES (E36) СЕД+УН 1995-1999  СТ ПЕР ДВ ОП ПР ЗЛ+ИЗМ ТОЛЩ</t>
  </si>
  <si>
    <t>6999816</t>
  </si>
  <si>
    <t>BMW 3 SERIES (E36) СЕД+УН 1995-1999 СТ ПЕР ДВ ОП ПР ЗЛ+ФИТ+ИЗМ ТОЛЩ</t>
  </si>
  <si>
    <t>6993053</t>
  </si>
  <si>
    <t>BMW 3 SERIES (E36) СЕД+УН 1995-1999 СТ ПЕР ДВ ОП ПР+УО+КЛЕММЫ+ИЗМ ТОЛЩ</t>
  </si>
  <si>
    <t>6991913</t>
  </si>
  <si>
    <t>BMW 3 SERIES (E36) СЕД 4Д 1990-1998 СТ ЗАДН ДВ ОП ПР ЗЛ</t>
  </si>
  <si>
    <t>6991915</t>
  </si>
  <si>
    <t>BMW 3 SERIES (E36) 1990-1998 СТ БОК НЕП ПР ЗЛ</t>
  </si>
  <si>
    <t>6991917</t>
  </si>
  <si>
    <t>BMW 3 SERIES (E36) 1990-1998  СТ ФОРТ ЗАДН НЕП ПР ЗЛ+КЛЕММЫ</t>
  </si>
  <si>
    <t>3 SERIES (E46) КП 1999-2006</t>
  </si>
  <si>
    <t>6965199</t>
  </si>
  <si>
    <t>1999-2006</t>
  </si>
  <si>
    <t>BMW 3 SERIES (E46) КУП+КБ 1999-2006  СТ ВЕТР ЗЛЗЛ+ДД+VIN</t>
  </si>
  <si>
    <t>6965196</t>
  </si>
  <si>
    <t>2001-2006</t>
  </si>
  <si>
    <t>BMW 3 SERIES (E46) КУП+КБ 2001-2006  СТ ВЕТР ЗЛЗЛ+ДД+VIN+ИЗМ ДД</t>
  </si>
  <si>
    <t>6960978</t>
  </si>
  <si>
    <t>BMW 3 SERIES (E46) КУП+КБ 1999-2006  СТ ВЕТР ЗЛЗЛ+VIN</t>
  </si>
  <si>
    <t>6968992</t>
  </si>
  <si>
    <t>BMW 3 SERIES (E46) КУП 1999-2006  СТ ВЕТР ЗЛ+VIN</t>
  </si>
  <si>
    <t>6100334</t>
  </si>
  <si>
    <t>BMW 3 SERIES (E46) КБ 1999-2006  МОЛД  ДЛЯ СТ ВЕТР</t>
  </si>
  <si>
    <t>6999482</t>
  </si>
  <si>
    <t>BMW 3 SERIES (E46) КП 1999-2006  СТ ЗАДН ЗЛ+АНТ+СТОП+GPS+АНТ Д/ОТКР</t>
  </si>
  <si>
    <t>6101336</t>
  </si>
  <si>
    <t>BMW 3 SERIES (E46) КБ МОЛД  ДЛЯ СТ ЗАДН</t>
  </si>
  <si>
    <t>6997547</t>
  </si>
  <si>
    <t>BMW 3 SERIES (E46) КП 1999-2006  СТ ПЕР ДВ ОП ЛВ ЗЛ</t>
  </si>
  <si>
    <t>6990163</t>
  </si>
  <si>
    <t>BMW 3 SERIES (E46) КП 1999-2006  СТ БОК НЕП ОТКР ЛВ ЗЛ+УО</t>
  </si>
  <si>
    <t>6993860</t>
  </si>
  <si>
    <t>BMW 3 SERIES (E46) КП 1999-2006  СТ ПЕР ДВ ОП ПР ЗЛ</t>
  </si>
  <si>
    <t>6990162</t>
  </si>
  <si>
    <t>BMW 3 SERIES (E46) КП 1999-2006  СТ БОК НЕП ОТКР ПР ЗЛ+УО</t>
  </si>
  <si>
    <t>3 SERIES (E46) СД 1998-2005</t>
  </si>
  <si>
    <t>6961064</t>
  </si>
  <si>
    <t>1998-2005</t>
  </si>
  <si>
    <t>BMW 3 SERIES (E46) СД 1998-2005 СТ ВЕТР ЗЛГЛ+ДД+VIN+ИЗМ ШЕЛК</t>
  </si>
  <si>
    <t>6962504</t>
  </si>
  <si>
    <t>2001-2005</t>
  </si>
  <si>
    <t>BMW 3 SERIES (E46) СД 2001-2005 СТ ВЕТР ЗЛГЛ+ДД+ИЗМ+VIN</t>
  </si>
  <si>
    <t>6961065</t>
  </si>
  <si>
    <t>BMW 3 SERIES (E46) СД 1998-2005 1998-2005 СТ ВЕТР ЗЛГЛ+VIN</t>
  </si>
  <si>
    <t>6963256</t>
  </si>
  <si>
    <t>BMW 3 SERIES СЕД (E46) 1998-2005 08/1998-2005 СТ ВЕТР ЗЛЗЛ+ДД+VIN+ИЗМ ШЕЛК</t>
  </si>
  <si>
    <t>6960934</t>
  </si>
  <si>
    <t>BMW 3 SERIES СЕД (E46) 2001-2005 СТ ВЕТР ЗЛЗЛ+ДД+VIN+ИЗМ</t>
  </si>
  <si>
    <t>6963294</t>
  </si>
  <si>
    <t>BMW 3 SERIES СЕД (E46) 1998-2005 СТ ВЕТР ЗЛЗЛ+VIN</t>
  </si>
  <si>
    <t>6963257</t>
  </si>
  <si>
    <t>BMW 3 SERIES СЕД (E46) 1998-2005 08/1998-2005 СТ ВЕТР ЗЛ+ДД+VIN+ИЗМ ШЕЛК</t>
  </si>
  <si>
    <t>6960935</t>
  </si>
  <si>
    <t>BMW 3 SERIES СЕД (E46) 2001-2005 СТ ВЕТР ЗЛ+ДД+VIN</t>
  </si>
  <si>
    <t>6963692</t>
  </si>
  <si>
    <t>BMW 3 SERIES СЕД (E46) 1998-2005 СТ ВЕТР ЗЛ+VIN</t>
  </si>
  <si>
    <t>6100026</t>
  </si>
  <si>
    <t>BMW 3 SERIES СЕД (E46) 98 МОЛД  ДЛЯ СТ ВЕТР</t>
  </si>
  <si>
    <t>6999479</t>
  </si>
  <si>
    <t>BMW 3 SERIES СД (E46) 1998-2005 СТ ЗАДН ЗЛ+АНТ+СТОП+ТВ АНТ+УО+ИЗМ МОЛД</t>
  </si>
  <si>
    <t>6998700</t>
  </si>
  <si>
    <t>BMW 3 SERIES СД (E46) 1998-2005 СТ ЗАДН ЗЛ+АНТ+СТОП+УО</t>
  </si>
  <si>
    <t>6100428</t>
  </si>
  <si>
    <t>BMW 3 SERIES СЕД (E46) 1998-2005  МОЛД  ДЛЯ СТ ЗАДН</t>
  </si>
  <si>
    <t>6995519</t>
  </si>
  <si>
    <t>BMW 3 SERIES СЕД (E46) 1998-2005 СТ ПЕР ЛВ ЗЛ+2 ОТВ</t>
  </si>
  <si>
    <t>6995520</t>
  </si>
  <si>
    <t>BMW 3 SERIES СЕД (E46) 1998-2005 СТ ЗАДН ЛВ ЗЛ+1 ОТВ</t>
  </si>
  <si>
    <t>6995652</t>
  </si>
  <si>
    <t>BMW 3 SERIES СЕД (E46) 1998-2005 СТ БОК НЕП ЛВ ЗЛ</t>
  </si>
  <si>
    <t>6995521</t>
  </si>
  <si>
    <t>BMW 3 SERIES СЕД (E46) 1998-2005 СТ ПЕР ПР ЗЛ+2 ОТВ</t>
  </si>
  <si>
    <t>6995522</t>
  </si>
  <si>
    <t>BMW 3 SERIES СЕД (E46) 1998-2005 СТ ЗАДН ПР ЗЛ+1 ОТВ</t>
  </si>
  <si>
    <t>6995653</t>
  </si>
  <si>
    <t>BMW 3 SERIES СЕД (E46) 1998-2005 СТ БОК НЕП ПР ЗЛ</t>
  </si>
  <si>
    <t>3 SERIES (E46) HBK 2001-2005</t>
  </si>
  <si>
    <t>6961934</t>
  </si>
  <si>
    <t>BMW 3 SERIES COMPACT 2001-2005 СТ ВЕТР ЗЛЗЛ+ДД+VIN</t>
  </si>
  <si>
    <t>6960991</t>
  </si>
  <si>
    <t>BMW 3 SERIES COMPACT 2001-2005 СТ ВЕТР ЗЛЗЛ+ДД+VIN+СЕНС</t>
  </si>
  <si>
    <t>6962934</t>
  </si>
  <si>
    <t>BMW 3 SERIES COMPACT 2001-2005 СТ ВЕТР ЗЛЗЛ+VIN</t>
  </si>
  <si>
    <t>6960836</t>
  </si>
  <si>
    <t>BMW 3 SERIES COMPACT 2001-2005 СТ ВЕТР ЗЛ+VIN</t>
  </si>
  <si>
    <t>6961039</t>
  </si>
  <si>
    <t>BMW 3 SERIES COMPACT 2001-2005 СТ ВЕТР ЗЛ+ДД+VIN</t>
  </si>
  <si>
    <t>6960837</t>
  </si>
  <si>
    <t>6101057</t>
  </si>
  <si>
    <t>BMW 3 SERIES COMPACT 2001  МОЛД  ДЛЯ СТ ВЕТР</t>
  </si>
  <si>
    <t>6999480</t>
  </si>
  <si>
    <t>BMW 3 SERIES COMPACT ХБ 2001-2005 СТ ЗАДН ДВ ЗЛ+АНТ+СТОП+УО</t>
  </si>
  <si>
    <t>6999925</t>
  </si>
  <si>
    <t>BMW 3 SERIES COMPACT 2001-2005 СТ ПЕР ДВ ОП ЛВ ЗЛ</t>
  </si>
  <si>
    <t>6900017</t>
  </si>
  <si>
    <t>BMW 3 SERIES COMPACT 2001-2005 СТ ПЕР ДВ ОП ПР ЗЛ</t>
  </si>
  <si>
    <t>3 SERIES (E90) (E91) СЕД/УН 2005-</t>
  </si>
  <si>
    <t>6961656</t>
  </si>
  <si>
    <t>2005-2008</t>
  </si>
  <si>
    <t>BMW 3 SERIES СЕД (E90)+УН(E91) 2005-  СТ ВЕТР ТЕПЛООТРЗЛ+ДД+VIN</t>
  </si>
  <si>
    <t>6962195</t>
  </si>
  <si>
    <t>BMW 3 SERIES СЕД (E90)+УН(E91) 2005-  СТ ВЕТР ЗЛГЛ +VIN</t>
  </si>
  <si>
    <t>6961399</t>
  </si>
  <si>
    <t>BMW 3 SERIES СЕД (E90)+УН(E91) 2005-  СТ ВЕТР ЗЛЗЛ+ДД+VIN</t>
  </si>
  <si>
    <t>6961398</t>
  </si>
  <si>
    <t>BMW 3 SERIES СЕД (E90)+УН(E91) 2005-  СТ ВЕТР ЗЛЗЛ+VIN</t>
  </si>
  <si>
    <t>6961397</t>
  </si>
  <si>
    <t>BMW 3 SERIES СЕД (E90)+УН(E91) 2005-  СТ ВЕТР ЗЛ+ДД+VIN</t>
  </si>
  <si>
    <t>6961401</t>
  </si>
  <si>
    <t>BMW 3 SERIES СЕД (E90)+УН(E91) 2005-  СТ ВЕТР ЗЛ+VIN</t>
  </si>
  <si>
    <t>6101616</t>
  </si>
  <si>
    <t>BMW 3 SERIES СЕД+УН 2005- МОЛД  ДЛЯ СТ ВЕТР ВЕРХ</t>
  </si>
  <si>
    <t>6996481</t>
  </si>
  <si>
    <t>BMW 3 SERIES СД (E90) 2005- СТ ЗАДН ТЗЛ+АНТ+СТОП+ТВ АНТ+УО</t>
  </si>
  <si>
    <t>6996482</t>
  </si>
  <si>
    <t>BMW 3 SERIES СД (E90) 2005-  СТ ЗАДН ЗЛ+АНТ+СТОП+УО</t>
  </si>
  <si>
    <t>6996576</t>
  </si>
  <si>
    <t>BMW 3 SERIES СЕД (E90) 2005- СТ ЗАДН ДВ ОП ТЗЛ ЛВ</t>
  </si>
  <si>
    <t>6997591</t>
  </si>
  <si>
    <t>BMW 3 SERIES УН (E91) 2005-  СТ ЗАДН ДВ ОП ЛВ ЗЛ</t>
  </si>
  <si>
    <t>6997569</t>
  </si>
  <si>
    <t>BMW 3 SERIES СЕД (E90)+УН(E91) 2005-  СТ ПЕР ДВ ОП ЗЛ ЛВ</t>
  </si>
  <si>
    <t>6997590</t>
  </si>
  <si>
    <t>BMW 3 SERIES СЕД (E90) 2005-  СТ ЗАДН ДВ ОП ЗЛ ЛВ</t>
  </si>
  <si>
    <t>6900289</t>
  </si>
  <si>
    <t>BMW 3 SERIES СЕД (E90) 2005-  СТ ФОРТ ЗАДН НЕП ЗЛ ЛВ</t>
  </si>
  <si>
    <t>6996577</t>
  </si>
  <si>
    <t>BMW 3 SERIES СЕД (E90) 2005-  СТ ЗАДН ДВ ОП ТЗЛ ПР</t>
  </si>
  <si>
    <t>6993864</t>
  </si>
  <si>
    <t>BMW 3 SERIES УН (E91) 2005-  СТ ЗАДН ДВ ОП ПР ЗЛ</t>
  </si>
  <si>
    <t>6993863</t>
  </si>
  <si>
    <t>BMW 3 SERIES СЕД (E90)+УН(E91) 2005-  СТ ПЕР ДВ ОП ЗЛ ПР</t>
  </si>
  <si>
    <t>6993865</t>
  </si>
  <si>
    <t>BMW 3 SERIES СЕД (E90) 2005-  СТ ЗАДН ДВ ОП ЗЛ ПР</t>
  </si>
  <si>
    <t>6900308</t>
  </si>
  <si>
    <t>BMW 3 SERIES СЕД (E90) 2005-  СТ ФОРТ ЗАДН НЕП ЗЛ ПР</t>
  </si>
  <si>
    <t>3 SERIES COUPE (E92) 2006-</t>
  </si>
  <si>
    <t>6962338</t>
  </si>
  <si>
    <t>BMW 3 SERIES КУП (E92) 2006-  СТ ВЕТР ЗЛСР+ДД+VIN+ИЗМ ШЕЛК</t>
  </si>
  <si>
    <t>6962339</t>
  </si>
  <si>
    <t>BMW 3 SERIES КУП (E92) 2006-  СТ ВЕТР ЗЛСР+VIN</t>
  </si>
  <si>
    <t>6900669</t>
  </si>
  <si>
    <t>BMW 3 SERIES КП (E92) 2006-  СТ ЗАДН ЗЛ+СТОП</t>
  </si>
  <si>
    <t>6900672</t>
  </si>
  <si>
    <t>BMW 3 SERIES КП (E92) 2006-  СТ ЗАДН СР+СТОП</t>
  </si>
  <si>
    <t>6900670</t>
  </si>
  <si>
    <t>BMW 3 SERIES КУП (E92) 2006-  СТ ПЕР ДВ ОП ЛВ ЗЛ+УО</t>
  </si>
  <si>
    <t>6900671</t>
  </si>
  <si>
    <t>BMW 3 SERIES КУП (E92) 2006-  СТ ПЕР ДВ ОП ПР ЗЛ+УО</t>
  </si>
  <si>
    <t>3 SERIES CAB (E93) 2006-</t>
  </si>
  <si>
    <t>6962510</t>
  </si>
  <si>
    <t>BMW 3 SERIES CAB (E93) 2006- СТ ВЕТР ЗЛСР+VIN</t>
  </si>
  <si>
    <t>5 SERIES (E28) 1973-1985</t>
  </si>
  <si>
    <t>6967208</t>
  </si>
  <si>
    <t>1973-1985</t>
  </si>
  <si>
    <t>BMW 520/528 1973-1985 СТ ВЕТР</t>
  </si>
  <si>
    <t>6967204</t>
  </si>
  <si>
    <t>BMW 520/528 1973-1985 СТ ВЕТР ЗЛ</t>
  </si>
  <si>
    <t>6967209</t>
  </si>
  <si>
    <t>BMW 520/528 1973-1985 СТ ВЕТР ЗЛЗЛ</t>
  </si>
  <si>
    <t>6100443</t>
  </si>
  <si>
    <t>BMW 520/528 1973-1985 РЕЗ ПРОФ ДЛЯ СТ ВЕТР</t>
  </si>
  <si>
    <t>5 SERIES (E34) 1986-1995</t>
  </si>
  <si>
    <t>6967212</t>
  </si>
  <si>
    <t>1986-1995</t>
  </si>
  <si>
    <t>BMW 5 SERIES 1986-1995 СТ ВЕТР ЗЛ</t>
  </si>
  <si>
    <t>6967219</t>
  </si>
  <si>
    <t>BMW 5 SERIES 1986-1995 СТ ВЕТР ЗЛГЛ</t>
  </si>
  <si>
    <t>6967214</t>
  </si>
  <si>
    <t>BMW 5 SERIES 1986-1995 СТ ВЕТР ЗЛЗЛ</t>
  </si>
  <si>
    <t>6100021</t>
  </si>
  <si>
    <t>BMW 5 SERIES 1987-1995 КЛИПСА ДЛЯ СТ ВЕТР</t>
  </si>
  <si>
    <t>6102421</t>
  </si>
  <si>
    <t>BMW 5 SERIES 1986-1995 КЛИПСА ДЛЯ СТ ВЕТР</t>
  </si>
  <si>
    <t>6102422</t>
  </si>
  <si>
    <t>6102571</t>
  </si>
  <si>
    <t>BMW 5 SERIES E34/ BMW 7 SERIES E32 Клипса для ВЕТР СТ 50 шт</t>
  </si>
  <si>
    <t>6998934</t>
  </si>
  <si>
    <t>BMW 5 SERIES СД 1986-1995 10/1989-1995 СТ ЗАДН ЭО ЗЛ+АНТ</t>
  </si>
  <si>
    <t>6996644</t>
  </si>
  <si>
    <t>BMW 5 SERIES СЕД+УН 1986-1995 СТ ПЕР ДВ ОП ЛВ ЗЛ</t>
  </si>
  <si>
    <t>6995644</t>
  </si>
  <si>
    <t>BMW 5 SERIES СЕД 1986-1995  СТ ЗАДН ДВ ОП ЛВ ЗЛ</t>
  </si>
  <si>
    <t>6996645</t>
  </si>
  <si>
    <t>BMW 5 SERIES СЕД+УН 1986-1995 СТ ПЕР ДВ ОП ПР ЗЛ</t>
  </si>
  <si>
    <t>6999808</t>
  </si>
  <si>
    <t>BMW 5 SERIES СЕД+УН 1986-1995 СТ ПЕР ДВ ОП ПР ЗЛ+УО</t>
  </si>
  <si>
    <t>6995645</t>
  </si>
  <si>
    <t>BMW 5 SERIES СЕД 1986-1995  СТ ЗАДН ДВ ОП ПР ЗЛ</t>
  </si>
  <si>
    <t>6999340</t>
  </si>
  <si>
    <t>BMW 5 SERIES EST 1986-1995- СТ ЗАДН ДВ ОП ПР ЗЛ</t>
  </si>
  <si>
    <t>5 SERIES (E39) 1996-2003</t>
  </si>
  <si>
    <t>6960578</t>
  </si>
  <si>
    <t>BMW 5 SERIES 1996-2003 СТ ВЕТР ТЕПЛООТРЗЛ+VIN</t>
  </si>
  <si>
    <t>6962933</t>
  </si>
  <si>
    <t>BMW 5 SERIES 1996-2003 СТ ВЕТР ЗЛГЛ+VIN</t>
  </si>
  <si>
    <t>6961415</t>
  </si>
  <si>
    <t>1996-1999</t>
  </si>
  <si>
    <t>BMW 5 SERIES 1996-1999 СТ ВЕТР ЗЛЗЛ+VIN+ШЕЛК+ДД</t>
  </si>
  <si>
    <t>6967232</t>
  </si>
  <si>
    <t>1999-2001</t>
  </si>
  <si>
    <t>BMW 5 SERIES 1999-08/2001 СТ ВЕТР ЗЛЗЛ ИЗМ ШЕЛК+ДД+VIN</t>
  </si>
  <si>
    <t>6960989</t>
  </si>
  <si>
    <t>2001-2003</t>
  </si>
  <si>
    <t>BMW 5 SERIES 09/2001-2003  СТ ВЕТР ЗЛЗЛ+ДД+VIN</t>
  </si>
  <si>
    <t>6967315</t>
  </si>
  <si>
    <t>BMW 5 SERIES 1996-2003 СТ ВЕТР ЗЛЗЛ+VIN</t>
  </si>
  <si>
    <t>6961416</t>
  </si>
  <si>
    <t>BMW 5 SERIES 1996-2003 СТ ВЕТР ЗЛ+VIN+ДД</t>
  </si>
  <si>
    <t>6967231</t>
  </si>
  <si>
    <t>1999-2003</t>
  </si>
  <si>
    <t>BMW 5 SERIES E39 1999-2003 СТ ВЕТР ЗЛ ИЗМ ШЕЛК+ДД+VIN</t>
  </si>
  <si>
    <t>6960990</t>
  </si>
  <si>
    <t>BMW 5 SERIES 09/2001-2003  СТ ВЕТР ЗЛ+ДД+VIN+ИЗМ ДД</t>
  </si>
  <si>
    <t>6967314</t>
  </si>
  <si>
    <t>BMW 5 SERIES 1996-2003 СТ ВЕТР ЗЛ+VIN</t>
  </si>
  <si>
    <t>6101179</t>
  </si>
  <si>
    <t>BMW 5 SERIES (E39) 1996-2003 НАБ КЛИПС ДЛЯ СТ ВЕТР</t>
  </si>
  <si>
    <t>6102503</t>
  </si>
  <si>
    <t>BMW 5 SERIES (E39) 1995-2003  ПЕНОРЕЗИНА д/НИЖН. КРОМКИ СТЕКЛА</t>
  </si>
  <si>
    <t>6100024</t>
  </si>
  <si>
    <t>BMW 5 SERIES (E39) 1995-2003  МОЛД  ДЛЯ СТ ВЕТР</t>
  </si>
  <si>
    <t>6102329</t>
  </si>
  <si>
    <t>BMW 5 SERIES (E39) 03/1999-2003  СЕД МОЛД ДЛЯ СТ ВЕТР</t>
  </si>
  <si>
    <t>6102608</t>
  </si>
  <si>
    <t>НАБОР КЛИПС ДЛЯ BMW 5 Series E39 (10 ШТ)</t>
  </si>
  <si>
    <t>6998609</t>
  </si>
  <si>
    <t>1997-2003</t>
  </si>
  <si>
    <t>BMW 5 SERIES УН 1997-2003 СТ ЗАДН ДВ ЗЛ+АНТ+СТОП+ИНК</t>
  </si>
  <si>
    <t>6998699</t>
  </si>
  <si>
    <t>BMW 5 SERIES СД 1996-2003 СТ ЗАДН ЭО ЗЛ+СТОП+VIN</t>
  </si>
  <si>
    <t>6101005</t>
  </si>
  <si>
    <t>BMW 5 SERIES 1995-2003  МОЛД  ДЛЯ СТ ЗАДН</t>
  </si>
  <si>
    <t>6101337</t>
  </si>
  <si>
    <t>BMW 5 SERIES E39 1996-2003  МОЛД  ДЛЯ СТ ЗАДН</t>
  </si>
  <si>
    <t>6994756</t>
  </si>
  <si>
    <t>BMW 5 SERIES УН 1997-2003 СТ ЗАДН ДВ ОП ЛВ ЗЛ</t>
  </si>
  <si>
    <t>6994757</t>
  </si>
  <si>
    <t>BMW 5 SERIES УН 1997-2003 СТ ЗАДН ДВ НЕП ЛВ ЗЛ</t>
  </si>
  <si>
    <t>6995646</t>
  </si>
  <si>
    <t>BMW 5 SERIES СД+УН 1996-2003 СТ ПЕР ДВ ОП ЛВ ЗЛ</t>
  </si>
  <si>
    <t>6995647</t>
  </si>
  <si>
    <t>BMW 5 SERIES 1996-2003  СТ ЗАДН ДВ ОП ЛВ ЗЛ</t>
  </si>
  <si>
    <t>6995648</t>
  </si>
  <si>
    <t>BMW 5 SERIES 1996-2003  ФОРТ ЗАДН НЕП ЛВ ЗЛ</t>
  </si>
  <si>
    <t>6994758</t>
  </si>
  <si>
    <t>BMW 5 SERIES УН 1996-2003 СТ ЗАДН ДВ ОП ПР ЗЛ</t>
  </si>
  <si>
    <t>6994759</t>
  </si>
  <si>
    <t>BMW 5 SERIES УН 1996-2003 СТ ЗАДН ДВ НЕП ПР ЗЛ</t>
  </si>
  <si>
    <t>6995649</t>
  </si>
  <si>
    <t>BMW 5 SERIES СД+УН 1996-2003 СТ ПЕР ДВ ОП ПР ЗЛ</t>
  </si>
  <si>
    <t>6995650</t>
  </si>
  <si>
    <t>BMW 5 SERIES 1996-2003  СТ ЗАДН ДВ ОП ПР ЗЛ</t>
  </si>
  <si>
    <t>6995651</t>
  </si>
  <si>
    <t>BMW 5 SERIES 1996-2003 СТ ЗАДН ДВ НЕП ПР ЗЛ</t>
  </si>
  <si>
    <t>5 SERIES (E60) 2003-</t>
  </si>
  <si>
    <t>6960424</t>
  </si>
  <si>
    <t>2003-2010</t>
  </si>
  <si>
    <t>BMW 5 SERIES 2003- СТ ВЕТР ТЕПЛООТРЗЛ+ДД+VIN</t>
  </si>
  <si>
    <t>6961387</t>
  </si>
  <si>
    <t>2007-2010</t>
  </si>
  <si>
    <t>BMW 5 SERIES СД+УН 2007- СТ ВЕТР ТЕПЛООТРЗЛ+ДД+VIN+ИЗМ ДД</t>
  </si>
  <si>
    <t>6960422</t>
  </si>
  <si>
    <t>BMW 5 SERIES 2003- СТ ВЕТР ТЕПЛООТР+ДИСПЛЕЙ+ДД+VIN</t>
  </si>
  <si>
    <t>6960421</t>
  </si>
  <si>
    <t>BMW 5 SERIES 2003- СТ ВЕТР ЗЛЗЛ+ДД+ДСВ+VIN</t>
  </si>
  <si>
    <t>6961386</t>
  </si>
  <si>
    <t>BMW 5 SERIES СД+УН 2007- СТ ВЕТР ЗЛЗЛ+ДД+VIN+ИЗМ ДД</t>
  </si>
  <si>
    <t>6960415</t>
  </si>
  <si>
    <t>BMW 5 SERIES 2003- СТ ВЕТР ЗЛ+ДИСПЛЕЙ+ДД+VIN</t>
  </si>
  <si>
    <t>6960420</t>
  </si>
  <si>
    <t>BMW 5 SERIES 2003- СТ ВЕТР ЗЛ+ДД+VIN</t>
  </si>
  <si>
    <t>6961511</t>
  </si>
  <si>
    <t>BMW 5 SERIES СД+УН 2007- СТ ВЕТР ЗЛ+ДД+VIN+ДД (круглый)</t>
  </si>
  <si>
    <t>6101271</t>
  </si>
  <si>
    <t>BMW 5 SERIES (E60) 2003-НАБ КЛИПС 50 ШТ ДЛЯ СТ ВЕТР</t>
  </si>
  <si>
    <t>6101225</t>
  </si>
  <si>
    <t>BMW 5 SERIES СЕД 2003- МОЛД  ДЛЯ СТ ВЕТР ВЕРХ</t>
  </si>
  <si>
    <t>6900357</t>
  </si>
  <si>
    <t>BMW 5 SERIES СД 2003-  СТ ЗАДН ЗЛ+АНТ+СТОП+GPS</t>
  </si>
  <si>
    <t>6960597</t>
  </si>
  <si>
    <t>BMW 5 SERIES 2003- СТ ЗАДН ДВ ОП ЛВ ТЕПЛООТР ТРИПЛ+УО</t>
  </si>
  <si>
    <t>6960625</t>
  </si>
  <si>
    <t>BMW 5 SERIES 2003- СТ ЗАДН ДВ НЕП ЛВ ТЕПЛООТР ТРИПЛ</t>
  </si>
  <si>
    <t>6960475</t>
  </si>
  <si>
    <t>BMW 5 SERIES 2003- СТ ПЕР ДВ ОП ЛВ ТЕПЛООТР ТРИПЛ+УО</t>
  </si>
  <si>
    <t>6960477</t>
  </si>
  <si>
    <t>6992139</t>
  </si>
  <si>
    <t>BMW 5 SERIES УН 2003- СТ ЗАДН ДВ ОП ЛВ ЗЛ</t>
  </si>
  <si>
    <t>6992070</t>
  </si>
  <si>
    <t>BMW 5 SERIES УН 2003- СТ ЗАДН ДВ НЕП ЛВ ЗЛ</t>
  </si>
  <si>
    <t>6991757</t>
  </si>
  <si>
    <t>BMW 5 SERIES СД 2003- СТ ПЕР ДВ ОП ЛВ ЗЛ</t>
  </si>
  <si>
    <t>6991759</t>
  </si>
  <si>
    <t>BMW 5 SERIES СД 2003- СТ ЗАДН ДВ ОП ЛВ ЗЛ</t>
  </si>
  <si>
    <t>6991788</t>
  </si>
  <si>
    <t>BMW 5 SERIES СД 2003- СТ ЗАДН ДВ НЕП ЛВ ЗЛ</t>
  </si>
  <si>
    <t>6960586</t>
  </si>
  <si>
    <t>BMW 5 SERIES 2003- СТ ЗАДН ДВ НЕП ЛВ ТРИПЛ</t>
  </si>
  <si>
    <t>6991884</t>
  </si>
  <si>
    <t>BMW 5 SERIES СД 2003- СТ ЗАДН ДВ ОП ЛВ СР</t>
  </si>
  <si>
    <t>6992092</t>
  </si>
  <si>
    <t>BMW 5 SERIES СД 2003- СТ ЗАДН ДВ НЕП ЛВ СР</t>
  </si>
  <si>
    <t>6960598</t>
  </si>
  <si>
    <t>BMW 5 SERIES 2003- СТ ЗАДН ДВ ОП ПР ТЕПЛООТР ТРИПЛ+УО</t>
  </si>
  <si>
    <t>6960626</t>
  </si>
  <si>
    <t>BMW 5 SERIES 2003- СТ ЗАДН ДВ НЕП ПР ТЕПЛООТР ТРИПЛ ТЕПЛООТР</t>
  </si>
  <si>
    <t>6960476</t>
  </si>
  <si>
    <t>BMW 5 SERIES 2003- СТ ПЕР ДВ ОП ПР ТЕПЛООТР ТРИПЛ+УО</t>
  </si>
  <si>
    <t>6960478</t>
  </si>
  <si>
    <t>6992140</t>
  </si>
  <si>
    <t>BMW 5 SERIES УН 2003- СТ ЗАДН ДВ ОП ПР ЗЛ</t>
  </si>
  <si>
    <t>6992071</t>
  </si>
  <si>
    <t>BMW 5 SERIES УН 2003- СТ ЗАДН ДВ НЕП ПР ЗЛ</t>
  </si>
  <si>
    <t>6991758</t>
  </si>
  <si>
    <t>BMW 5 SERIES СД 2003- СТ ПЕР ДВ ОП ПР ЗЛ</t>
  </si>
  <si>
    <t>6991760</t>
  </si>
  <si>
    <t>BMW 5 SERIES СД 2003- СТ ЗАДН ДВ ОП ПР ЗЛ</t>
  </si>
  <si>
    <t>6991789</t>
  </si>
  <si>
    <t>BMW 5 SERIES СД 2003- СТ ЗАДН ДВ НЕП ПР ЗЛ</t>
  </si>
  <si>
    <t>6960587</t>
  </si>
  <si>
    <t>BMW 5 SERIES 2003- СТ ЗАДН ДВ НЕП ПР ЗЛ ТРИПЛ</t>
  </si>
  <si>
    <t>6991885</t>
  </si>
  <si>
    <t>BMW 5 SERIES СД 2003- СТ ЗАДН ДВ ОП ПР СР</t>
  </si>
  <si>
    <t>6992094</t>
  </si>
  <si>
    <t>BMW 5 SERIES СД 2003- СТ ЗАДН ДВ НЕП ПР СР</t>
  </si>
  <si>
    <t>5 SERIES GT F07 2009-</t>
  </si>
  <si>
    <t>6964976</t>
  </si>
  <si>
    <t>BMW 5 SERIES GT F07 2009- СТ ВЕТР ЗЛ+ДД+VIN</t>
  </si>
  <si>
    <t>5 SERIES 2010-</t>
  </si>
  <si>
    <t>6965119</t>
  </si>
  <si>
    <t>2010--</t>
  </si>
  <si>
    <t>BMW 5 SER 10 СТ ВЕТР ЗЛСР+КАМ+ДД+VIN</t>
  </si>
  <si>
    <t>6965111</t>
  </si>
  <si>
    <t>BMW 5 SER 10 СТ ВЕТР ЗЛСР+ДД+VIN</t>
  </si>
  <si>
    <t>6965113</t>
  </si>
  <si>
    <t>6965115</t>
  </si>
  <si>
    <t>BMW 5 SER 10 СТ ВЕТР ЗЛ+ДД+VIN</t>
  </si>
  <si>
    <t>6 SERIES (E63) 2004-</t>
  </si>
  <si>
    <t>6960458</t>
  </si>
  <si>
    <t>BMW 6 SERIES E63 КУП/КБ 2004- СТ ВЕТР ТЕПЛООТРЗЛ+ДД+VIN+ИЗМ ШЕЛК</t>
  </si>
  <si>
    <t>6960550</t>
  </si>
  <si>
    <t>BMW 6 SERIES E63 КУП/КБ 2004-  СТ ВЕТР ТЕПЛООТР+ДД+ДИСПЛЕЙ+VIN+ИЗМ ШЕЛК</t>
  </si>
  <si>
    <t>6960579</t>
  </si>
  <si>
    <t>BMW 6 SERIES E63 КУП 2004- СТ ВЕТР ЗЛЗЛ+ДД+VIN+ИЗМ ШЕЛК</t>
  </si>
  <si>
    <t>6960947</t>
  </si>
  <si>
    <t>BMW 6 SERIES E63 КУП 2004- СТ ВЕТР ЗЛ+ДД+VIN+ДИСПЛЕЙ+ИЗМ ШЕЛК</t>
  </si>
  <si>
    <t>6967027</t>
  </si>
  <si>
    <t>BMW 6 SERIES E63 КУП 2004- СТ ВЕТР ЗЛ+ДД+VIN+ИЗМ ШЕЛК</t>
  </si>
  <si>
    <t>6900364</t>
  </si>
  <si>
    <t>BMW 6 SERIES E63 КП 2004- СТ ЗАДН ЗЛ+АНТ+СТОП+ИНК</t>
  </si>
  <si>
    <t>6999926</t>
  </si>
  <si>
    <t>BMW 6 SERIES E63 КУП/КБ 2004-  СТ ПЕР ДВ ОП ЗЛ ЛВ+УО</t>
  </si>
  <si>
    <t>6900018</t>
  </si>
  <si>
    <t>BMW 6 SERIES E63 КУП/КБ 2004-  СТ ПЕР ДВ ОП ЗЛ ПР+УО</t>
  </si>
  <si>
    <t>6 SERIES F12 CAB 2010-</t>
  </si>
  <si>
    <t>6965238</t>
  </si>
  <si>
    <t>BMW 6 SERIES F12 CAB 2010-СТ ВЕТР ЗЛ+ДД</t>
  </si>
  <si>
    <t>7 SERIES (E32) 1987-1994</t>
  </si>
  <si>
    <t>6963289</t>
  </si>
  <si>
    <t>1987-1994</t>
  </si>
  <si>
    <t>BMW 7 SERIES 1987-1994 СТ ВЕТР ЗЛГЛ+ЭО</t>
  </si>
  <si>
    <t>6962935</t>
  </si>
  <si>
    <t>BMW 7 SERIES 1987-1994 СТ ВЕТР ЗЛЗЛ+КР</t>
  </si>
  <si>
    <t>6963690</t>
  </si>
  <si>
    <t>BMW 7 SERIES 1987-1989 СТ ВЕТР ЗЛЗЛ+ЭО</t>
  </si>
  <si>
    <t>6963691</t>
  </si>
  <si>
    <t>BMW 7 SERIES 1987-1994 СТ ВЕТР ЗЛ+КР</t>
  </si>
  <si>
    <t>6102328</t>
  </si>
  <si>
    <t>BMW 7 SERIES 1987-1989 В/С НАБ КЛИПС</t>
  </si>
  <si>
    <t>6101155</t>
  </si>
  <si>
    <t>BMW 7 SERIES E32 1993-  2PCS УСТ КОМПЛ ДЛЯ СТ ВЕТР</t>
  </si>
  <si>
    <t>6998935</t>
  </si>
  <si>
    <t>BMW 7 SERIES СД 1987-1989 СТ ЗАДН ЗЛ+АНТ</t>
  </si>
  <si>
    <t>6996646</t>
  </si>
  <si>
    <t>BMW 7 SERIES 1987-1994 СТ ПЕР ДВ ОП ЛВ ЗЛ</t>
  </si>
  <si>
    <t>6996647</t>
  </si>
  <si>
    <t>BMW 7 SERIES 1987-1994 СТ ЗАДН ДВ ОП ЛВ ЗЛ</t>
  </si>
  <si>
    <t>6996648</t>
  </si>
  <si>
    <t>BMW 7 SERIES 1987-1994 СТ ПЕР ДВ ОП ПР ЗЛ</t>
  </si>
  <si>
    <t>6996649</t>
  </si>
  <si>
    <t>BMW 7 SERIES 1987-1994 СТ ЗАДН ДВ ОП ПР ЗЛ</t>
  </si>
  <si>
    <t>7 SERIES (E38) 1994-2001</t>
  </si>
  <si>
    <t>6961935</t>
  </si>
  <si>
    <t>BMW 7 SERIES 1994-2001  СТ ВЕТР ЗЛЗЛ+ЭО+ДД+VIN</t>
  </si>
  <si>
    <t>6961936</t>
  </si>
  <si>
    <t>BMW 7 SERIES 1994-2001  СТ ВЕТР ЗЛЗЛ+VIN+ЭО+ДД+ИЗМ ДД</t>
  </si>
  <si>
    <t>6962936</t>
  </si>
  <si>
    <t>BMW 7 SERIES 1994-2001  СТ ВЕТР ЗЛЗЛ+ЭО+МЕСТО ПОД ДД+VIN+ИЗМ ШЕЛК</t>
  </si>
  <si>
    <t>6950029</t>
  </si>
  <si>
    <t>BMW 7 SERIES 1994-2001  СТ ВЕТР ЗЛЗЛ+ЭО+МЕСТО ПОД ДД+ИЗМ ШЕЛК+VIN+ИЗМ ДД</t>
  </si>
  <si>
    <t>6963291</t>
  </si>
  <si>
    <t>BMW 7 SERIES 1994-2001  СТ ВЕТР  ЗЛЗЛ+VIN+ЭО</t>
  </si>
  <si>
    <t>6961937</t>
  </si>
  <si>
    <t>BMW 7 SERIES 1994-2001  СТ ВЕТР ЗЛ+ЭО+ДД+VIN+ИЗМ ДД</t>
  </si>
  <si>
    <t>6963293</t>
  </si>
  <si>
    <t>BMW 7 SERIES 1994-2001  СТ ВЕТР ЗЛ+ЭО+VIN</t>
  </si>
  <si>
    <t>6101089</t>
  </si>
  <si>
    <t>BMW 7 SERIES 1994-2001- 8PCS НАБ СОЕД ДЛЯ СТ ВЕТР</t>
  </si>
  <si>
    <t>6101203</t>
  </si>
  <si>
    <t>BMW 7 SERIES 1994-2001  1PCS МОЛД  ДЛЯ СТ ВЕТР ВЕРХ</t>
  </si>
  <si>
    <t>6998698</t>
  </si>
  <si>
    <t>BMW 7 SERIES СД 1994-2001  СТ ЗАДН ЗЛ+АНТ+СТОП</t>
  </si>
  <si>
    <t>6995517</t>
  </si>
  <si>
    <t>BMW 7 SERIES 1994-2001  СТ ПЕР ДВ ОП ЛВ ЗЛ</t>
  </si>
  <si>
    <t>6994319</t>
  </si>
  <si>
    <t>BMW 7 SERIES 1994-2001  СТ ЗАДН ДВ ОП ЛВ ЗЛ</t>
  </si>
  <si>
    <t>6995518</t>
  </si>
  <si>
    <t>BMW 7 SERIES 1994-2001  СТ ПЕР ДВ ОП ПР ЗЛ</t>
  </si>
  <si>
    <t>6994321</t>
  </si>
  <si>
    <t>BMW 7 SERIES 1994-2001  СТ ЗАДН ДВ ОП ПР ЗЛ</t>
  </si>
  <si>
    <t>7 SERIES (E65) 2001-</t>
  </si>
  <si>
    <t>6950026</t>
  </si>
  <si>
    <t>BMW 7 SERIES 2001-2003 СТ ВЕТР ЗЛЗЛ+ДД+ЭО+VIN+ИЗМ ШЕЛК</t>
  </si>
  <si>
    <t>6962799</t>
  </si>
  <si>
    <t>2001-2008</t>
  </si>
  <si>
    <t>BMW 7 SERIES 2001-  СТ ВЕТР ЗЛЗЛ+ЭО+ДД+VIN+ИЗМ ШЕЛК</t>
  </si>
  <si>
    <t>6961896</t>
  </si>
  <si>
    <t>2003-2008</t>
  </si>
  <si>
    <t>BMW 7 SERIES 2003-  СТ ВЕТР ЗЛЗЛ+ЭО+ДД+VIN+ИЗМ ДД</t>
  </si>
  <si>
    <t>6950027</t>
  </si>
  <si>
    <t>BMW 7 SERIES 2001-  СТ ВЕТР ЗЛ+ДД+VIN+ЭО+ИЗМ ШЕЛК</t>
  </si>
  <si>
    <t>6101111</t>
  </si>
  <si>
    <t>BMW 7 SERIES 2001- МОЛД  ДЛЯ СТ ВЕТР</t>
  </si>
  <si>
    <t>6999490</t>
  </si>
  <si>
    <t>BMW 7 SERIES СД 2001-  СТ ЗАДН ЗЛ+АНТ+УО+GPS+ТВ АНТ+ИЗМ ШЕЛК</t>
  </si>
  <si>
    <t>6999927</t>
  </si>
  <si>
    <t>BMW 7 SERIES 2001-  СТ ПЕР ДВ ОП ЛВ ЗЛ</t>
  </si>
  <si>
    <t>6900124</t>
  </si>
  <si>
    <t>BMW 7 SERIES 2001-  СТ ЗАДН ДВ ОП ЛВ ЗЛ</t>
  </si>
  <si>
    <t>6900290</t>
  </si>
  <si>
    <t>BMW 7 SERIES 2001-  СТ ФОРТ ЗАДН НЕП ЛВ ЗЛ</t>
  </si>
  <si>
    <t>6900019</t>
  </si>
  <si>
    <t>BMW 7 SERIES 2001-  СТ ПЕР ДВ ОП ПР ЗЛ</t>
  </si>
  <si>
    <t>6900248</t>
  </si>
  <si>
    <t>BMW 7 SERIES 2001-  СТ ЗАДН ДВ ОП ПР ЗЛ</t>
  </si>
  <si>
    <t>6900474</t>
  </si>
  <si>
    <t>BMW 7 SERIES 2001-  СТ ЗАДН ДВ ОП ПР ЗЛ+ИЗМ ИНК</t>
  </si>
  <si>
    <t>6900306</t>
  </si>
  <si>
    <t>BMW 7 SERIES 2001-  СТ ФОРТ ЗАДН НЕП ПР ЗЛ</t>
  </si>
  <si>
    <t>7 SERIES 4Д СД 2008-</t>
  </si>
  <si>
    <t>6964974</t>
  </si>
  <si>
    <t>BMW 7 SERIES 4Д СД 2008- СТ ВЕТР ЗЛСР+ДД+VIN</t>
  </si>
  <si>
    <t>6901418</t>
  </si>
  <si>
    <t>BMW 7 SERIES 4Д СД 2008- СТ ПЕР ДВ ОП ЛВ ЗЛ</t>
  </si>
  <si>
    <t>6901417</t>
  </si>
  <si>
    <t>BMW 7 SERIES 4Д СД 2008- СТ ПЕР ДВ ОП ПР ЗЛ</t>
  </si>
  <si>
    <t>728/733 1976-1987</t>
  </si>
  <si>
    <t>6963608</t>
  </si>
  <si>
    <t>1976-1987</t>
  </si>
  <si>
    <t>BMW 728/733 1976-1987 СТ ВЕТР ЗЛ</t>
  </si>
  <si>
    <t>6963609</t>
  </si>
  <si>
    <t>BMW 728/733 1976-1987 СТ ВЕТР ЗЛЗЛ</t>
  </si>
  <si>
    <t>8 SERIES (E31) 1989-1999</t>
  </si>
  <si>
    <t>6963539</t>
  </si>
  <si>
    <t>1989-1999</t>
  </si>
  <si>
    <t>BMW 8 SERIES 1989-1999  СТ ВЕТР ЗЛЗЛ+КР</t>
  </si>
  <si>
    <t>NEW MINI 2000-</t>
  </si>
  <si>
    <t>6960835</t>
  </si>
  <si>
    <t>2000-</t>
  </si>
  <si>
    <t>BMW MINI 2000-  СТ ВЕТР ЗЛЗЛ+VIN</t>
  </si>
  <si>
    <t>6962514</t>
  </si>
  <si>
    <t>BMW MINI 2000- СТ ВЕТР ЗЛГЛ+VIN</t>
  </si>
  <si>
    <t>6961193</t>
  </si>
  <si>
    <t>2003-</t>
  </si>
  <si>
    <t>BMW MINI 2003-  СТ ВЕТР ЗЛ+VIN+ДД+ИЗМ ШЕЛК</t>
  </si>
  <si>
    <t>6960741</t>
  </si>
  <si>
    <t>BMW MINI 2000-  СТ ВЕТР ЗЛ+VIN</t>
  </si>
  <si>
    <t>6961239</t>
  </si>
  <si>
    <t>BMW MINI 11/2003- СТ ВЕТР ЗЛ+VIN+ИЗМ ШЕЛК</t>
  </si>
  <si>
    <t>6102155</t>
  </si>
  <si>
    <t>NEW MINI 2000 МОЛД  ДЛЯ СТ ВЕТР ЛВ</t>
  </si>
  <si>
    <t>6102156</t>
  </si>
  <si>
    <t>NEW MINI 2000 МОЛД  ДЛЯ СТ ВЕТР ПР</t>
  </si>
  <si>
    <t>6100603</t>
  </si>
  <si>
    <t>NEW MINI 2000 МОЛД  ДЛЯ СТ ВЕТР ВЕРХ</t>
  </si>
  <si>
    <t>6990930</t>
  </si>
  <si>
    <t>BMW MINI СД 2000- СТ ЗАДН ДВ ЗЛ</t>
  </si>
  <si>
    <t>6990484</t>
  </si>
  <si>
    <t>2001-</t>
  </si>
  <si>
    <t>BMW MINI 3Д 2001- СТ ПЕР ДВ ОП ЛВ ЗЛ</t>
  </si>
  <si>
    <t>6990483</t>
  </si>
  <si>
    <t>BMW MINI 3Д 2001- СТ ПЕР ДВ ОП ПР ЗЛ</t>
  </si>
  <si>
    <t>MINI 3Д 2007-</t>
  </si>
  <si>
    <t>6962333</t>
  </si>
  <si>
    <t>BMW MINI / MINI CLUBMAN 2007- СТ ВЕТР ЗЛ+ДД+VIN+ИЗМ ШЕЛК</t>
  </si>
  <si>
    <t>6962334</t>
  </si>
  <si>
    <t>BMW MINI / MINI CLUBMAN 2007- СТ ВЕТР ЗЛ+VIN</t>
  </si>
  <si>
    <t>BMW X1 JEEP 2009-</t>
  </si>
  <si>
    <t>6900379</t>
  </si>
  <si>
    <t>BMW X1 SUV 2010- СТ ПЕР ДВ ОП ЛВ ЗЛ</t>
  </si>
  <si>
    <t>6900381</t>
  </si>
  <si>
    <t>BMW X1 SUV 2010- СТ ЗАДН ДВ ОП ЛВ ЗЛ</t>
  </si>
  <si>
    <t>6900385</t>
  </si>
  <si>
    <t>BMW X1 JEEP 2009- ФОРТ ЗАДН НЕП ЛВ ЗЛ</t>
  </si>
  <si>
    <t>6900383</t>
  </si>
  <si>
    <t>BMW X1 SUV 2010- СТ ЗАДН ДВ ОП ЛВ СР</t>
  </si>
  <si>
    <t>6900387</t>
  </si>
  <si>
    <t>BMW X1 JEEP 2009- ФОРТ ЗАДН НЕП ЛВ СР</t>
  </si>
  <si>
    <t>6900378</t>
  </si>
  <si>
    <t>BMW X1 SUV 2010- СТ ПЕР ДВ ОП ПР ЗЛ</t>
  </si>
  <si>
    <t>6900380</t>
  </si>
  <si>
    <t>BMW X1 SUV 2010- СТ ЗАДН ДВ ОП ПР ЗЛ</t>
  </si>
  <si>
    <t>6900384</t>
  </si>
  <si>
    <t>BMW X1 SUV 2010- СТ ФОРТ ЗАДН НЕП ПР ЗЛ</t>
  </si>
  <si>
    <t>6900382</t>
  </si>
  <si>
    <t>BMW X1 SUV 2010- СТ ЗАДН ДВ ОП ПР СР</t>
  </si>
  <si>
    <t>6900386</t>
  </si>
  <si>
    <t>BMW X1 JEEP 2009- ФОРТ ЗАДН НЕП ПР СР</t>
  </si>
  <si>
    <t>X3 SERIES (E83) 2003-</t>
  </si>
  <si>
    <t>6961055</t>
  </si>
  <si>
    <t>BMW X3 2003-  СТ ВЕТР ЗЛЗЛ+ДД+VIN+УО+ИЗМ ШЕЛК</t>
  </si>
  <si>
    <t>6961658</t>
  </si>
  <si>
    <t>BMW X3 E83 2003-СТ ВЕТР ЗЛЗЛ+ДД+VIN+ДО</t>
  </si>
  <si>
    <t>6961056</t>
  </si>
  <si>
    <t>BMW X3 2003-  СТ ВЕТР ЗЛЗЛ+УО+VIN</t>
  </si>
  <si>
    <t>6961057</t>
  </si>
  <si>
    <t>BMW X3 2003-  СТ ВЕТР ЗЛ+ДД+VIN+УО+ИЗМ ШЕЛК</t>
  </si>
  <si>
    <t>6961058</t>
  </si>
  <si>
    <t>BMW X3 2003-  СТ ВЕТР ЗЛ+УО+VIN</t>
  </si>
  <si>
    <t>6101618</t>
  </si>
  <si>
    <t>BMW X3 2003-  МОЛД  ДЛЯ СТ ВЕТР ВЕРХ</t>
  </si>
  <si>
    <t>6997742</t>
  </si>
  <si>
    <t>BMW X3 ВН 2003-  СТ ЗАДН ЗЛ+АНТ+УО+GPS</t>
  </si>
  <si>
    <t>6996483</t>
  </si>
  <si>
    <t>6900673</t>
  </si>
  <si>
    <t>BMW X3 2003-  СТ ЗАДН ДВ ОП ЛВ ЗЛ PR+1 ОТВ</t>
  </si>
  <si>
    <t>6996460</t>
  </si>
  <si>
    <t>BMW X3 2003-  СТ ПЕР ДВ ОП ЛВ ЗЛ</t>
  </si>
  <si>
    <t>6996159</t>
  </si>
  <si>
    <t>BMW X3 2003-  СТ ЗАДН ДВ ОП ЛВ ЗЛ</t>
  </si>
  <si>
    <t>6900477</t>
  </si>
  <si>
    <t>BMW X3 2003-  СТ ФОРТ ЛВ ЗЛ</t>
  </si>
  <si>
    <t>6900674</t>
  </si>
  <si>
    <t>BMW X3 2003-  СТ ЗАДН ДВ ОП ПР ЗЛ PR</t>
  </si>
  <si>
    <t>6993866</t>
  </si>
  <si>
    <t>BMW X3 2003-  СТ ПЕР ДВ ОП ПР ЗЛ</t>
  </si>
  <si>
    <t>6993867</t>
  </si>
  <si>
    <t>BMW X3 2003-  СТ ЗАДН ДВ ОП ПР ЗЛ</t>
  </si>
  <si>
    <t>6900478</t>
  </si>
  <si>
    <t>BMW X3 2003-  СТ ФОРТ ПР ЗЛ</t>
  </si>
  <si>
    <t>X3 SUV F25 2010-</t>
  </si>
  <si>
    <t>6965640</t>
  </si>
  <si>
    <t>BMW X3 SUV F25 2010- СТ ВЕТР ЗЛСР+ДД+VIN</t>
  </si>
  <si>
    <t>6965639</t>
  </si>
  <si>
    <t>BMW X3 SUV F25 2010- СТ ВЕТР ЗЛ+ДД+VIN</t>
  </si>
  <si>
    <t>6965638</t>
  </si>
  <si>
    <t>BMW X3 SUV F25 2010-СТ ВЕТР ЗЛ+VIN</t>
  </si>
  <si>
    <t>6902174</t>
  </si>
  <si>
    <t>BMW X3 SUV 2010- СТ ЗАДН ЗЛ+АНТ</t>
  </si>
  <si>
    <t>X5 SERIES (E53) 2000-2006</t>
  </si>
  <si>
    <t>6961655</t>
  </si>
  <si>
    <t>2002-2006</t>
  </si>
  <si>
    <t>BMW X5 2002-2006  СТ ВЕТР ПРЗЛ+VIN</t>
  </si>
  <si>
    <t>6960803</t>
  </si>
  <si>
    <t>2000-2006</t>
  </si>
  <si>
    <t>BMW X5 2000-2006  СТ ВЕТР ЗЛЗЛ+ДД+VIN</t>
  </si>
  <si>
    <t>6960805</t>
  </si>
  <si>
    <t>BMW X5 2002-2006  СТ ВЕТР ЗЛЗЛ+ДД+VIN+ИЗМ ДД</t>
  </si>
  <si>
    <t>6960801</t>
  </si>
  <si>
    <t>BMW X5 2000-2006  СТ ВЕТР ЗЛЗЛ+VIN</t>
  </si>
  <si>
    <t>6960802</t>
  </si>
  <si>
    <t>BMW X5 2000-2006  СТ ВЕТР ЗЛ+ДД+VIN</t>
  </si>
  <si>
    <t>6960804</t>
  </si>
  <si>
    <t>BMW X5 2001-2006  СТ ВЕТР ЗЛ+ДД+VIN+ИЗМ ДД</t>
  </si>
  <si>
    <t>6960800</t>
  </si>
  <si>
    <t>BMW X5 2000-2006  СТ ВЕТР ЗЛ+VIN</t>
  </si>
  <si>
    <t>6101161</t>
  </si>
  <si>
    <t>BMW X5 2000-2006 МОЛД  ДЛЯ СТ ВЕТР ВЕРХ</t>
  </si>
  <si>
    <t>6980798</t>
  </si>
  <si>
    <t>BMW X5 ВН 2000-2006  СТ ЗАДН ТЗЛ+АНТ+УО</t>
  </si>
  <si>
    <t>6992752</t>
  </si>
  <si>
    <t>BMW X5 ВН 2000-2006  СТ ЗАДН ЗЛ+АНТ+УО</t>
  </si>
  <si>
    <t>6900125</t>
  </si>
  <si>
    <t>BMW X5 2000-2006  СТ ЗАДН ДВ ОП ЛВ ТЗЛ</t>
  </si>
  <si>
    <t>6900291</t>
  </si>
  <si>
    <t>BMW X5 2000-2006  СТ ФОРТ ЗАДН НЕП ЛВ ТЗЛ</t>
  </si>
  <si>
    <t>6980062</t>
  </si>
  <si>
    <t>BMW X5 2000-2006  СТ ПЕР ДВ ОП ЛВ ЗЛ+2ОТВ</t>
  </si>
  <si>
    <t>6980065</t>
  </si>
  <si>
    <t>BMW X5 2000-2006  СТ ЗАДН ДВ ОП ЛВ ЗЛ+1ОТВ</t>
  </si>
  <si>
    <t>6980401</t>
  </si>
  <si>
    <t>BMW X5 2000-2006  СТ ФОРТ ЗАДН НЕП ЛВ ЗЛ</t>
  </si>
  <si>
    <t>6900356</t>
  </si>
  <si>
    <t>BMW X5 2000-2006  СТ ЗАДН ДВ ОП ПР ТЗЛ</t>
  </si>
  <si>
    <t>6900309</t>
  </si>
  <si>
    <t>BMW X5 2000-2006  СТ ФОРТ ЗАДН НЕП ПР ТЗЛ</t>
  </si>
  <si>
    <t>6980063</t>
  </si>
  <si>
    <t>BMW X5 2000-2006  СТ ПЕР ДВ ОП ПР ЗЛ+2ОТВ</t>
  </si>
  <si>
    <t>6980066</t>
  </si>
  <si>
    <t>BMW X5 2000-2006  СТ ЗАДН ДВ ОП ПР ЗЛ+1ОТВ</t>
  </si>
  <si>
    <t>6980402</t>
  </si>
  <si>
    <t>BMW X5 2000-2006  СТ ФОРТ ЗАДН НЕП ПР ЗЛ</t>
  </si>
  <si>
    <t>X5 SERIES (E70) 2006-</t>
  </si>
  <si>
    <t>6962737</t>
  </si>
  <si>
    <t>BMW X5 (E70) 2006-  СТ ВЕТР ТЕПЛООТР+ДД+VIN+ДИСПЛЕЙ+ИЗМ ШЕЛК</t>
  </si>
  <si>
    <t>6962230</t>
  </si>
  <si>
    <t>BMW X5 (E70) 2006-  СТ ВЕТР ЗЛЗЛ+ДД+VIN+ИЗМ ШЕЛК</t>
  </si>
  <si>
    <t>6962231</t>
  </si>
  <si>
    <t>BMW X5 (E70) 2006-  СТ ВЕТР ЗЛЗЛ+VIN</t>
  </si>
  <si>
    <t>6962507</t>
  </si>
  <si>
    <t>BMW X5 (E70) 2006-  СТ ВЕТР ЗЛСР+ДД+VIN+ИЗМ ШЕЛК</t>
  </si>
  <si>
    <t>6962508</t>
  </si>
  <si>
    <t>BMW X5 (E70) 2006-  СТ ВЕТР ЗЛСР+VIN</t>
  </si>
  <si>
    <t>6962736</t>
  </si>
  <si>
    <t>BMW X5 (E70) 2006-  СТ ВЕТР ЗЛ+ДД+VIN+ДИСПЛЕЙ+ИЗМ ШЕЛК</t>
  </si>
  <si>
    <t>6962232</t>
  </si>
  <si>
    <t>BMW X5 (E70) 2006-  СТ ВЕТР ЗЛ+ДД+VIN+ИЗМ ШЕЛК</t>
  </si>
  <si>
    <t>6962233</t>
  </si>
  <si>
    <t>BMW X5 (E70) 2006-  СТ ВЕТР ЗЛ+VIN</t>
  </si>
  <si>
    <t>6965387</t>
  </si>
  <si>
    <t>BMW X5 (E70)06 СТ ВЕТР ПР+ДД+ДИСПЛЕЙ+VIN</t>
  </si>
  <si>
    <t>6999928</t>
  </si>
  <si>
    <t>BMW X5 (E70) 2006-  СТ ПЕР ДВ ОП ЛВ ЗЛ</t>
  </si>
  <si>
    <t>6900475</t>
  </si>
  <si>
    <t>BMW X5 (E70) 2006-  СТ ЗАДН ДВ ОП ЛВ ЗЛ</t>
  </si>
  <si>
    <t>6900288</t>
  </si>
  <si>
    <t>BMW X5 (E70) 2006-  СТ ФОРТ ЗАДН НЕП ЛВ ЗЛ</t>
  </si>
  <si>
    <t>6900020</t>
  </si>
  <si>
    <t>BMW X5 (E70) 2006-  СТ ПЕР ДВ ОП ПР ЗЛ</t>
  </si>
  <si>
    <t>6900476</t>
  </si>
  <si>
    <t>BMW X5 (E70) 2006-  СТ ЗАДН ДВ ОП ПР ЗЛ</t>
  </si>
  <si>
    <t>6900307</t>
  </si>
  <si>
    <t>BMW X5 (E70) 2006-  СТ ФОРТ ЗАДН НЕП ПР ЗЛ</t>
  </si>
  <si>
    <t>X6 2008-</t>
  </si>
  <si>
    <t>6963194</t>
  </si>
  <si>
    <t>BMW X6 2008- СТ ВЕТР ЗЛСР+ДД+VIN</t>
  </si>
  <si>
    <t>6964883</t>
  </si>
  <si>
    <t>BMW X6 2008- СТ ВЕТР ЗЛСР+ДД+VIN+ИЗМ ШЕЛК</t>
  </si>
  <si>
    <t>6964944</t>
  </si>
  <si>
    <t>BMW X6 08- СТ ВЕТР ЗЕЛ + ДД + ДИСПЛ +VIN</t>
  </si>
  <si>
    <t>Z3 1996-2003</t>
  </si>
  <si>
    <t>6967399</t>
  </si>
  <si>
    <t>BMW Z3 КП 1996-2003  СТ ВЕТР ЗЛЗЛ +VIN</t>
  </si>
  <si>
    <t>6963726</t>
  </si>
  <si>
    <t>BMW Z3 КП 1996-2003  СТ ВЕТР ЗЛ+VIN</t>
  </si>
  <si>
    <t>6100025</t>
  </si>
  <si>
    <t>BMW Z3 КБ/SPEEDSTER 96  МОЛД  ДЛЯ СТ ВЕТР</t>
  </si>
  <si>
    <t>6992751</t>
  </si>
  <si>
    <t>BMW Z3 КП 1996-2003  СТ ЗАДН ЗЛ</t>
  </si>
  <si>
    <t>6994323</t>
  </si>
  <si>
    <t>BMW Z3 КП 1996-2003  СТ БОК НЕП ЛВ ЗЛ</t>
  </si>
  <si>
    <t>6994325</t>
  </si>
  <si>
    <t>BMW Z3 КП 1996-2003  СТ БОК НЕП ПР ЗЛ</t>
  </si>
  <si>
    <t>Z4 2003-2006</t>
  </si>
  <si>
    <t>6960788</t>
  </si>
  <si>
    <t>2003-2006</t>
  </si>
  <si>
    <t>BMW Z4 2003-2006  СТ ВЕТР ЗЛ+ДД+VIN</t>
  </si>
  <si>
    <t>6101564</t>
  </si>
  <si>
    <t>BMW Z4 2003-2006  МОЛД  ДЛЯ СТ ВЕТР</t>
  </si>
  <si>
    <t>Z4 2006-</t>
  </si>
  <si>
    <t>6962516</t>
  </si>
  <si>
    <t>2006-2008</t>
  </si>
  <si>
    <t>BMW Z4 КП 2006-  СТ ВЕТР ЗЛЗЛ+ДД+VIN+ИЗМ ШЕЛК</t>
  </si>
  <si>
    <t>6962742</t>
  </si>
  <si>
    <t>BMW Z4 КП 2006-  СТ ВЕТР ЗЛЗЛ+VIN</t>
  </si>
  <si>
    <t>6962741</t>
  </si>
  <si>
    <t>BMW Z4 КП 2006-  СТ ВЕТР ЗЛ+ДД+VIN+ИЗМ ШЕЛК</t>
  </si>
  <si>
    <t>6962740</t>
  </si>
  <si>
    <t>BMW Z4 КП 2006-  СТ ВЕТР ЗЛ+VIN</t>
  </si>
  <si>
    <t>CADILLAC</t>
  </si>
  <si>
    <t>BLS 10/2005-</t>
  </si>
  <si>
    <t>6190479</t>
  </si>
  <si>
    <t>2005-</t>
  </si>
  <si>
    <t>CADILLAC BLS 10/2005-  СТ ВЕТР ЗЛ+VIN+УО/SAAB 9.3 СЕД 02  СТ ВЕТР ЗЛ+VIN+УО</t>
  </si>
  <si>
    <t>6190478</t>
  </si>
  <si>
    <t>CADILLAC BLS 10/2005-  СТ ВЕТР ЗЛ+ДД+VIN+УО/SAAB 9.3 СЕД02  / SPORT COMBI 05 СТ ВЕТР ЗЛ+ДД+VIN+УО</t>
  </si>
  <si>
    <t>6190480</t>
  </si>
  <si>
    <t>CADILLAC BLS 10/2005-  СТ ПЕР ДВ ОП ЛВ ЗЛ/SAAB 9.3 СЕД02  / SPORT COMBI 05 СТ ПЕР ДВ ОП ЛВ ЗЛ</t>
  </si>
  <si>
    <t>6190481</t>
  </si>
  <si>
    <t>CADILLAC BLS 10/2005-  СТ ПЕР ДВ ОП ПР ЗЛ/SAAB 9.3 СЕД02  / SPORT COMBI 05 СТ ПЕР ДВ ОП ПР ЗЛ</t>
  </si>
  <si>
    <t>CTS 2003-</t>
  </si>
  <si>
    <t>6962937</t>
  </si>
  <si>
    <t>2003-2007</t>
  </si>
  <si>
    <t>CADILLAC CTS 2003-  СТ ВЕТР ЗЛГЛ+АНТ+VIN+УО</t>
  </si>
  <si>
    <t>6900566</t>
  </si>
  <si>
    <t>CADILLAC CTS 4Д 2003-  СТ ПЕР ДВ ОП ЛВ ЗЛ</t>
  </si>
  <si>
    <t>6900567</t>
  </si>
  <si>
    <t>CADILLAC CTS 4Д 2003-  СТ ПЕР ДВ ОП ПР ЗЛ</t>
  </si>
  <si>
    <t>ESCALADE 5Д 1995-</t>
  </si>
  <si>
    <t>6963008</t>
  </si>
  <si>
    <t>1995-2002</t>
  </si>
  <si>
    <t>CADILLAC ESCALADE 5Д 1995-  СТ ВЕТР ЗЛГЛ+ИНК</t>
  </si>
  <si>
    <t>SRX 2005-</t>
  </si>
  <si>
    <t>6963040</t>
  </si>
  <si>
    <t>2005-2010</t>
  </si>
  <si>
    <t>CADILLAC SRX 2005-  СТ ВЕТР ЗЛГЛ+АНТ+УО</t>
  </si>
  <si>
    <t>6900568</t>
  </si>
  <si>
    <t>CADILLAC SRX 2005-  СТ ПЕР ДВ ОП ЛВ ЗЛ</t>
  </si>
  <si>
    <t>6900569</t>
  </si>
  <si>
    <t>CADILLAC SRX 2005-  СТ ПЕР ДВ ОП ПР ЗЛ</t>
  </si>
  <si>
    <t>STS 2005-</t>
  </si>
  <si>
    <t>6963041</t>
  </si>
  <si>
    <t>CADILLAC STS 4Д 2005-  СТ ВЕТР ЗЛ+АКУСТИК+ДД+VIN+ИНК+ИЗМ ШЕЛК</t>
  </si>
  <si>
    <t>CHERY</t>
  </si>
  <si>
    <t>CHERY AMULET 2005-</t>
  </si>
  <si>
    <t>6900484</t>
  </si>
  <si>
    <t>CHERY AMULET СД 2005- СТ ЗАДН</t>
  </si>
  <si>
    <t>6900488</t>
  </si>
  <si>
    <t>CHERY AMULET СЕД 2005- СТ ЗАДН ДВ ОП ПР</t>
  </si>
  <si>
    <t>CHERY FORA/Vortex Estina 2006</t>
  </si>
  <si>
    <t>6965543</t>
  </si>
  <si>
    <t>CHERY FORA/Vortex Estina 2006 4D СТ ВЕТР ЗЛГЛ</t>
  </si>
  <si>
    <t>CHERY TIGGO 2006-</t>
  </si>
  <si>
    <t>6900491</t>
  </si>
  <si>
    <t>CHERY TIGGO 2006- СТ ЗАДН ДВ НЕП ЛВ ЗЛ</t>
  </si>
  <si>
    <t>6900495</t>
  </si>
  <si>
    <t>CHERY TIGGO 2006- СТ ЗАДН ФОРТ ЛВ ЗЛ</t>
  </si>
  <si>
    <t>6900494</t>
  </si>
  <si>
    <t>CHERY TIGGO 2006- СТ ЗАДН ДВ ОП ПР ЗЛ</t>
  </si>
  <si>
    <t>6900492</t>
  </si>
  <si>
    <t>CHERY TIGGO 2006- СТ ЗАДН ДВ НЕП ПР ЗЛ</t>
  </si>
  <si>
    <t>6900496</t>
  </si>
  <si>
    <t>CHERY TIGGO 2006- СТ ЗАДН ФОРТ ПР ЗЛ</t>
  </si>
  <si>
    <t>CHEVROLET/DAEWOO</t>
  </si>
  <si>
    <t>AVEO (KALOS) 2002-2006</t>
  </si>
  <si>
    <t>6961026</t>
  </si>
  <si>
    <t>CHEVROLET/DAEWOO KALOS 2002-2006  СТ ВЕТР ЗЛГЛ</t>
  </si>
  <si>
    <t>6101565</t>
  </si>
  <si>
    <t>CHEVROLET/DAEWOO KALOS 2002-2006  МОЛД  ДЛЯ СТ ВЕТР</t>
  </si>
  <si>
    <t>6999497</t>
  </si>
  <si>
    <t>CHEVROLET/DAEWOO KALOS ХБ 2002-2006  СТ ЗАДН ЗЛ+УО</t>
  </si>
  <si>
    <t>6999496</t>
  </si>
  <si>
    <t>CHEVROLET/DAEWOO KALOS СД 2002-2006  СТ ЗАДН ЗЛ+АНТ</t>
  </si>
  <si>
    <t>6995194</t>
  </si>
  <si>
    <t>CHEVROLET/DAEWOO KALOS 2002-2006  СТ ПЕР ДВ ОП ЛВ ЗЛ</t>
  </si>
  <si>
    <t>6995196</t>
  </si>
  <si>
    <t>CHEVROLET/DAEWOO KALOS 2002-2006  СТ ЗАДН ДВ ОП ЛВ ЗЛ</t>
  </si>
  <si>
    <t>6900328</t>
  </si>
  <si>
    <t>CHEVROLET/DAEWOO KALOS 2002-2006  СТ БОК НЕП ЛВ ЗЛ+УО</t>
  </si>
  <si>
    <t>6995192</t>
  </si>
  <si>
    <t>6995195</t>
  </si>
  <si>
    <t>CHEVROLET/DAEWOO KALOS 2002-2006  СТ ПЕР ДВ ОП ПР ЗЛ</t>
  </si>
  <si>
    <t>6995197</t>
  </si>
  <si>
    <t>CHEVROLET/DAEWOO KALOS 2002-2006  СТ ЗАДН ДВ ОП ПР ЗЛ</t>
  </si>
  <si>
    <t>6900344</t>
  </si>
  <si>
    <t>CHEVROLET/DAEWOO KALOS 2002-2006  СТ БОК НЕП ПР ЗЛ+УО</t>
  </si>
  <si>
    <t>6995193</t>
  </si>
  <si>
    <t>EVANDA/MAGNUS СЕД 2002-2006</t>
  </si>
  <si>
    <t>6950053</t>
  </si>
  <si>
    <t>CHEVROLET/DAEWOO EVANDA/MAGNUS СЕД 2002-2006  СТ ВЕТР ЗЛГЛ</t>
  </si>
  <si>
    <t>6101628</t>
  </si>
  <si>
    <t>CHEVROLET/DAEWOO EVANDA/MAGNUS СЕД 2002-2006 МОЛД  ДЛЯ СТ ВЕТР</t>
  </si>
  <si>
    <t>6999495</t>
  </si>
  <si>
    <t>CHEVROLET/DAEWOO EVANDA/MAGNUS СД 2002-2006  СТ ЗАДН ЗЛ+АНТ</t>
  </si>
  <si>
    <t>6996163</t>
  </si>
  <si>
    <t>CHEVROLET/DAEWOO EVANDA/MAGNUS СЕД 2002-2006  СТ ПЕР ДВ ОП ЛВ ЗЛ</t>
  </si>
  <si>
    <t>6900134</t>
  </si>
  <si>
    <t>CHEVROLET/DAEWOO EVANDA/MAGNUS СЕД 2002-2006  СТ ЗАДН ДВ ОП ЛВ ЗЛ</t>
  </si>
  <si>
    <t>6900292</t>
  </si>
  <si>
    <t>CHEVROLET/DAEWOO EVANDA/MAGNUS СЕД 2002-2006  СТ ФОРТ ЗАДН НЕП ЛВ ЗЛ</t>
  </si>
  <si>
    <t>6900030</t>
  </si>
  <si>
    <t>CHEVROLET/DAEWOO EVANDA/MAGNUS СЕД 2002-2006  СТ ПЕР ДВ ОП ПР ЗЛ</t>
  </si>
  <si>
    <t>6900780</t>
  </si>
  <si>
    <t>CHEVROLET/DAEWOO EVANDA/MAGNUS СЕД 2002-2006  СТ ЗАДН ДВ ОП ПР ЗЛ</t>
  </si>
  <si>
    <t>6900310</t>
  </si>
  <si>
    <t>CHEVROLET/DAEWOO EVANDA/MAGNUS СЕД 2002-2006  СТ ФОРТ ЗАДН НЕП ПР ЗЛ</t>
  </si>
  <si>
    <t>TACUMA/REZZO 2000-</t>
  </si>
  <si>
    <t>6960776</t>
  </si>
  <si>
    <t>2000-2008</t>
  </si>
  <si>
    <t>CHEVROLET/DAEWOO TACUMA/REZZO 2000-  СТ ВЕТР ЗЛГЛ</t>
  </si>
  <si>
    <t>6964632</t>
  </si>
  <si>
    <t>CHEVROLET/DAEWOO TACUMA/REZZO 2005-  СТ ВЕТР ЗЛГЛ+ДД+ИЗМ ШЕЛК</t>
  </si>
  <si>
    <t>6100589</t>
  </si>
  <si>
    <t>CHEVROLET/DAEWOO TACUMA/REZZO 2000-  МОЛД  ДЛЯ СТ ВЕТР</t>
  </si>
  <si>
    <t>6995207</t>
  </si>
  <si>
    <t>CHEVROLET/DAEWOO TACUMA/REZZO 2000-  СТ ПЕР ДВ ОП ЛВ</t>
  </si>
  <si>
    <t>6995209</t>
  </si>
  <si>
    <t>CHEVROLET/DAEWOO TACUMA/REZZO 2000-  СТ ЗАДН ДВ ОП ЛВ</t>
  </si>
  <si>
    <t>6995208</t>
  </si>
  <si>
    <t>CHEVROLET/DAEWOO TACUMA/REZZO 2000-  СТ ПЕР ДВ ОП ПР</t>
  </si>
  <si>
    <t>6995232</t>
  </si>
  <si>
    <t>CHEVROLET/DAEWOO TACUMA/REZZO 2000-  СТ ЗАДН ОП ПР ЗЛ</t>
  </si>
  <si>
    <t>6900948</t>
  </si>
  <si>
    <t>CHEVROLET/DAEWOO TACUMA/REZZO МИН 2000- СТ ЗАДН ЗЛ+АНТ+СТОП</t>
  </si>
  <si>
    <t>CHEVROLET</t>
  </si>
  <si>
    <t>AVEO 2006-</t>
  </si>
  <si>
    <t>6962326</t>
  </si>
  <si>
    <t>2006-2011</t>
  </si>
  <si>
    <t>CHEVROLET AVEO 2006-  СТ ВЕТР ЗЛГЛ</t>
  </si>
  <si>
    <t>6102094</t>
  </si>
  <si>
    <t>CHEVROLET AVEO 2006-  МОЛД  ДЛЯ СТ ВЕТР ВЕРХ</t>
  </si>
  <si>
    <t>6997645</t>
  </si>
  <si>
    <t>CHEVROLET AVEO СД 2006-  СТ ЗАДН ЗЛ+АНТ</t>
  </si>
  <si>
    <t>6997646</t>
  </si>
  <si>
    <t>CHEVROLET AVEO 2006-  СТ ПЕР ДВ ОП ЛВ ЗЛ</t>
  </si>
  <si>
    <t>6997647</t>
  </si>
  <si>
    <t>CHEVROLET AVEO 2006-  СТ ЗАДН ДВ ОП ЛВ ЗЛ</t>
  </si>
  <si>
    <t>6997648</t>
  </si>
  <si>
    <t>CHEVROLET AVEO 2006-  СТ ПЕР ДВ ОП ПР ЗЛ</t>
  </si>
  <si>
    <t>6997649</t>
  </si>
  <si>
    <t>CHEVROLET AVEO 2006-  СТ ЗАДН ДВ ОП ПР ЗЛ</t>
  </si>
  <si>
    <t>AVEO 2011-</t>
  </si>
  <si>
    <t>6965974</t>
  </si>
  <si>
    <t>2011-</t>
  </si>
  <si>
    <t>CHEVROLET AVEO 2011- СТ ВЕТР ЗЛГЛ+VIN</t>
  </si>
  <si>
    <t>BERETTA COUPE 1994-1996</t>
  </si>
  <si>
    <t>6962416</t>
  </si>
  <si>
    <t>1994-1995</t>
  </si>
  <si>
    <t>CHEVROLET BERETTA КУП 1994-1995  СТ ВЕТР ЗЛГЛ+VIN+ИЗМ ШЕЛК</t>
  </si>
  <si>
    <t>6963865</t>
  </si>
  <si>
    <t>1987-1996</t>
  </si>
  <si>
    <t>CHEVROLET BERETTA СЕД+ХБ 1987-1996  СТ ВЕТР ЗЛГЛ+VIN</t>
  </si>
  <si>
    <t>BLAZER S/T10 / PU S/T10 2D+4D 1983-1992</t>
  </si>
  <si>
    <t>6962418</t>
  </si>
  <si>
    <t>1983-1992</t>
  </si>
  <si>
    <t>CHEVROLET BLAZER S/T10 / PU S/T10 + 1983-1992  СТ ВЕТР ЗЛГЛ</t>
  </si>
  <si>
    <t>BLAZER S10/PICK-UP S10 / 1994-</t>
  </si>
  <si>
    <t>6962419</t>
  </si>
  <si>
    <t>1994-</t>
  </si>
  <si>
    <t>CHEVROLET BLAZER S10/PICK UP S10 / 1994-  СТ ВЕТР ЗЛГЛ+VIN</t>
  </si>
  <si>
    <t>CAMARO КП+КБ 1993-1995</t>
  </si>
  <si>
    <t>6962115</t>
  </si>
  <si>
    <t>1993-1995</t>
  </si>
  <si>
    <t>CHEVROLET CAMARO КП+КБ 1993-1995  СТ ВЕТР ЗЛГЛ+VIN</t>
  </si>
  <si>
    <t>CAPTIVA SUV 2006-</t>
  </si>
  <si>
    <t>6190876</t>
  </si>
  <si>
    <t>CHEVROLET CAPTIVA 2006-  СТ ВЕТР ЗЛГЛ+VIN/OPEL ANTARA 2007-  СТ ВЕТР ЗЛГЛ+VIN</t>
  </si>
  <si>
    <t>6962520</t>
  </si>
  <si>
    <t>CHEVROLET CAPTIVA 2006-  СТ ВЕТР ЗЛГЛ+ДД+VIN+ИЗМ ШЕЛК</t>
  </si>
  <si>
    <t>6962519</t>
  </si>
  <si>
    <t>CHEVROLET CAPTIVA SUV 2006- СТ ВЕТР ЗЛ/ГЛ+VIN/OPEL ANTARA 2007-  СТ ВЕТР ЗЛГЛ+VIN</t>
  </si>
  <si>
    <t>6900570</t>
  </si>
  <si>
    <t>CHEVROLET CAPTIVA 2006-  СТ ПЕР ДВ ОП ЛВ ЗЛ/OPEL ANTARA 2007- СТ ПЕР ДВ ОП ЛВ ЗЛ</t>
  </si>
  <si>
    <t>6900578</t>
  </si>
  <si>
    <t>CHEVROLET CAPTIVA 2006-  СТ ЗАДН ДВ ОП ЛВ ЗЛ/OPEL ANTARA 2007- СТ ЗАДН ДВ ОП ЛВ ЗЛ</t>
  </si>
  <si>
    <t>6900571</t>
  </si>
  <si>
    <t>CHEVROLET CAPTIVA 2006-  СТ ПЕР ДВ ОП ПР ЗЛ/OPEL ANTARA 2007- СТ ПЕР ДВ ОП ПР ЗЛ</t>
  </si>
  <si>
    <t>6900479</t>
  </si>
  <si>
    <t>CHEVROLET CAPTIVA 2006-  СТ ЗАДН ДВ ОП ПР ЗЛ/OPEL ANTARA 2007- СТ ЗАДН ДВ ОП ПР ЗЛ</t>
  </si>
  <si>
    <t>CHEVR.TRUCKS: TAHOE 1995-1999</t>
  </si>
  <si>
    <t>6950184</t>
  </si>
  <si>
    <t>CHEVROLET SUBURBAN +/PICK UP 1995-1999  СТ ВЕТР ЗЛГЛ+VIN+ИНК+ИЗМ КР</t>
  </si>
  <si>
    <t>CHEVROLET LUMINA 1995-1996 СЕД</t>
  </si>
  <si>
    <t>6962142</t>
  </si>
  <si>
    <t>1995-1996</t>
  </si>
  <si>
    <t>CHEVROLET LUMINA СЕД 1995-1996  СТ ВЕТР ЗЛГЛ+VIN</t>
  </si>
  <si>
    <t>CRUZE 2009-</t>
  </si>
  <si>
    <t>6964984</t>
  </si>
  <si>
    <t>CHEVROLET CRUZE 2009- СТ ВЕТР ЗЛГЛ+VIN</t>
  </si>
  <si>
    <t>EPICA 2006-</t>
  </si>
  <si>
    <t>6962801</t>
  </si>
  <si>
    <t>2006-2012</t>
  </si>
  <si>
    <t>CHEVROLET EPICA 2006- СТ ВЕТР ЗЛГЛ</t>
  </si>
  <si>
    <t>6962865</t>
  </si>
  <si>
    <t>CHEVROLET EPICA 2006- СТ ВЕТР ЗЛГЛ+ЭО</t>
  </si>
  <si>
    <t>6962866</t>
  </si>
  <si>
    <t>CHEVROLET EPICA 2006- СТ ВЕТР ЗЛГЛ+ДД+ЭО+ИЗМ ШЕЛК</t>
  </si>
  <si>
    <t>6962867</t>
  </si>
  <si>
    <t>CHEVROLET EPICA 2006- СТ ВЕТР ЗЛГЛ+ДД+ИЗМ ШЕЛК</t>
  </si>
  <si>
    <t>6900572</t>
  </si>
  <si>
    <t>CHEVROLET EPICA 2006- СТ ПЕР ДВ ОП ЛВ ЗЛ</t>
  </si>
  <si>
    <t>6900802</t>
  </si>
  <si>
    <t>CHEVROLET EPICA 2006- СТ ЗАДН ДВ ОП ЛВ ЗЛ</t>
  </si>
  <si>
    <t>6900573</t>
  </si>
  <si>
    <t>CHEVROLET EPICA 2006- СТ ПЕР ДВ ОП ПР ЗЛ</t>
  </si>
  <si>
    <t>6900801</t>
  </si>
  <si>
    <t>CHEVROLET EPICA 2006- СТ ЗАДН ДВ ОП ПР ЗЛ</t>
  </si>
  <si>
    <t>EXPRESS G1500 1996-</t>
  </si>
  <si>
    <t>6963833</t>
  </si>
  <si>
    <t>1996-</t>
  </si>
  <si>
    <t>CHEVROLET EXPRESS G1500 1996-  СТ ВЕТР ЗЛГЛ+ИЗМ КР</t>
  </si>
  <si>
    <t>LACETTI (NUBIRA J200) 2003-</t>
  </si>
  <si>
    <t>6961299</t>
  </si>
  <si>
    <t>CHEVROLET LACETTI/DAEWOO NUBIRA J200 2003- СТ ВЕТР ЗЛГЛ</t>
  </si>
  <si>
    <t>6961944</t>
  </si>
  <si>
    <t>CHEVROLET LACETTI/DAEWOO NUBIRA J200 2004-  СТ ВЕТР ЗЛГЛ+АНТ</t>
  </si>
  <si>
    <t>6961943</t>
  </si>
  <si>
    <t>CHEVROLET LACETTI/DAEWOO NUBIRA J200 2004-  СТ ВЕТР ЗЛГЛ+АНТ+ДД+ИЗМ ШЕЛК</t>
  </si>
  <si>
    <t>6961945</t>
  </si>
  <si>
    <t>CHEVROLET LACETTI/DAEWOO NUBIRA J200 2003-  СТ ВЕТР ЗЛГЛ+ДД+ИЗМ ШЕЛК</t>
  </si>
  <si>
    <t>6101767</t>
  </si>
  <si>
    <t>CHEVROLET LACETTI/DAEWOO NUBIRA J200 2003- СЕД  МОЛД  ДЛЯ СТ ВЕТР</t>
  </si>
  <si>
    <t>6102629</t>
  </si>
  <si>
    <t>CHEVROLET LACETTI/DAEWOO NUBIRA J200 2003- ХБ  МОЛД ДЛЯ СТ ВЕТР</t>
  </si>
  <si>
    <t>6999498</t>
  </si>
  <si>
    <t>CHEVROLET LACETTI/DAEWOO NUBIRA J200 УН 2004/10-  СТ ЗАДН ЗЛ+УО</t>
  </si>
  <si>
    <t>6900991</t>
  </si>
  <si>
    <t>CHEVROLET LACETTI/DAEWOO NUBIRA J200 ХБ 2004- СТ ЗАДН+УО</t>
  </si>
  <si>
    <t>6900136</t>
  </si>
  <si>
    <t>CHEVROLET LACETTI/DAEWOO NUBIRA J200 УН 2004/10- СТ ЗАДН ДВ ОП ЛВ ЗЛ</t>
  </si>
  <si>
    <t>6900329</t>
  </si>
  <si>
    <t>CHEVROLET LACETTI/DAEWOO NUBIRA J200 УН 2004/10- СТ ЗАДН НЕП ЛВ ЗЛ</t>
  </si>
  <si>
    <t>6900135</t>
  </si>
  <si>
    <t>CHEVROLET LACETTI/DAEWOO NUBIRA J200 2004- СТ ЗАДН ДВ ОП ЛВ ЗЛ</t>
  </si>
  <si>
    <t>6995198</t>
  </si>
  <si>
    <t>CHEVROLET LACETTI/DAEWOO NUBIRA J200 2003- СТ ПЕР ДВ ОП ЛВ ЗЛ</t>
  </si>
  <si>
    <t>6995205</t>
  </si>
  <si>
    <t>CHEVROLET LACETTI/DAEWOO NUBIRA J200 2003- СТ ЗАДН ДВ ОП ЛВ ЗЛ</t>
  </si>
  <si>
    <t>6900214</t>
  </si>
  <si>
    <t>CHEVROLET LACETTI/DAEWOO NUBIRA J200 2004/10- СТ ЗАДН ДВ ОП ПР ЗЛ</t>
  </si>
  <si>
    <t>6900345</t>
  </si>
  <si>
    <t>CHEVROLET LACETTI/DAEWOO NUBIRA J200 2004/10- СТ ЗАДН ДВ НЕП ПР ЗЛ</t>
  </si>
  <si>
    <t>6900213</t>
  </si>
  <si>
    <t>CHEVROLET LACETTI/DAEWOO NUBIRA J200 2004- СТ ЗАДН ДВ ОП ПР ЗЛ</t>
  </si>
  <si>
    <t>6995199</t>
  </si>
  <si>
    <t>CHEVROLET LACETTI/DAEWOO NUBIRA J200 2003- СТ ПЕР ДВ ОП ПР ЗЛ</t>
  </si>
  <si>
    <t>6995206</t>
  </si>
  <si>
    <t>CHEVROLET LACETTI/DAEWOO NUBIRA J200 2003- СТ ЗАДН ДВ ОП ПР ЗЛ</t>
  </si>
  <si>
    <t>SPARK 2005-</t>
  </si>
  <si>
    <t>6962984</t>
  </si>
  <si>
    <t>CHEVROLET MATIZ 5D 2005- СТ ВЕТР</t>
  </si>
  <si>
    <t>6961481</t>
  </si>
  <si>
    <t>CHEVROLET SPARK 2005-  СТ ВЕТР ЗЛГЛ</t>
  </si>
  <si>
    <t>6101768</t>
  </si>
  <si>
    <t>CHEVROLET SPARK 2005-  ХБ МОЛД  ДЛЯ СТ ВЕТР</t>
  </si>
  <si>
    <t>6993940</t>
  </si>
  <si>
    <t>CHEVROLET SPARK ХБ 2005-  СТ ЗАДН ЗЛ+СТОП</t>
  </si>
  <si>
    <t>6993941</t>
  </si>
  <si>
    <t>CHEVROLET SPARK ХБ 2005-  СТ ЗАДН ЗЛ+СТОП+ИЗМ ОТВ</t>
  </si>
  <si>
    <t>6999929</t>
  </si>
  <si>
    <t>CHEVROLET SPARK 2005-  СТ ПЕР ДВ ОП ЛВ</t>
  </si>
  <si>
    <t>6900126</t>
  </si>
  <si>
    <t>CHEVROLET SPARK 2005-  СТ ЗАДН ДВ ОП ЛВ</t>
  </si>
  <si>
    <t>6996389</t>
  </si>
  <si>
    <t>CHEVROLET SPARK 2005-  СТ ПЕР ДВ ОП ЛВ ЗЛ</t>
  </si>
  <si>
    <t>6996390</t>
  </si>
  <si>
    <t>CHEVROLET SPARK 2005-  СТ ЗАДН ДВ ОП ЛВ ЗЛ</t>
  </si>
  <si>
    <t>6900206</t>
  </si>
  <si>
    <t>CHEVROLET SPARK 2005-  СТ ЗАДН ДВ ОП ПР</t>
  </si>
  <si>
    <t>6993942</t>
  </si>
  <si>
    <t>CHEVROLET SPARK 2005-  СТ ПЕР ДВ ОП ПР ЗЛ</t>
  </si>
  <si>
    <t>6993943</t>
  </si>
  <si>
    <t>CHEVROLET SPARK 2005-  СТ ЗАДН ДВ ОП ПР ЗЛ</t>
  </si>
  <si>
    <t>6900021</t>
  </si>
  <si>
    <t>CHEVROLET MATIZ 5Д 2005- СТ ПЕР ДВ ОП ПР</t>
  </si>
  <si>
    <t>SPARK 2010-</t>
  </si>
  <si>
    <t>6965122</t>
  </si>
  <si>
    <t>CHEVROLET SPARK 2010-СТ ВЕТР ЗЛГЛ+ЭО+VIN</t>
  </si>
  <si>
    <t>6965120</t>
  </si>
  <si>
    <t>CHEVROLET SPARK 2010-СТ ВЕТР ЗЛ+VIN</t>
  </si>
  <si>
    <t>SUBURBAN 2007-</t>
  </si>
  <si>
    <t>6964805</t>
  </si>
  <si>
    <t>CHEVROLET SUBURBAN/TAHOE/CADILLAC ESCALADE 07-СТ ВЕТР ЗЛ+УО</t>
  </si>
  <si>
    <t>TAHOE 2000-</t>
  </si>
  <si>
    <t>6963009</t>
  </si>
  <si>
    <t>2004-2006</t>
  </si>
  <si>
    <t>CHEVROLET TAHOE 2004-  СТ ВЕТР ЗЛГЛ+ИЗМ ШЕЛК</t>
  </si>
  <si>
    <t>6963832</t>
  </si>
  <si>
    <t>CHEVROLET TAHOE 2000-  СТ ВЕТР ЗЛГЛ+ИНК</t>
  </si>
  <si>
    <t>6900480</t>
  </si>
  <si>
    <t>CHEVROLET TAHOE 2000-  СТ ПЕР ДВ ОП ЛВ ЗЛ</t>
  </si>
  <si>
    <t>TRAILBLAZER 2002-</t>
  </si>
  <si>
    <t>6962426</t>
  </si>
  <si>
    <t>2002-</t>
  </si>
  <si>
    <t>CHEVROLET TRAILBLAZER 2002-  СТ ВЕТР ЗЛГЛ</t>
  </si>
  <si>
    <t>6950036</t>
  </si>
  <si>
    <t>CHEVROLET TRAILBLAZER 2002-  СТ ВЕТР ЗЛГЛ+ДД</t>
  </si>
  <si>
    <t>6999930</t>
  </si>
  <si>
    <t>CHEVROLET TRAILBLAZER 2002-  СТ ПЕР ДВ ОП ЛВ ЗЛ</t>
  </si>
  <si>
    <t>6900022</t>
  </si>
  <si>
    <t>CHEVROLET TRAILBLAZER 2002-  СТ ПЕР ДВ ОП ПР ЗЛ</t>
  </si>
  <si>
    <t>CHRYSLER</t>
  </si>
  <si>
    <t>300 СЕД 1998-2004</t>
  </si>
  <si>
    <t>6950336</t>
  </si>
  <si>
    <t>CHRYSLER 300 4Д СЕД 1998-2004  СТ ВЕТР ЗЛГЛ</t>
  </si>
  <si>
    <t>6101702</t>
  </si>
  <si>
    <t>CHRYSLER 300 4Д СЕД 1998-  МОЛД  ДЛЯ СТ ВЕТР ВЕРХ</t>
  </si>
  <si>
    <t>6102390</t>
  </si>
  <si>
    <t>CHRYSLER 300 4Д СЕД 1998-  МОЛД ДЛЯ СТ ВЕТР</t>
  </si>
  <si>
    <t>6999931</t>
  </si>
  <si>
    <t>CHRYSLER 300/CONCORDE/LHS СЕД 11/1998-2004 СТ ПЕР ДВ ОП ЛВ ЗЛ+УО</t>
  </si>
  <si>
    <t>6900023</t>
  </si>
  <si>
    <t>CHRYSLER 300/CONCORDE/LHS СЕД 11/1998-2004 СТ ПЕР ДВ ОП ПР ЗЛ+УО</t>
  </si>
  <si>
    <t>300C 2005-</t>
  </si>
  <si>
    <t>6962125</t>
  </si>
  <si>
    <t>CHRYSLER 300C 04/2005-  СТ ВЕТР ЗЛ+VIN+ДД</t>
  </si>
  <si>
    <t>6962099</t>
  </si>
  <si>
    <t>CHRYSLER 300C 04/2005-  СТ ВЕТР ЗЛ+VIN</t>
  </si>
  <si>
    <t>6102151</t>
  </si>
  <si>
    <t>CHRYSLER 300C 04/2005-  МОЛД  ДЛЯ СТ ВЕТР ВЕРХ</t>
  </si>
  <si>
    <t>6900481</t>
  </si>
  <si>
    <t>CHRYSLER 300C/DODGE MAGNUM 2005- СТ ПЕР ДВ ОП ЛВ ЗЛ</t>
  </si>
  <si>
    <t>6900482</t>
  </si>
  <si>
    <t>CHRYSLER 300C/DODGE MAGNUM 2005- СТ ПЕР ДВ ОП ПР ЗЛ</t>
  </si>
  <si>
    <t>CHEROKEE (FCW 0952) 1987-2001</t>
  </si>
  <si>
    <t>6969921</t>
  </si>
  <si>
    <t>1987-2001</t>
  </si>
  <si>
    <t>CHRYSLER CHEROKEE (FCW 0952) 1987-2001  СТ ВЕТР ЗЛГЛ/RENAULT CHEROKEE 87  СТ ВЕТР ЗЛГЛ</t>
  </si>
  <si>
    <t>6969939</t>
  </si>
  <si>
    <t>1992-2001</t>
  </si>
  <si>
    <t>CHRYSLER CHEROKEE (FCW 0952) 1992-2001  СТ ВЕТР ЗЛГЛ+ИЗМ КР</t>
  </si>
  <si>
    <t>6101823</t>
  </si>
  <si>
    <t>CHRYSLER CHEROKEE (FCW 0952) 1992-2001  МОЛД  ДЛЯ СТ ВЕТР</t>
  </si>
  <si>
    <t>6998694</t>
  </si>
  <si>
    <t>CHRYSLER CHEROKEE (FCW 0952) ВН 1987-2001  СТ ЗАДН ЭО ЗЛ</t>
  </si>
  <si>
    <t>6994113</t>
  </si>
  <si>
    <t>CHRYSLER CHEROKEE (FCW 0952) 3Д 1987-2001  СТ ПЕР ДВ ОП ЗЛ ЛВ/RENAULT CHEROKEE 87  СТ ПЕР ДВ ОП ЗЛ ЛВ</t>
  </si>
  <si>
    <t>6994301</t>
  </si>
  <si>
    <t>CHRYSLER CHEROKEE (FCW 0952) 5Д 1987-2001  СТ ПЕР ДВ ОП ЗЛ ЛВ/RENAULT CHEROKEE 87  СТ ПЕР ДВ ОП ЗЛ ЛВ</t>
  </si>
  <si>
    <t>6995634</t>
  </si>
  <si>
    <t>CHRYSLER CHEROKEE (FCW 0952) 1987-2001  СТ ФОРТ ЛВ ЗЛ</t>
  </si>
  <si>
    <t>6994302</t>
  </si>
  <si>
    <t>CHRYSLER CHEROKEE (FCW 0952) 1987-2001  СТ ФОРТ ЗАДН НЕП ЗЛ ЛВ/RENAULT CHEROKEE 87  СТ ФОРТ ЗАДН НЕП ЗЛ ЛВ</t>
  </si>
  <si>
    <t>6994114</t>
  </si>
  <si>
    <t>CHRYSLER CHEROKEE (FCW 0952) 1987-2001  СТ ПЕР ДВ ОП ЗЛ ПР/RENAULT CHEROKEE 87  СТ ПЕР ДВ ОП ЗЛ ПР</t>
  </si>
  <si>
    <t>6999596</t>
  </si>
  <si>
    <t>CHRYSLER CHEROKEE 2Д/4Д 1993 1994-2001  СТ ФОРТ ПЕР НЕП ПР ЗЛ ОТКР+УО</t>
  </si>
  <si>
    <t>6994303</t>
  </si>
  <si>
    <t>CHRYSLER CHEROKEE (FCW 0952) 1987-2001  СТ ПЕР ДВ ОП ПР ЗЛ</t>
  </si>
  <si>
    <t>6995635</t>
  </si>
  <si>
    <t>CHRYSLER CHEROKEE (FCW 0952) 1987-2001  СТ ФОРТ ПР ЗЛ</t>
  </si>
  <si>
    <t>6994304</t>
  </si>
  <si>
    <t>CHRYSLER CHEROKEE (FCW 0952) 1987-2001  СТ ФОРТ ЗАДН НЕП ЗЛ ПР/RENAULT CHEROKEE 87  СТ ФОРТ ЗАДН НЕП ЗЛ ПР</t>
  </si>
  <si>
    <t>CIRRUS СД 1995-2001</t>
  </si>
  <si>
    <t>6963206</t>
  </si>
  <si>
    <t>CHRYSLER CIRRUS СД 1995-2001/CHRYSLER STRATUS SAL 1995- СТ ВЕТР ЗЛГЛ</t>
  </si>
  <si>
    <t>6999492</t>
  </si>
  <si>
    <t>CHRYSLER CIRRUS СД 1995-2001/CHRYSLER STRATUS SAL 1995- СТ ЗАДН ЗЛ</t>
  </si>
  <si>
    <t>COMMANDER 2006-</t>
  </si>
  <si>
    <t>6961775</t>
  </si>
  <si>
    <t>CHRYSLER JEEP COMMANDER 2006-  СТ ВЕТР ЗЛ+ДД+VIN</t>
  </si>
  <si>
    <t>6961774</t>
  </si>
  <si>
    <t>CHRYSLER JEEP COMMANDER 2006-  СТ ВЕТР ЗЛ+VIN</t>
  </si>
  <si>
    <t>6102625</t>
  </si>
  <si>
    <t>CHRYSLER JEEP COMMANDER 2006- МОЛД ДЛЯ СТВ ЕТР</t>
  </si>
  <si>
    <t>CONCORDE LH BODY / NE 10/1994-1998</t>
  </si>
  <si>
    <t>6963365</t>
  </si>
  <si>
    <t>CHRYSLER CONCORDE LH BODY/NE 10/1994-1998 СТ ВЕТР ЗЛГЛ</t>
  </si>
  <si>
    <t>6102171</t>
  </si>
  <si>
    <t>CHRYSLER CONCORDE LH BODY/NY 1995-1998 МОЛД ДЛЯ СТ ВЕТР</t>
  </si>
  <si>
    <t>CROSSFIRE 2003/08-</t>
  </si>
  <si>
    <t>6962138</t>
  </si>
  <si>
    <t>CHRYSLER CROSSFIRE C2 2003-  СТ ВЕТР ЗЛ+VIN</t>
  </si>
  <si>
    <t>6999933</t>
  </si>
  <si>
    <t>CHRYSLER CROSSFIRE C2 2003-  СТ ПЕР ДВ ОП ЛВ ЗЛ</t>
  </si>
  <si>
    <t>6900024</t>
  </si>
  <si>
    <t>CHRYSLER CROSSFIRE C2 2003-  СТ ПЕР ДВ ОП ПР ЗЛ</t>
  </si>
  <si>
    <t>GRAND VOYAGER 2008-</t>
  </si>
  <si>
    <t>6963107</t>
  </si>
  <si>
    <t>CHRYSLER GRAND VOYAGER 2008- СТ ВЕТР ЗЛ+VIN/DODGE GRAND CARAVAN 2008- СТ ВЕТР ЗЛ+VIN</t>
  </si>
  <si>
    <t>6963140</t>
  </si>
  <si>
    <t>CHRYSLER GRAND VOYAGER 2008- СТ ВЕТР ЗЛГЛ+VIN</t>
  </si>
  <si>
    <t>GRAND VOYAGER 1992-1996</t>
  </si>
  <si>
    <t>6993207</t>
  </si>
  <si>
    <t>1992-1996</t>
  </si>
  <si>
    <t>CHRYSLER GRAND VOYAGER 1992-1996 СТ ПЕР ДВ ОП ЛВ ЗЛ</t>
  </si>
  <si>
    <t>6993206</t>
  </si>
  <si>
    <t>CHRYSLER GRAND VOYAGER 1992-1996 СТ ПЕР ДВ ОП ПР ЗЛ</t>
  </si>
  <si>
    <t>GRAND VOYAGER 1991-1995</t>
  </si>
  <si>
    <t>6969925</t>
  </si>
  <si>
    <t>1991-1995</t>
  </si>
  <si>
    <t>CHRYSLER GRAND VOYAGER 1991-1995  СТ ВЕТР ЗЛГЛ+VIN</t>
  </si>
  <si>
    <t>6969955</t>
  </si>
  <si>
    <t>6100251</t>
  </si>
  <si>
    <t>CHRYSLER GRAND VOYAGER 1990-1996 МОЛД  ДЛЯ СТ ВЕТР</t>
  </si>
  <si>
    <t>6993425</t>
  </si>
  <si>
    <t>CHRYSLER GRAND VOYAGER МИН 1991-1995  СТ ЗАДН ЭО ЗЛ+СТОП+УО+ИЗМ</t>
  </si>
  <si>
    <t>6993401</t>
  </si>
  <si>
    <t>CHRYSLER GRAND VOYAGER 1991-1995  СТ ПЕР ДВ ОП ЛВ ЗЛ</t>
  </si>
  <si>
    <t>6993402</t>
  </si>
  <si>
    <t>CHRYSLER GRAND VOYAGER 1991-1995  СТ ПЕР ДВ ОП ПР ЗЛ</t>
  </si>
  <si>
    <t>JEEP COMMANDER 2006-</t>
  </si>
  <si>
    <t>6190919</t>
  </si>
  <si>
    <t>CHRYSLER COMMANDER 2006-  СТ ВЕТР ЗЛ+ДД+VIN</t>
  </si>
  <si>
    <t>6190901</t>
  </si>
  <si>
    <t>CHRYSLER COMMANDER 2006-  СТ ВЕТР ЗЛ+VIN</t>
  </si>
  <si>
    <t>6961356</t>
  </si>
  <si>
    <t>CHRYSLER COMMANDER 2006-  СТ ПЕР ДВ ОП ЛВ ЗЛ+ТРИПЛ+УО</t>
  </si>
  <si>
    <t>6993736</t>
  </si>
  <si>
    <t>CHRYSLER COMMANDER 2006-  СТ ЗАДН ДВ ОП ЛВ ЗЛ</t>
  </si>
  <si>
    <t>6993738</t>
  </si>
  <si>
    <t>CHRYSLER COMMANDER 2006-  СТ ЗАДН ДВ ОП ЛВ ТСР</t>
  </si>
  <si>
    <t>6961355</t>
  </si>
  <si>
    <t>CHRYSLER COMMANDER 2006-  СТ ПЕР ДВ ОП ПР ЗЛ+ТРИПЛ+УО</t>
  </si>
  <si>
    <t>6993735</t>
  </si>
  <si>
    <t>CHRYSLER COMMANDER 2006-  СТ ЗАДН ДВ ОП ПР ЗЛ</t>
  </si>
  <si>
    <t>6993737</t>
  </si>
  <si>
    <t>CHRYSLER COMMANDER 2006-  СТ ЗАДН ДВ ОП ПР ТСР</t>
  </si>
  <si>
    <t>JEEP GRAND CHEROKEE 1993-1999</t>
  </si>
  <si>
    <t>6969940</t>
  </si>
  <si>
    <t>1993-1999</t>
  </si>
  <si>
    <t>CHRYSLER GRAND CHEROKEE 1993-1999  СТ ВЕТР ЗЛГЛ+VIN</t>
  </si>
  <si>
    <t>6102516</t>
  </si>
  <si>
    <t>CHRYSLER GRAND CHEROKEE 1993-1999 МОЛД ДЛЯ СТ ВЕТР</t>
  </si>
  <si>
    <t>6101095</t>
  </si>
  <si>
    <t>CHRYSLER GRAND CHEROKEE 1993-1995 МОЛД ДЛЯ СТ ВЕТР ВЕРХ</t>
  </si>
  <si>
    <t>6994305</t>
  </si>
  <si>
    <t>CHRYSLER GRAND CHEROKEE 1993-1999  СТ ПЕР ДВ ОП ЛВ ЗЛ+УО</t>
  </si>
  <si>
    <t>6996606</t>
  </si>
  <si>
    <t>CHRYSLER GRAND CHEROKEE 1993-1999  СТ ЗАДН ДВ ОП ЛВ ЗЛ+УО</t>
  </si>
  <si>
    <t>6994306</t>
  </si>
  <si>
    <t>CHRYSLER GRAND CHEROKEE 1993-1999  СТ ПЕР ДВ ОП ПР ЗЛ+УО</t>
  </si>
  <si>
    <t>6996607</t>
  </si>
  <si>
    <t>CHRYSLER GRAND CHEROKEE 1993-1999  СТ ЗАДН ДВ ОП ПР ЗЛ+УО</t>
  </si>
  <si>
    <t>JEEP GRAND CHEROKEE 1999-2005</t>
  </si>
  <si>
    <t>6960539</t>
  </si>
  <si>
    <t>1999-2005</t>
  </si>
  <si>
    <t>CHRYSLER GRAND CHEROKEE 1999-2005  СТ ВЕТР ЗЛГЛ</t>
  </si>
  <si>
    <t>6100627</t>
  </si>
  <si>
    <t>CHRYSLER GRAND CHEROKEE 1999-2005  МОЛД  ДЛЯ СТ ВЕТР ВЕРХ</t>
  </si>
  <si>
    <t>6999932</t>
  </si>
  <si>
    <t>2003-2005</t>
  </si>
  <si>
    <t>CHRYSLER GRAND CHEROKEE 2003-2005  СТ ПЕР ДВ ОП ЛВ ЗЛ+УО</t>
  </si>
  <si>
    <t>6900947</t>
  </si>
  <si>
    <t>CHRYSLER GRAND CHEROKEE 2003-2005  СТ ПЕР ДВ ОП ПР ЗЛ+УО</t>
  </si>
  <si>
    <t>LE BARON СД 1989-1994</t>
  </si>
  <si>
    <t>6960845</t>
  </si>
  <si>
    <t>1989-1994</t>
  </si>
  <si>
    <t>CHRYSLER LE BARON СД 1989-1994 СТ ВЕТР ЗЛГЛ</t>
  </si>
  <si>
    <t>NEON 4Д 2000-</t>
  </si>
  <si>
    <t>6950038</t>
  </si>
  <si>
    <t>CHRYSLER NEON 4Д 2000-  СТ ВЕТР ЗЛГЛ</t>
  </si>
  <si>
    <t>6102393</t>
  </si>
  <si>
    <t>CHRYSLER NEON 4P 2000-  СЕД МОЛД  ДЛЯ СТ ВЕТР ВЕРХ</t>
  </si>
  <si>
    <t>6999934</t>
  </si>
  <si>
    <t>CHRYSLER NEON 4Д 2000-  СТ ПЕР ДВ ОП ЛВ ЗЛ</t>
  </si>
  <si>
    <t>6900025</t>
  </si>
  <si>
    <t>CHRYSLER NEON 4Д 2000-  СТ ПЕР ДВ ОП ПР ЗЛ</t>
  </si>
  <si>
    <t>NEON 1994-1999</t>
  </si>
  <si>
    <t>6963288</t>
  </si>
  <si>
    <t>CHRYSLER NEON 1994-1999  СТ ВЕТР ЗЛГЛ</t>
  </si>
  <si>
    <t>6101701</t>
  </si>
  <si>
    <t>CHRYSLER NEON 2Д/4Д 1995-1999 МОЛД  ДЛЯ СТ ВЕТР</t>
  </si>
  <si>
    <t>6900026</t>
  </si>
  <si>
    <t>CHRYSLER NEON 1995-1999  СТ ПЕР ДВ ОП ПР ЗЛ</t>
  </si>
  <si>
    <t>PT CRUISER 2000-</t>
  </si>
  <si>
    <t>6960980</t>
  </si>
  <si>
    <t>2000-2009</t>
  </si>
  <si>
    <t>CHRYSLER PT CRUISER 2000-  СТ ВЕТР ЗЛГЛ+ИНК</t>
  </si>
  <si>
    <t>6950082</t>
  </si>
  <si>
    <t>CHRYSLER PT CRUISER 2000-  СТ ВЕТР ЗЛ+ИНК</t>
  </si>
  <si>
    <t>6999491</t>
  </si>
  <si>
    <t>CHRYSLER PT CRUISER МИН 2000-  СТ ЗАДН ЗЛ+VIN+СТОП+УО</t>
  </si>
  <si>
    <t>6900127</t>
  </si>
  <si>
    <t>CHRYSLER PT CRUISER 2000-  СТ ЗАДН ДВ ОП ЛВ ТЗЛ</t>
  </si>
  <si>
    <t>6980067</t>
  </si>
  <si>
    <t>CHRYSLER PT CRUISER 2000-  СТ ПЕР ДВ ОП ЛВ ЗЛ</t>
  </si>
  <si>
    <t>6900128</t>
  </si>
  <si>
    <t>CHRYSLER PT CRUISER 2000-  СТ ЗАДН ДВ ОП ЛВ ЗЛ</t>
  </si>
  <si>
    <t>6900365</t>
  </si>
  <si>
    <t>CHRYSLER PT CRUISER 2000-  СТ ЗАДН ДВ ОП ПР ТЗЛ</t>
  </si>
  <si>
    <t>6980068</t>
  </si>
  <si>
    <t>CHRYSLER PT CRUISER 2000-  СТ ПЕР ДВ ОП ПР ЗЛ</t>
  </si>
  <si>
    <t>6900366</t>
  </si>
  <si>
    <t>CHRYSLER PT CRUISER 2000-  СТ ЗАДН ДВ ОП ПР ЗЛ</t>
  </si>
  <si>
    <t>SEBRING 2001-</t>
  </si>
  <si>
    <t>6962443</t>
  </si>
  <si>
    <t>CHRYSLER SEBRING 2001- СТ ВЕТР ЗЛГЛ</t>
  </si>
  <si>
    <t>6999935</t>
  </si>
  <si>
    <t>CHRYSLER SEBRING 2001- СЕД 4Д  СТ ПЕР ДВ ОП ЛВ ЗЛ+УО</t>
  </si>
  <si>
    <t>6900483</t>
  </si>
  <si>
    <t>CHRYSLER SEBRING 2001-  СТ ПЕР ДВ ОП ПР ЗЛ+УО</t>
  </si>
  <si>
    <t>VOYAGER 1996-</t>
  </si>
  <si>
    <t>6969948</t>
  </si>
  <si>
    <t>CHRYSLER VOYAGER 03/1997-2003  СТ ВЕТР ЗЛГЛ+ЭО+ИЗМ ЭО</t>
  </si>
  <si>
    <t>6960533</t>
  </si>
  <si>
    <t>CHRYSLER VOYAGER 2001-  СТ ВЕТР ЭО ЗЛГЛ+ЭО+ИЗМ ЭО</t>
  </si>
  <si>
    <t>6961182</t>
  </si>
  <si>
    <t>CHRYSLER VOYAGER 2003-  СТ ВЕТР ЗЛ</t>
  </si>
  <si>
    <t>6950337</t>
  </si>
  <si>
    <t>CHRYSLER VOYAGER 2003-  СТ ВЕТР ЗЛГЛ</t>
  </si>
  <si>
    <t>6100253</t>
  </si>
  <si>
    <t>CHRYSLER VOYAGER 1996-  МОЛД  ДЛЯ СТ ВЕТР</t>
  </si>
  <si>
    <t>6998847</t>
  </si>
  <si>
    <t>1996-2001</t>
  </si>
  <si>
    <t>CHRYSLER VOYAGER МИН 1996-  СТ ЗАДН ЭО ЗЛ+VIN+СТОП</t>
  </si>
  <si>
    <t>6980037</t>
  </si>
  <si>
    <t>CHRYSLER VOYAGER МИН 1996-  СТ ЗАДН ЗЛ+СТОП+ИЗМ ЭО</t>
  </si>
  <si>
    <t>6999936</t>
  </si>
  <si>
    <t>CHRYSLER VOYAGER 1996-  СТ ПЕР ДВ ОП ЛВ ЗЛ+УО</t>
  </si>
  <si>
    <t>6900129</t>
  </si>
  <si>
    <t>CHRYSLER VOYAGER/GRAND VOYAGER MPV 1996- СТ ЗАДН ОП ТЗЛ ЛВ+УО+ИЗМ ИНК</t>
  </si>
  <si>
    <t>JEEP</t>
  </si>
  <si>
    <t>COMPASS 3Д+5Д 2007-</t>
  </si>
  <si>
    <t>6962788</t>
  </si>
  <si>
    <t>JEEP COMPASS 3Д+5Д 2007-  СТ ВЕТР ЗЛ</t>
  </si>
  <si>
    <t>LIBERTY 2006-</t>
  </si>
  <si>
    <t>6999959</t>
  </si>
  <si>
    <t>JEEP LIBERTY 4Д UTILITY 2006-  JEEP 5Д СТ ПЕР ДВ ОП ЛВ ЗЛ</t>
  </si>
  <si>
    <t>6900157</t>
  </si>
  <si>
    <t>JEEP LIBERTY 4Д UTILITY 2006-  JEEP 5Д СТ ЗАДН ДВ ОП ЛВ ЗЛ</t>
  </si>
  <si>
    <t>6900158</t>
  </si>
  <si>
    <t>JEEP LIBERTY 4Д UTILITY 2006-  JEEP 5Д СТ ЗАДН ДВ ОП ЛВ СР</t>
  </si>
  <si>
    <t>6900049</t>
  </si>
  <si>
    <t>JEEP LIBERTY 4Д UTILITY 2006-  JEEP 5Д СТ ПЕР ДВ ОП ПР ЗЛ</t>
  </si>
  <si>
    <t>6900233</t>
  </si>
  <si>
    <t>JEEP LIBERTY 4Д UTILITY 2006-  JEEP 5Д СТ ЗАДН ДВ ОП ПР ЗЛ</t>
  </si>
  <si>
    <t>6900234</t>
  </si>
  <si>
    <t>JEEP LIBERTY 4Д UTILITY 2006-  JEEP 5Д СТ ЗАДН ДВ ОП ПР СР</t>
  </si>
  <si>
    <t>WRANGLER I 1987-1997</t>
  </si>
  <si>
    <t>6969942</t>
  </si>
  <si>
    <t>1987-1997</t>
  </si>
  <si>
    <t>JEEP WRANGLER I 1992-1997  СТ ВЕТР ЗЛ+ИЗМ ШЕЛК/RENAULT WRANGLER 1987- СТ ВЕТР ЗЛ+ИЗМ ШЕЛК</t>
  </si>
  <si>
    <t>6963229</t>
  </si>
  <si>
    <t>JEEP WRANGLER I 1992-1997  СТ ВЕТР ЗЛГЛ+ИЗМ ШЕЛК</t>
  </si>
  <si>
    <t>6102392</t>
  </si>
  <si>
    <t>JEEP WRANGLER I 1992-1997  МОЛД ДЛЯ СТ ВЕТР</t>
  </si>
  <si>
    <t>WRANGLER III 3Д+5Д 2007-</t>
  </si>
  <si>
    <t>6962808</t>
  </si>
  <si>
    <t>JEEP WRANGLER III 3Д+5Д 2007-  СТ ВЕТР ЗЛ</t>
  </si>
  <si>
    <t>CITROEN</t>
  </si>
  <si>
    <t>2 CV 1963-1990</t>
  </si>
  <si>
    <t>6963540</t>
  </si>
  <si>
    <t>1963-1990</t>
  </si>
  <si>
    <t>CITROEN 2 CV 1963-1990 СТ ВЕТР</t>
  </si>
  <si>
    <t>AX 1986-1998</t>
  </si>
  <si>
    <t>6965413</t>
  </si>
  <si>
    <t>1986-1998</t>
  </si>
  <si>
    <t>CITROEN AX 1986-1998  СТ ВЕТР БР КР+ИЗМ КР</t>
  </si>
  <si>
    <t>6965410</t>
  </si>
  <si>
    <t>CITROEN AX 1986-1998  СТ ВЕТР КР+ИЗМ КР</t>
  </si>
  <si>
    <t>6965415</t>
  </si>
  <si>
    <t>CITROEN AX 1986-1998  СТ ВЕТР ЗЛ КР+ИЗМ КР</t>
  </si>
  <si>
    <t>6963435</t>
  </si>
  <si>
    <t>CITROEN AX 1986-1998  СТ ВЕТР ЗЛГЛ+ИЗМ КР</t>
  </si>
  <si>
    <t>6997167</t>
  </si>
  <si>
    <t>CITROEN AX ХБ 1990-1998  СТ ЗАДН ОТВ+ИЗМ РАЗМ</t>
  </si>
  <si>
    <t>6997168</t>
  </si>
  <si>
    <t>CITROEN AX ХБ 1990-1998  СТ ЗАДН ЗЛ ОТВ+ИЗМ РАЗМ</t>
  </si>
  <si>
    <t>6997057</t>
  </si>
  <si>
    <t>CITROEN AX 3Д 1986-1998  СТ ПЕР ДВ ОП ЛВ БР</t>
  </si>
  <si>
    <t>6997055</t>
  </si>
  <si>
    <t>CITROEN AX 3Д 1986-1998  СТ ПЕР ДВ ОП ЛВ</t>
  </si>
  <si>
    <t>6997421</t>
  </si>
  <si>
    <t>CITROEN AX 3Д 1986-1998  СТ ПЕР ДВ НЕП ЛВ</t>
  </si>
  <si>
    <t>6997337</t>
  </si>
  <si>
    <t>CITROEN AX 3Д 1986-1998  СТ БОК НЕП ЛВ ОТКР+ИЗМ ОТВ c 191991-1998</t>
  </si>
  <si>
    <t>6997061</t>
  </si>
  <si>
    <t>CITROEN AX 5Д 1986-1998  СТ ПЕР ДВ ОП ЛВ</t>
  </si>
  <si>
    <t>6997065</t>
  </si>
  <si>
    <t>CITROEN AX 5Д 1986-1998  СТ ЗАДН ДВ ОП ЛВ</t>
  </si>
  <si>
    <t>6997333</t>
  </si>
  <si>
    <t>CITROEN AX 3Д 1986-1998  СТ ПЕР ДВ ОП ЛВ ЗЛ</t>
  </si>
  <si>
    <t>6997423</t>
  </si>
  <si>
    <t>CITROEN AX 3Д 1986-1998  СТ ФОРТ ПЕР НЕП ЛВ ЗЛ</t>
  </si>
  <si>
    <t>6997335</t>
  </si>
  <si>
    <t>1991-1998</t>
  </si>
  <si>
    <t>CITROEN AX 3Д 1991-1998  СТ БОК ПОД ЛВ ЗЛ+3 ОТВ+ОТКР+ИЗМ ОТВ</t>
  </si>
  <si>
    <t>6997162</t>
  </si>
  <si>
    <t>CITROEN AX 5Д 1986-1998  СТ ПЕР ДВ ОП ЛВ ЗЛ</t>
  </si>
  <si>
    <t>6997164</t>
  </si>
  <si>
    <t>CITROEN AX 5Д 1986-1998  СТ ЗАДН ДВ ОП ЛВ ЗЛ</t>
  </si>
  <si>
    <t>6997054</t>
  </si>
  <si>
    <t>CITROEN AX 3Д 1986-1998  СТ ПЕР ДВ ОП ПР</t>
  </si>
  <si>
    <t>6997422</t>
  </si>
  <si>
    <t>CITROEN AX 3Д 1986-1998  СТ ПЕР ДВ НЕП ПР</t>
  </si>
  <si>
    <t>6997060</t>
  </si>
  <si>
    <t>CITROEN AX 5Д 1986-1998  СТ ПЕР ДВ ОП ПР</t>
  </si>
  <si>
    <t>6997064</t>
  </si>
  <si>
    <t>CITROEN AX 5Д 1986-1998  СТ ЗАДН ДВ ОП ПР</t>
  </si>
  <si>
    <t>6997334</t>
  </si>
  <si>
    <t>CITROEN AX 3Д 1986-1998  СТ ПЕР ДВ ОП ПР ЗЛ</t>
  </si>
  <si>
    <t>6997424</t>
  </si>
  <si>
    <t>CITROEN AX 3Д 1986-1998  СТ ФОРТ ПЕР НЕП ПР ЗЛ</t>
  </si>
  <si>
    <t>6997382</t>
  </si>
  <si>
    <t>CITROEN AX 3Д 1986-1998  СТ БОК ПР ЗЛ</t>
  </si>
  <si>
    <t>6997161</t>
  </si>
  <si>
    <t>CITROEN AX 5Д 1986-1998  СТ ПЕР ДВ ОП ПР ЗЛ</t>
  </si>
  <si>
    <t>6997163</t>
  </si>
  <si>
    <t>CITROEN AX 5Д 1986-1998  СТ ЗАДН ДВ ОП ПР ЗЛ</t>
  </si>
  <si>
    <t>BERLINGO 1996-2008</t>
  </si>
  <si>
    <t>6960770</t>
  </si>
  <si>
    <t>CITROEN BERLINGO 2001-2008  СТ ВЕТР ТЕПЛООТР+ИЗМ ДЕР ЗЕРК/PEUGEOT PARTNER 2001-2008 СТ ВЕТР ТЕПЛООТР</t>
  </si>
  <si>
    <t>6961485</t>
  </si>
  <si>
    <t>1996-2008</t>
  </si>
  <si>
    <t>CITROEN BERLINGO 1996-2008  СТ ВЕТР/PEUGEOT PARTNER 1996-2008 СТ ВЕТР</t>
  </si>
  <si>
    <t>6965505</t>
  </si>
  <si>
    <t>CITROEN BERLINGO 1996-2001  СТ ВЕТР+ИЗМ ДЕР ЗЕРК/PEUGEOT PARTNER 2001- СТ ВЕТР+КР</t>
  </si>
  <si>
    <t>6961486</t>
  </si>
  <si>
    <t>CITROEN BERLINGO 1996-2008  СТ ВЕТР ЗЛ/PEUGEOT PARTNER 1996-2008 СТ ВЕТР ЗЛ</t>
  </si>
  <si>
    <t>6965506</t>
  </si>
  <si>
    <t>CITROEN BERLINGO 1996-2001  СТ ВЕТР ЗЛ+ИЗМ ДЕР ЗЕРК/PEUGEOT PARTNER 2001- СТ ВЕТР ЗЛ+КР</t>
  </si>
  <si>
    <t>6965508</t>
  </si>
  <si>
    <t>CITROEN BERLINGO 1996-2001  СТ ВЕТР ЗЛГЛ+ИЗМ ДЕР ЗЕРК/PEUGEOT PARTNER 2001- СТ ВЕТР ЗЛГЛ</t>
  </si>
  <si>
    <t>6965507</t>
  </si>
  <si>
    <t>CITROEN BERLINGO 1996-2001  СТ ВЕТР ЗЛЗЛ+ИЗМ ДЕР ЗЕРК</t>
  </si>
  <si>
    <t>6961867</t>
  </si>
  <si>
    <t>CITROEN BERLINGO 2001-2008  СТ ВЕТР ЗЛ+ДД+ИЗМ ДЕР ЗЕРК/PEUGEOT PARTNER 2001-2008 СТ ВЕТР ЗЛ+ДД</t>
  </si>
  <si>
    <t>6100453</t>
  </si>
  <si>
    <t>CITROEN BERLINGO 1996-  В/С УСТ КОМПЛ ДЛЯ СТ ВЕТР СО СПЕЙС</t>
  </si>
  <si>
    <t>6980272</t>
  </si>
  <si>
    <t>CITROEN BERLINGO МИН 1996-2008  СТ ЗАДН/PEUGEOT PARTNER 1996-2008 СТ ЗАДН</t>
  </si>
  <si>
    <t>6998712</t>
  </si>
  <si>
    <t>CITROEN BERLINGO МИН 1996-2008  СТ ЗАДН ЛВ Б/ЭО/PEUGEOT PARTNER 1996-2008 СТ ЗАДН ЛВ Б/ЭО</t>
  </si>
  <si>
    <t>6998713</t>
  </si>
  <si>
    <t>CITROEN BERLINGO МИН 1996-2008  СТ ЗАДН ПР Б/ЭО/PEUGEOT PARTNER 1996-2008 СТ ЗАДН ПР Б/ЭО</t>
  </si>
  <si>
    <t>6998691</t>
  </si>
  <si>
    <t>CITROEN BERLINGO МИН 1996-2008  СТ ЗАДН ЗЛ/PEUGEOT PARTNER 1996-2008 СТ ЗАДН ЗЛ</t>
  </si>
  <si>
    <t>6998714</t>
  </si>
  <si>
    <t>CITROEN BERLINGO МИН 1996-2008  СТ ЗАДН ЭО ЛВ ЗЛ/PEUGEOT PARTNER 1996-2008 СТ ЗАДН ЗЛ ЛВ</t>
  </si>
  <si>
    <t>6998878</t>
  </si>
  <si>
    <t>CITROEN BERLINGO МИН 1996-2008  СТ ЗАДН ЛВ ЗЛ Б/ЭО/PEUGEOT PARTNER 1996-2008 СТ ЗАДН ЗЛ ЛВ Б/ЭО</t>
  </si>
  <si>
    <t>6998715</t>
  </si>
  <si>
    <t>CITROEN BERLINGO МИН 1996-2008  СТ ЗАДН ПР ЭО ЗЛ/PEUGEOT PARTNER 1996-2008 СТ ЗАДН ЗЛ ПР</t>
  </si>
  <si>
    <t>6998879</t>
  </si>
  <si>
    <t>CITROEN BERLINGO МИН 1996-2008  СТ ЗАДН ПР ЗЛ Б/ЭО/PEUGEOT PARTNER 1996-2008 СТ ЗАДН ЗЛ ПР Б/ЭО</t>
  </si>
  <si>
    <t>6994347</t>
  </si>
  <si>
    <t>CITROEN BERLINGO 1996-2008  СТ ПЕР ДВ ОП ЛВ +2 ОТВ/PEUGEOT PARTNER 1996-2008  СТ ПЕР ДВ ОП ЛВ +2 ОТВ</t>
  </si>
  <si>
    <t>6900111</t>
  </si>
  <si>
    <t>CITROEN BERLINGO 1996-2008  СТ СР ЛВ /PEUGEOT PARTNER 1996-2008 СТ СР ЛВ</t>
  </si>
  <si>
    <t>6900121</t>
  </si>
  <si>
    <t>CITROEN BERLINGO 1996-2008  СТ СР ЛВ ОТКР /PEUGEOT PARTNER 1996-2008 СТ СР ЛВ ОТКР</t>
  </si>
  <si>
    <t>6900324</t>
  </si>
  <si>
    <t>CITROEN BERLINGO 1996-2008  СТ БОК НЕП ОТКР ЛВ+1ОТВ/PEUGEOT PARTNER 1996-2008 СТ БОК НЕП ОТКР ЛВ+1ОТВ</t>
  </si>
  <si>
    <t>6994349</t>
  </si>
  <si>
    <t>CITROEN BERLINGO 1996-2008  СТ ПЕР ДВ ОП ЛВ ЗЛ+2 ОТВ/PEUGEOT PARTNER 1996-2008 СТ ПЕР ДВ ОП ЛВ ЗЛ+2 ОТВ</t>
  </si>
  <si>
    <t>6996160</t>
  </si>
  <si>
    <t>CITROEN BERLINGO 1996-2008  СТ СР ЗЛ ЛВ/PEUGEOT PARTNER 1996-2008 СТ СР ЗЛ ЛВ</t>
  </si>
  <si>
    <t>6995188</t>
  </si>
  <si>
    <t>CITROEN BERLINGO 1996-2008  СТ СР ЛВ ЗЛ+3ОТВ+ОТКР/PEUGEOT PARTNER 1996-2008 СТ СР ЗЛ ОТКР</t>
  </si>
  <si>
    <t>6995187</t>
  </si>
  <si>
    <t>CITROEN BERLINGO 1996-2008  СТ БОК НЕП ЛВ ЗЛ+1ОТВ+ОТКР/PEUGEOT PARTNER 1996-2008 СТ ЗАДН ЗЛ НЕП ОТКР</t>
  </si>
  <si>
    <t>6994348</t>
  </si>
  <si>
    <t>CITROEN BERLINGO 1996-2008  СТ ПЕР ДВ ОП ПР+2 ОТВ/PEUGEOT PARTNER 1996-2008 СТ ПЕР ДВ ОП ПР +2ОТВ</t>
  </si>
  <si>
    <t>6900113</t>
  </si>
  <si>
    <t>CITROEN BERLINGO 1996-2008  СТ СР ПР/PEUGEOT PARTNER 1996-2008 СТ СР ПР</t>
  </si>
  <si>
    <t>6900123</t>
  </si>
  <si>
    <t>CITROEN BERLINGO 1996-2008  СТ СР ПР ОТКР/PEUGEOT PARTNER 1996-2008  СТ СР ПР ОТКР</t>
  </si>
  <si>
    <t>6900341</t>
  </si>
  <si>
    <t>CITROEN BERLINGO 1996-2008  СТ БОК НЕП ОТКР ПР+1ОТВ/PEUGEOT PARTNER 1996-2008  СТ БОК НЕП ОТКР ПР+1ОТВ</t>
  </si>
  <si>
    <t>6994350</t>
  </si>
  <si>
    <t>CITROEN BERLINGO 1996-2008  СТ ПЕР ДВ ОП ПР ЗЛ+2 ОТВ/PEUGEOT PARTNER 1996-2008  СТ ПЕР ДВ ОП ПР ЗЛ+2 ОТВ</t>
  </si>
  <si>
    <t>6996161</t>
  </si>
  <si>
    <t>CITROEN BERLINGO 1996-2008  СТ СР ЗЛ ПР/PEUGEOT PARTNER 1996-2008  СТ СР ЗЛ ПР</t>
  </si>
  <si>
    <t>6995189</t>
  </si>
  <si>
    <t>CITROEN BERLINGO 1996-2008  СТ СР ПР ЗЛ+3ОТВ+ОТКР</t>
  </si>
  <si>
    <t>6995190</t>
  </si>
  <si>
    <t>CITROEN BERLINGO 1996-2008  СТ БОК НЕП ПР ЗЛ+1ОТВ+ОТКР/PEUGEOT PARTNER 1996-2008  СТ БОК НЕП ПР ЗЛ+1ОТВ+ОТКР</t>
  </si>
  <si>
    <t>6900342</t>
  </si>
  <si>
    <t>CITROEN BERLINGO 1996-2008  СТ БОК НЕП ОТКР ПР ЗЛ/PEUGEOT PARTNER 1996-2008  СТ БОК НЕП ОТКР ПР ЗЛ</t>
  </si>
  <si>
    <t>6900367</t>
  </si>
  <si>
    <t>1999-2008</t>
  </si>
  <si>
    <t>CITROEN BERLINGO 1999-2008  СТ ЗАДН ДВ ОП ЗЛ ПР+УО/PEUGEOT PARTNER PEOPLE VAN 1999-2008  СТ ЗАДН ДВ ОП ЗЛ ПР+УО</t>
  </si>
  <si>
    <t>BERLINGO 2008-</t>
  </si>
  <si>
    <t>6961505</t>
  </si>
  <si>
    <t>CITROEN BERLINGO 2008-  СТ ВЕТР ЗЛ+VIN+ИНК+ИЗМ ДЕР ЗЕРК/PEUGEOT PARTNER 2008- СТ ВЕТР ЗЛ+VIN+ИНК</t>
  </si>
  <si>
    <t>6962407</t>
  </si>
  <si>
    <t>CITROEN BERLINGO 2008-  СТ ВЕТР ЗЛ+VIN+ИНК/PEUGEOT PARTNER 2008- СТ ВЕТР ЗЛ+VIN+ИНК</t>
  </si>
  <si>
    <t>6961506</t>
  </si>
  <si>
    <t>CITROEN BERLINGO 2008- СТ ВЕТР ЗЛ+ДД+VIN+ИНК</t>
  </si>
  <si>
    <t>6901801</t>
  </si>
  <si>
    <t>CITROEN BERLINGO 2008- СТ ЗАДН ЗЛ</t>
  </si>
  <si>
    <t>6901802</t>
  </si>
  <si>
    <t>CITROEN BERLINGO 2008- СТ ЗАДН ЗЛ ЛВ</t>
  </si>
  <si>
    <t>6901803</t>
  </si>
  <si>
    <t>CITROEN BERLINGO 2008- СТ ЗАДН ЗЛ ПР</t>
  </si>
  <si>
    <t>6901335</t>
  </si>
  <si>
    <t>CITROEN BERLINGO 2008- СТ ПЕР ДВ ОП ЗЛ ПР</t>
  </si>
  <si>
    <t>6901336</t>
  </si>
  <si>
    <t>CITROEN BERLINGO VAN 3Д  08 СТ ПЕР ДВ ОП ЛВ ЗЛ</t>
  </si>
  <si>
    <t>BX 1983-1994</t>
  </si>
  <si>
    <t>6965409</t>
  </si>
  <si>
    <t>CITROEN BX 1983-1994  СТ ВЕТР БР КР+ИЗМ КР</t>
  </si>
  <si>
    <t>6965406</t>
  </si>
  <si>
    <t>CITROEN BX 1983-1994  СТ ВЕТР КР+ИЗМ КР</t>
  </si>
  <si>
    <t>6965416</t>
  </si>
  <si>
    <t>CITROEN BX 1983-1994  СТ ВЕТР ЗЛ КР+ИЗМ КР</t>
  </si>
  <si>
    <t>6100027</t>
  </si>
  <si>
    <t>CITROEN BX I/II СЕД+BRK 1983-1992 МОЛД  ДЛЯ СТ ВЕТР</t>
  </si>
  <si>
    <t>6998705</t>
  </si>
  <si>
    <t>CITROEN BX УН 1983-1994  СТ ЗАДН ДВ ОТВ</t>
  </si>
  <si>
    <t>6997439</t>
  </si>
  <si>
    <t>CITROEN BX ХБ 1983-1994  СТ ЗАДН</t>
  </si>
  <si>
    <t>6997170</t>
  </si>
  <si>
    <t>CITROEN BX ХБ 1983-1994  СТ ЗАДН ЗЛ</t>
  </si>
  <si>
    <t>6100028</t>
  </si>
  <si>
    <t>CITROEN BX СЕД 1983-1992 МОЛД  ДЛЯ СТ ЗАДН</t>
  </si>
  <si>
    <t>6997341</t>
  </si>
  <si>
    <t>CITROEN BX 1983-1994  СТ ПЕР ДВ ОП ЛВ</t>
  </si>
  <si>
    <t>6992803</t>
  </si>
  <si>
    <t>CITROEN BX 1983-1994  СТ ФОРТ ЗАДН НЕП ЛВ</t>
  </si>
  <si>
    <t>6997172</t>
  </si>
  <si>
    <t>CITROEN BX 1983-1994  СТ ПЕР ДВ ОП ЛВ ЗЛ</t>
  </si>
  <si>
    <t>6996658</t>
  </si>
  <si>
    <t>CITROEN BX 1987-1994  СТ ЗАДН ДВ ОП ЛВ ЗЛ</t>
  </si>
  <si>
    <t>6992805</t>
  </si>
  <si>
    <t>CITROEN BX 1983-1994  СТ БОК НЕП ЛВ ЗЛ</t>
  </si>
  <si>
    <t>6992800</t>
  </si>
  <si>
    <t>CITROEN BX 1983-1994  СТ БОК НЕП ПР БР</t>
  </si>
  <si>
    <t>6997342</t>
  </si>
  <si>
    <t>CITROEN BX 1983-1994  СТ ПЕР ДВ ОП ПР</t>
  </si>
  <si>
    <t>6992802</t>
  </si>
  <si>
    <t>CITROEN BX 1983-1994  СТ ФОРТ ЗАДН НЕП ПР</t>
  </si>
  <si>
    <t>6997171</t>
  </si>
  <si>
    <t>CITROEN BX 1983-1994  СТ ПЕР ДВ ОП ПР ЗЛ</t>
  </si>
  <si>
    <t>6996659</t>
  </si>
  <si>
    <t>CITROEN BX 1987-1994  СТ ЗАДН ДВ ОП ПР ЗЛ</t>
  </si>
  <si>
    <t>6992804</t>
  </si>
  <si>
    <t>CITROEN BX 1983-1994  СТ БОК НЕП ПР ЗЛ</t>
  </si>
  <si>
    <t>C1 2005-</t>
  </si>
  <si>
    <t>6190391</t>
  </si>
  <si>
    <t>CITROEN C1 2005-  СТ ВЕТР ЗЛ/PEUGEOT 107 CIT C1 TYT AYGO 2005-  СТ ВЕТР ЗЛ</t>
  </si>
  <si>
    <t>6190917</t>
  </si>
  <si>
    <t>CITROEN C1 ХБ 2005-  СТ ЗАДН ЗЛ ОТКР/PEUGEOT 107 CIT C1 2005- СТ ЗАДН ЗЛ ОТКР</t>
  </si>
  <si>
    <t>6993568</t>
  </si>
  <si>
    <t>CITROEN C1 2005-  СТ ЗАДН ЗЛ ОТКР/PEUGEOT 107 CIT C1 2005- СТ ЗАДН ЗЛ ОТКР</t>
  </si>
  <si>
    <t>6190393</t>
  </si>
  <si>
    <t>CITROEN C1 3Д 2005-  СТ БОК НЕП ЛВ ЗЛ/PEUGEOT 107 3Д 2005- СТ БОК ЛВ ЗЛ</t>
  </si>
  <si>
    <t>6190397</t>
  </si>
  <si>
    <t>CITROEN C1 3Д 2005-  СТ БОК НЕП ПР ЗЛ/PEUGEOT 107 3Д 2005- СТ БОК ПР ЗЛ</t>
  </si>
  <si>
    <t>6190392</t>
  </si>
  <si>
    <t>CITROEN C1 3Д 2005-  СТ ПЕР ДВ ОП ЛВ ЗЛ/PEUGEOT 107 3Д 2005- СТ ПЕР ДВ ОП ЛВ ЗЛ</t>
  </si>
  <si>
    <t>6190396</t>
  </si>
  <si>
    <t>CITROEN C1 3Д 2005-  СТ ПЕР ДВ ОП ПР ЗЛ/PEUGEOT 107 3Д 2005- СТ ПЕР ДВ ОП ПР ЗЛ</t>
  </si>
  <si>
    <t>6190395</t>
  </si>
  <si>
    <t>CITROEN C1 5Д 2005-  СТ ЗАДН ДВ ОП ЛВ ЗЛ ОТКР+УО/PEUGEOT 107 5Д 2005- СТ БОК ПОД ЛВ ЗЛ ОТКР+УО</t>
  </si>
  <si>
    <t>6190399</t>
  </si>
  <si>
    <t>CITROEN C1 5Д 2005-  СТ ЗАДН ДВ ОП ПР ЗЛ ОТКР+УО/PEUGEOT 107 5Д 2005- СТ БОК ПОД ПР ЗЛ ОТКР+УО</t>
  </si>
  <si>
    <t>6190394</t>
  </si>
  <si>
    <t>CITROEN C1 5Д 2005-  СТ ПЕР ДВ ОП ЛВ ЗЛ/PEUGEOT 107 5Д 2005- СТ ПЕР ДВ ОП ЛВ ЗЛ</t>
  </si>
  <si>
    <t>6190398</t>
  </si>
  <si>
    <t>CITROEN C1 5Д 2005-  СТ ПЕР ДВ ОП ПР ЗЛ/PEUGEOT 107 5Д 2005- СТ ПЕР ДВ ОП ПР ЗЛ</t>
  </si>
  <si>
    <t>C2 2003-2008</t>
  </si>
  <si>
    <t>6961059</t>
  </si>
  <si>
    <t>CITROEN C2 2003-2008  СТ ВЕТР ЗЛ</t>
  </si>
  <si>
    <t>6962197</t>
  </si>
  <si>
    <t>2003-2009</t>
  </si>
  <si>
    <t>CITROEN C2 2003- СТ ВЕТР ЗЛГЛ+VIN</t>
  </si>
  <si>
    <t>6102157</t>
  </si>
  <si>
    <t>CITROEN C2 2003 МОЛД  ДЛЯ СТ ВЕТР НИЖН</t>
  </si>
  <si>
    <t>6101553</t>
  </si>
  <si>
    <t>CITROEN C2 2003 МОЛД  ДЛЯ СТ ВЕТР ВЕРХ</t>
  </si>
  <si>
    <t>6997483</t>
  </si>
  <si>
    <t>CITROEN C2 ХБ 2003-2008  СТ ЗАДН ЗЛ+1ОТВ+УО+СТОП</t>
  </si>
  <si>
    <t>6996383</t>
  </si>
  <si>
    <t>CITROEN C2 ХБ 2003-2008  СТ ЗАДН ЗЛ+УО+СТОП+ИЗМ ОТВ</t>
  </si>
  <si>
    <t>6901944</t>
  </si>
  <si>
    <t>CITROEN C2 03 ХБ СТ ЗАДН ЗЛ+СТОП+ИЗМ РАЗМ</t>
  </si>
  <si>
    <t>6996162</t>
  </si>
  <si>
    <t>CITROEN C2 2003-2008  СТ ПЕР ДВ ОП ЛВ ЗЛ</t>
  </si>
  <si>
    <t>6996583</t>
  </si>
  <si>
    <t>CITROEN C2 2003-2008  СТ БОК НЕП ЛВ ЗЛ</t>
  </si>
  <si>
    <t>6993870</t>
  </si>
  <si>
    <t>CITROEN C2 2003-2008  СТ ПЕР ДВ ОП ПР ЗЛ</t>
  </si>
  <si>
    <t>6996584</t>
  </si>
  <si>
    <t>CITROEN C2 2003-2008  СТ БОК НЕП ПР ЗЛ</t>
  </si>
  <si>
    <t>C3 2002-2005</t>
  </si>
  <si>
    <t>6961244</t>
  </si>
  <si>
    <t>2002-2005</t>
  </si>
  <si>
    <t>CITROEN C3 2002-2005  СТ ВЕТР ТЕПЛООТР+VIN</t>
  </si>
  <si>
    <t>6961228</t>
  </si>
  <si>
    <t>CITROEN C3 2002-2005  СТ ВЕТР ЗЛ+ДД+VIN</t>
  </si>
  <si>
    <t>6960807</t>
  </si>
  <si>
    <t>CITROEN C3 2002-2005  СТ ВЕТР ЗЛ+VIN</t>
  </si>
  <si>
    <t>6963035</t>
  </si>
  <si>
    <t>CITROEN C3 2002-2005  СТ ВЕТР ЗЛГЛ+VIN</t>
  </si>
  <si>
    <t>6100610</t>
  </si>
  <si>
    <t>CITROEN C3 2002 МОЛД  ДЛЯ СТ ВЕТР</t>
  </si>
  <si>
    <t>6101619</t>
  </si>
  <si>
    <t>6101620</t>
  </si>
  <si>
    <t>CITROEN C3 2002  МОЛД  ДЛЯ СТ ВЕТР НИЖН</t>
  </si>
  <si>
    <t>6992753</t>
  </si>
  <si>
    <t>CITROEN C3 ХБ 2002-2005  СТ ЗАДН ЗЛ+УО</t>
  </si>
  <si>
    <t>6980074</t>
  </si>
  <si>
    <t>CITROEN C3 2002-2005  СТ ПЕР ДВ ОП ЛВ ЗЛ</t>
  </si>
  <si>
    <t>6981032</t>
  </si>
  <si>
    <t>CITROEN C3 2002-2005  СТ ФОРТ ПЕР НЕП ЛВ ЗЛ</t>
  </si>
  <si>
    <t>6993279</t>
  </si>
  <si>
    <t>CITROEN C3 2002-2005  СТ ЗАДН ДВ ОП ЛВ ЗЛ</t>
  </si>
  <si>
    <t>6981033</t>
  </si>
  <si>
    <t>CITROEN C3 2002-2005  СТ БОК НЕП ЛВ ЗЛ</t>
  </si>
  <si>
    <t>6980075</t>
  </si>
  <si>
    <t>CITROEN C3 2002-2005  СТ ПЕР ДВ ОП ПР ЗЛ</t>
  </si>
  <si>
    <t>6981034</t>
  </si>
  <si>
    <t>CITROEN C3 2002-2005  СТ ФОРТ ПЕР НЕП ПР ЗЛ</t>
  </si>
  <si>
    <t>6993280</t>
  </si>
  <si>
    <t>CITROEN C3 2002-2005  СТ ЗАДН ДВ ОП ПР ЗЛ</t>
  </si>
  <si>
    <t>6981035</t>
  </si>
  <si>
    <t>CITROEN C3 2002-2005  СТ БОК НЕП ПР ЗЛ</t>
  </si>
  <si>
    <t>C3 PLURIEL 2002-</t>
  </si>
  <si>
    <t>6960393</t>
  </si>
  <si>
    <t>2002-2009</t>
  </si>
  <si>
    <t>CITROEN C3 PLURIEL 2002-  СТ ВЕТР ТЕПЛООТР+ДД+VIN</t>
  </si>
  <si>
    <t>6960222</t>
  </si>
  <si>
    <t>CITROEN C3 PLURIEL 2002-  СТ ВЕТР ЗЛ+VIN</t>
  </si>
  <si>
    <t>6101593</t>
  </si>
  <si>
    <t>CITROEN C3 PLURIEL 2003-  МОЛД  ДЛЯ СТ ВЕТР ВЕРХ</t>
  </si>
  <si>
    <t>6991761</t>
  </si>
  <si>
    <t>CITROEN C3 PLURIEL 2002-  СТ ПЕР ДВ ОП ЛВ ЗЛ</t>
  </si>
  <si>
    <t>6990991</t>
  </si>
  <si>
    <t>CITROEN C3 PLURIEL 2003-  СТ ПЕР ДВ НЕП ЛВ ЗЛ+УО</t>
  </si>
  <si>
    <t>6991762</t>
  </si>
  <si>
    <t>CITROEN C3 PLURIEL 2002-  СТ БОК ПОД ЛВ ЗЛ+УО+ОТКР</t>
  </si>
  <si>
    <t>6991091</t>
  </si>
  <si>
    <t>CITROEN C3 PLURIEL 2002-  СТ ПЕР ДВ ОП ПР ЗЛ</t>
  </si>
  <si>
    <t>6990990</t>
  </si>
  <si>
    <t>CITROEN C3 PLURIEL 2003-  СТ ПЕР ДВ НЕП ПР ЗЛ+УО</t>
  </si>
  <si>
    <t>6991092</t>
  </si>
  <si>
    <t>CITROEN C3 PLURIEL 2002-  СТ БОК ПОД ПР ЗЛ+УО+ОТКР</t>
  </si>
  <si>
    <t>C3 PICASSO M5 2009-</t>
  </si>
  <si>
    <t>6964982</t>
  </si>
  <si>
    <t>CITROEN C3 PICASSO 09 СТ ВЕТР ЗЛ+VIN+УО+ИНК</t>
  </si>
  <si>
    <t>6901422</t>
  </si>
  <si>
    <t>CITROEN C3 PICASSO M5 2009- СТ ПЕР ДВ ОП ЛВ ЗЛ</t>
  </si>
  <si>
    <t>6901424</t>
  </si>
  <si>
    <t>CITROEN C3 PICASSO M5 2009- СТ ЗАДН ДВ ОП ЛВ ЗЛ</t>
  </si>
  <si>
    <t>6901421</t>
  </si>
  <si>
    <t>CITROEN C3 PICASSO M5 2009- СТ ПЕР ДВ ОП ПР ЗЛ</t>
  </si>
  <si>
    <t>6901423</t>
  </si>
  <si>
    <t>CITROEN C3 PICASSO M5 2009- СТ ЗАДН ДВ ОП ПР ЗЛ</t>
  </si>
  <si>
    <t>C3 2010-</t>
  </si>
  <si>
    <t>6964981</t>
  </si>
  <si>
    <t>CITROEN C3 2010- СТ ВЕТР ЗЛ+VIN</t>
  </si>
  <si>
    <t>6901426</t>
  </si>
  <si>
    <t>CITROEN C3 2010- СТ ЗАДН ЗЛ</t>
  </si>
  <si>
    <t>C4 2004-</t>
  </si>
  <si>
    <t>6962276</t>
  </si>
  <si>
    <t>CITROEN C4 09/2004-  СТ ВЕТР ТЕПЛООТР+ДД+VIN+УО+ИЗМ ДЕР ЗЕРК</t>
  </si>
  <si>
    <t>6961322</t>
  </si>
  <si>
    <t>CITROEN C4 09/2004-  СТ ВЕТР ЗЛ+ДД+VIN+УО</t>
  </si>
  <si>
    <t>6961323</t>
  </si>
  <si>
    <t>CITROEN C4 09/2004-  СТ ВЕТР ЗЛ+VIN+УО</t>
  </si>
  <si>
    <t>6900600</t>
  </si>
  <si>
    <t>CITROEN C4 ХБ 5Д 09/2004-  СТ ЗАДН ТЗЛ+АНТ</t>
  </si>
  <si>
    <t>6996486</t>
  </si>
  <si>
    <t>CITROEN C4 3Д ХБ 09/2004-  СТ ЗАДН ТЗЛ+НИЖН+СТОП+ИЗМ РАЗМ</t>
  </si>
  <si>
    <t>6996485</t>
  </si>
  <si>
    <t>CITROEN C4 3Д ХБ 09/2004-  СТ ЗАДН ТЗЛ+ВЕРХ+ИЗМ РАЗМ</t>
  </si>
  <si>
    <t>6997551</t>
  </si>
  <si>
    <t>CITROEN C4 5Д ХБ 09/2004-  СТ ЗАДН ЗЛ</t>
  </si>
  <si>
    <t>6996487</t>
  </si>
  <si>
    <t>CITROEN C4 3Д ХБ 09/2004-  СТ ЗАДН ЗЛ+СТОП+ИЗМ РАЗМ</t>
  </si>
  <si>
    <t>6996484</t>
  </si>
  <si>
    <t>CITROEN C4 3Д ХБ 09/2004-  СТ ЗАДН ЗЛ ВЕРХ+ИЗМ РАЗМ</t>
  </si>
  <si>
    <t>6996461</t>
  </si>
  <si>
    <t>CITROEN C4 09/2004-  СТ ПЕР ДВ ОП ЛВ ЗЛ</t>
  </si>
  <si>
    <t>6997788</t>
  </si>
  <si>
    <t>CITROEN C4 09/2004-  СТ ФОРТ ПЕР НЕП ЛВ ЗЛ+ИНК</t>
  </si>
  <si>
    <t>6996462</t>
  </si>
  <si>
    <t>6992183</t>
  </si>
  <si>
    <t>CITROEN C4 09/2004-  СТ ЗАДН ДВ ОП ЛВ ЗЛ</t>
  </si>
  <si>
    <t>6996580</t>
  </si>
  <si>
    <t>CITROEN C4 09/2004-  СТ БОК НЕП ЛВ ЗЛ+ИНК</t>
  </si>
  <si>
    <t>6993868</t>
  </si>
  <si>
    <t>CITROEN C4 09/2004-  СТ ПЕР ДВ ОП ПР ЗЛ</t>
  </si>
  <si>
    <t>6997787</t>
  </si>
  <si>
    <t>CITROEN C4 09/2004-  СТ ФОРТ ПЕР НЕП ПР ЗЛ+ИНК</t>
  </si>
  <si>
    <t>6996582</t>
  </si>
  <si>
    <t>CITROEN C4 09/2004-  СТ БОК НЕП ПР ЗЛ+ИНК+АНТ</t>
  </si>
  <si>
    <t>6993869</t>
  </si>
  <si>
    <t>6992184</t>
  </si>
  <si>
    <t>CITROEN C4 09/2004-  СТ ЗАДН ДВ ОП ПР ЗЛ</t>
  </si>
  <si>
    <t>6996581</t>
  </si>
  <si>
    <t>CITROEN C4 09/2004-  СТ БОК НЕП ПР ЗЛ+ИНК</t>
  </si>
  <si>
    <t>C4 2010-</t>
  </si>
  <si>
    <t>6965676</t>
  </si>
  <si>
    <t>CITROEN C4 5D HBK 2010-СТ ВЕТР ЗЛАКУСТ+VIN+ДО</t>
  </si>
  <si>
    <t>6965555</t>
  </si>
  <si>
    <t>CITROEN C4 5D HBK 2010- СТ ВЕТР ЗЛ+АКУСТ+ДД+VIN+ДО</t>
  </si>
  <si>
    <t>6900920</t>
  </si>
  <si>
    <t>CITROEN C4 5D HBK 2010-СТ ЗАДН ЗЛ+АНТ</t>
  </si>
  <si>
    <t>6900919</t>
  </si>
  <si>
    <t>CITROEN C4 5D HBK 2010-СТ ЗАДН ЗЛ</t>
  </si>
  <si>
    <t>C4 PICASSO 2006-</t>
  </si>
  <si>
    <t>6962527</t>
  </si>
  <si>
    <t>CITROEN C4 PICASSO + GRAND PICASSO 11/2006-  СТ ВЕТР+ДД+VIN+ИНК</t>
  </si>
  <si>
    <t>6962529</t>
  </si>
  <si>
    <t>6962526</t>
  </si>
  <si>
    <t>CITROEN C4 PICASSO + GRAND PICASSO 11/2006-  СТ ВЕТР ЗЛ+VIN+ИНК+ИЗМ ДЕР ЗЕРК</t>
  </si>
  <si>
    <t>6999937</t>
  </si>
  <si>
    <t>CITROEN C4 PICASSO + GRAND PICASSO 11/2006-  СТ ПЕР ДВ ОП ЗЛ ЛВ</t>
  </si>
  <si>
    <t>6900131</t>
  </si>
  <si>
    <t>CITROEN C4 PICASSO 02/2007-  СТ ЗАДН ДВ ОП ЛВ ЗЛ+УО</t>
  </si>
  <si>
    <t>6900132</t>
  </si>
  <si>
    <t>CITROEN C4 PICASSO + GRAND PICASSO 11/2006-  СТ ЗАДН ДВ ОП ЛВ ЗЛ+УО+ИЗМ РАЗМ</t>
  </si>
  <si>
    <t>6900027</t>
  </si>
  <si>
    <t>CITROEN C4 PICASSO + GRAND PICASSO 11/2006-  СТ ПЕР ДВ ОП ПР ЗЛ</t>
  </si>
  <si>
    <t>6900363</t>
  </si>
  <si>
    <t>CITROEN C4 PICASSO 02/2007-  СТ ЗАДН ДВ ОП ПР ЗЛ+УО</t>
  </si>
  <si>
    <t>6900362</t>
  </si>
  <si>
    <t>CITROEN C4 PICASSO + GRAND PICASSO 11/2006-  СТ ЗАДН ДВ ОП ПР ЗЛ+УО+ИЗМ РАЗМ</t>
  </si>
  <si>
    <t>C5 2000-2008</t>
  </si>
  <si>
    <t>6960829</t>
  </si>
  <si>
    <t>CITROEN C5 04/2003-2008  СТ ВЕТР ТЕПЛООТР+ДД+ДС+VIN</t>
  </si>
  <si>
    <t>6961229</t>
  </si>
  <si>
    <t>CITROEN C5 04/2003-2008  СТ ВЕТР ТЕПЛООТР+КР+ДД+VIN+ИЗМ ДД</t>
  </si>
  <si>
    <t>6960830</t>
  </si>
  <si>
    <t>CITROEN C5 04/2003-2008  СТ ВЕТР ТЕПЛООТР+VIN</t>
  </si>
  <si>
    <t>6960808</t>
  </si>
  <si>
    <t>CITROEN C5 2000-2008  СТ ВЕТР ЗЛ+КР+VIN</t>
  </si>
  <si>
    <t>6100417</t>
  </si>
  <si>
    <t>CITROEN C5 2001-2008 ХБ НАБ МОЛД СТ ВЕТР</t>
  </si>
  <si>
    <t>6101068</t>
  </si>
  <si>
    <t>CITROEN C5 2000-2008 МОЛД  ДЛЯ СТ ВЕТР</t>
  </si>
  <si>
    <t>6101067</t>
  </si>
  <si>
    <t>CITROEN C5 2000-2008 МОЛД  ДЛЯ СТ ВЕТР НИЖ</t>
  </si>
  <si>
    <t>6992930</t>
  </si>
  <si>
    <t>CITROEN C5 УН 2001-2008  СТ ЗАДН ОТКР ЗЛ+УО</t>
  </si>
  <si>
    <t>6992931</t>
  </si>
  <si>
    <t>CITROEN C5 ХБ 2001-2008  СТ ЗАДН ДВ ЗЛ+ИНК+СТОП</t>
  </si>
  <si>
    <t>6993050</t>
  </si>
  <si>
    <t>CITROEN C5 ХБ 2001-2008  СТ ЗАДН ДВ ЗЛ+СТОП+ИНК+ИЗМ ОТВ</t>
  </si>
  <si>
    <t>6999493</t>
  </si>
  <si>
    <t>CITROEN C5 ХБ 2001-2008  СТ ЗАДН ЗЛ+СТОП+ИНК+ИЗМ РАЗМ</t>
  </si>
  <si>
    <t>6962922</t>
  </si>
  <si>
    <t>CITROEN C5 2000-2008  СТ ПЕР ДВ ОП ЛВ ЗЛ АКУСТИК+ТРИПЛ+УО</t>
  </si>
  <si>
    <t>6962925</t>
  </si>
  <si>
    <t>CITROEN C5 2000-2008  СТ ЗАДН ДВ ОП ЛВ ЗЛ АКУСТИК+ТРИПЛ+УО</t>
  </si>
  <si>
    <t>6992836</t>
  </si>
  <si>
    <t>CITROEN C5 УН 2001-2008  СТ ЗАДН ДВ ОП ЛВ ЗЛ</t>
  </si>
  <si>
    <t>6990855</t>
  </si>
  <si>
    <t>CITROEN C5 2000-2008  СТ БОК ЛВ НЕП ЗЛ+ИНК</t>
  </si>
  <si>
    <t>6992754</t>
  </si>
  <si>
    <t>CITROEN C5 2000-2008  СТ ПЕР ДВ ОП ЛВ ЗЛ</t>
  </si>
  <si>
    <t>6992755</t>
  </si>
  <si>
    <t>CITROEN C5 2000-2008  СТ ЗАДН ДВ ОП ЛВ ЗЛ</t>
  </si>
  <si>
    <t>6962924</t>
  </si>
  <si>
    <t>CITROEN C5 2000-2008  СТ ПЕР ДВ ОП ПР ЗЛ АКУСТИК+ТРИПЛ+УО</t>
  </si>
  <si>
    <t>6962928</t>
  </si>
  <si>
    <t>CITROEN C5 2000-2008  СТ ЗАДН ДВ ОП ПР ЗЛ АКУСТИК+ТРИПЛ+УО</t>
  </si>
  <si>
    <t>6992756</t>
  </si>
  <si>
    <t>CITROEN C5 УН 2001-2008  СТ ЗАДН ДВ ОП ПР ЗЛ</t>
  </si>
  <si>
    <t>6992724</t>
  </si>
  <si>
    <t>CITROEN C5 2000-2008  СТ БОК ПР ЗЛ+ИНК+АНТ</t>
  </si>
  <si>
    <t>6990854</t>
  </si>
  <si>
    <t>CITROEN C5 2000-2008  СТ БОК ПР НЕП ЗЛ+ИНК</t>
  </si>
  <si>
    <t>6992757</t>
  </si>
  <si>
    <t>CITROEN C5 2000-2008  СТ ПЕР ДВ ОП ПР ЗЛ</t>
  </si>
  <si>
    <t>6992758</t>
  </si>
  <si>
    <t>CITROEN C5 2000-2008  СТ ЗАДН ДВ ОП ПР ЗЛ</t>
  </si>
  <si>
    <t>C5 СЕД+УН 2008-</t>
  </si>
  <si>
    <t>6963042</t>
  </si>
  <si>
    <t>CITROEN C5 2008- СТ ВЕТР ЗЛ+ДД+VIN+ИНК</t>
  </si>
  <si>
    <t>6963043</t>
  </si>
  <si>
    <t>CITROEN C5 2008- СТ ВЕТР ЗЛ+VIN+ИНК</t>
  </si>
  <si>
    <t>6994733</t>
  </si>
  <si>
    <t>CITROEN C5 УН 2008- СТ ЗАДН ТЗЛ+УО</t>
  </si>
  <si>
    <t>6994732</t>
  </si>
  <si>
    <t>CITROEN C5 УН 2008- СТ ЗАДН ЗЛ+УО</t>
  </si>
  <si>
    <t>6900806</t>
  </si>
  <si>
    <t>CITROEN C5 СД 2008- СТ ЗАДН ЗЛ+СТОП+УО</t>
  </si>
  <si>
    <t>6964629</t>
  </si>
  <si>
    <t>CITROEN C5 2008- СТ ПЕР ДВ ОП ЛВ ЗЛ+ТРИПЛ+УО</t>
  </si>
  <si>
    <t>6964631</t>
  </si>
  <si>
    <t>CITROEN C5 2008- СТ ЗАДН ДВ ОП ЛВ ЗЛ+ТРИПЛ+УО</t>
  </si>
  <si>
    <t>6900810</t>
  </si>
  <si>
    <t>CITROEN C5 2008- СТ ПЕР ДВ ОП ЛВ ЗЛ</t>
  </si>
  <si>
    <t>6900809</t>
  </si>
  <si>
    <t>CITROEN C5 2008- СТ ЗАДН ДВ ОП ЛВ ЗЛ</t>
  </si>
  <si>
    <t>6964628</t>
  </si>
  <si>
    <t>CITROEN C5 2008- СТ ПЕР ДВ ОП ПР ЗЛ+ТРИПЛ+УО</t>
  </si>
  <si>
    <t>6964630</t>
  </si>
  <si>
    <t>CITROEN C5 2008- СТ ЗАДН ДВ ОП ПР ЗЛ+ТРИПЛ+УО</t>
  </si>
  <si>
    <t>6900807</t>
  </si>
  <si>
    <t>CITROEN C5 2008- СТ ПЕР ДВ ОП ПР ЗЛ</t>
  </si>
  <si>
    <t>6900808</t>
  </si>
  <si>
    <t>CITROEN C5 2008- СТ ЗАДН ДВ ОП ПР ЗЛ</t>
  </si>
  <si>
    <t>C6 2004-</t>
  </si>
  <si>
    <t>6961642</t>
  </si>
  <si>
    <t>CITROEN C6 2004- СТ ВЕТР ТЕПЛООТР+ДД+VIN+ИНК</t>
  </si>
  <si>
    <t>6992162</t>
  </si>
  <si>
    <t>CITROEN C6 СД 2004- СТ ЗАДН ЗЛ+АНТ+ИНК+СТОП</t>
  </si>
  <si>
    <t>C8 (PEUG 807) 2002-</t>
  </si>
  <si>
    <t>6190382</t>
  </si>
  <si>
    <t>2006-2007</t>
  </si>
  <si>
    <t>CITROEN C8 07/2006-2007-  СТ ВЕТР ТЕПЛООТР+ДД+VIN+ИНК+ИЗМ ДД/PEUGEOT 807 2002 СТ ВЕТР ТЕПЛООТР+ИЗМ ДД+VIN+ИНК</t>
  </si>
  <si>
    <t>6190383</t>
  </si>
  <si>
    <t>CITROEN C8 2007-  СТ ВЕТР ТЕПЛООТР+ДД+VIN+ИНК+ИЗМ ШЕЛК/PEUGEOT 807 2002 СТ ВЕТР ТЕПЛООТР+ИНК+ДД+КР+VIN+ИНК</t>
  </si>
  <si>
    <t>6190388</t>
  </si>
  <si>
    <t>2002-2007</t>
  </si>
  <si>
    <t>CITROEN C8 2002-  СТ ВЕТР ЗЛ+VIN+ИНК/PEUGEOT 807 2002 СТ ВЕТР ЗЛ+VIN+ИНК</t>
  </si>
  <si>
    <t>6190384</t>
  </si>
  <si>
    <t>CITROEN C8 2002-  СТ ВЕТР ТЕПЛООТР+VIN+ИНК/PEUGEOT 807 2002 СТ ВЕТР ТЕПЛООТР+VIN+ИНК</t>
  </si>
  <si>
    <t>6190381</t>
  </si>
  <si>
    <t>CITROEN C8 2002-  СТ ВЕТР ТЕПЛООТР+ДД+VIN+ИНК/PEUGEOT 807 2002 СТ ВЕТР ТЕПЛООТР+ДД+VIN+ИНК</t>
  </si>
  <si>
    <t>6980076</t>
  </si>
  <si>
    <t>CITROEN C8 2002-  СТ ПЕР ДВ ОП ЛВ ЗЛ/PEUGEOT 807 2002 СТ ПЕР ДВ ОП ЛВ ЗЛ</t>
  </si>
  <si>
    <t>6980077</t>
  </si>
  <si>
    <t>CITROEN C8 2002-  СТ ПЕР ДВ ОП ПР ЗЛ/PEUGEOT 807 2002 СТ ПЕР ДВ ОП ПР ЗЛ</t>
  </si>
  <si>
    <t>C25 VAN 1982-1994</t>
  </si>
  <si>
    <t>6190171</t>
  </si>
  <si>
    <t>1982-1994</t>
  </si>
  <si>
    <t>CITROEN C25 VAN 1982-1994 СТ ВЕТР/FIAT DUCATO 1982-1994 СТ ВЕТР</t>
  </si>
  <si>
    <t>6190170</t>
  </si>
  <si>
    <t>CITROEN C25 VAN 1982-1994 СТ ВЕТР БР/FIAT DUCATO 1982-1994 СТ ВЕТР БР</t>
  </si>
  <si>
    <t>6190731</t>
  </si>
  <si>
    <t>CITROEN C25 VAN 1982-1994 СТ ВЕТР ЗЛЗЛ/FIAT DUCATO 1982-1994 СТ ВЕТР ЗЛЗЛ</t>
  </si>
  <si>
    <t>6100421</t>
  </si>
  <si>
    <t>CITROEN C25 VAN 1987  РЕЗ ПРОФ ДЛЯ СТ ВЕТР</t>
  </si>
  <si>
    <t>C-CROSSER 2007-</t>
  </si>
  <si>
    <t>6190852</t>
  </si>
  <si>
    <t>CITROEN C-CROSSER 2007- СТ ВЕТР ЗЛ/MITSUBISHI OUTLANDER 2007- СТ ВЕТР ЗЛ</t>
  </si>
  <si>
    <t>6190854</t>
  </si>
  <si>
    <t>CITROEN C-CROSSER 2007- СТ ВЕТР ЗЛ+ЭО/MITSUBISHI OUTLANDER 2007- СТ ВЕТР ЗЛ+ЭО+КР/PEUGEOT 4007 07  СТ ВЕТР ЗЛ+ЭО</t>
  </si>
  <si>
    <t>6190943</t>
  </si>
  <si>
    <t>CITROEN C-CROSSER 2007- СТ ПЕР ДВ ОП ЛВ ЗЛ+УО/MITSUBISHI OUTLANDER 2007- СТ ПЕР ДВ ОП ЛВ ЗЛ+УО</t>
  </si>
  <si>
    <t>6190944</t>
  </si>
  <si>
    <t>CITROEN C-CROSSER 2007- СТ ЗАДН ДВ ОП ЛВ ЗЛ+УО/MITSUBISHI OUTLANDER 2007- СТ ЗАДН ДВ ОП ЛВ ЗЛ+УО</t>
  </si>
  <si>
    <t>6190946</t>
  </si>
  <si>
    <t>CITROEN C-CROSSER 2007- СТ ПЕР ДВ ОП ПР ЗЛ+УО/MITSUBISHI OUTLANDER 2007- СТ ПЕР ДВ ОП ПР ЗЛ+УО</t>
  </si>
  <si>
    <t>6190947</t>
  </si>
  <si>
    <t>CITROEN C-CROSSER 2007- СТ ЗАДН ДВ ОП ПР ЗЛ+УО/MITSUBISHI OUTLANDER 2007- СТ ЗАДН ДВ ОП ПР ЗЛ+УО</t>
  </si>
  <si>
    <t>DYANE 1967-1984</t>
  </si>
  <si>
    <t>6965405</t>
  </si>
  <si>
    <t>1967-1984</t>
  </si>
  <si>
    <t>CITROEN DYANE 1967-1984 СТ ВЕТР</t>
  </si>
  <si>
    <t>DS3 2010-</t>
  </si>
  <si>
    <t>6965033</t>
  </si>
  <si>
    <t>CITROEN DS3 2010-СТ ВЕТР ЗЛ АК+ДД+VIN+ИН</t>
  </si>
  <si>
    <t>6965034</t>
  </si>
  <si>
    <t>CITROEN DS3 2010-СТ ВЕТР ЗЛ+VIN+ИНК</t>
  </si>
  <si>
    <t>6902954</t>
  </si>
  <si>
    <t>CITROEN DS3 2010- СТ ЗАДН ЗЛ</t>
  </si>
  <si>
    <t>DS4 5D CPE 2011-</t>
  </si>
  <si>
    <t>6965589</t>
  </si>
  <si>
    <t>CITROEN DS4 5D CPE 2011-СТ ВЕТР ЗЛ+ДД+VI</t>
  </si>
  <si>
    <t>6965677</t>
  </si>
  <si>
    <t>CITROEN DS4 5D CPE 2011-СТ ВЕТР ЗЛ+VIN+Д</t>
  </si>
  <si>
    <t>JUMPER (PEUG BOXER) 1994-2006</t>
  </si>
  <si>
    <t>6961216</t>
  </si>
  <si>
    <t>CITROEN JUMPER 1998-2006  СТ ВЕТР КР+ИЗМ ШЕЛК/FIAT DUCATO 1998-2006  СТ ВЕТР+КР+ИЗМ ШЕЛК</t>
  </si>
  <si>
    <t>6961217</t>
  </si>
  <si>
    <t>CITROEN JUMPER 1998-2006  СТ ВЕТР ЗЛ КР+ИЗМ ШЕЛК/FIAT DUCATO 1998-2006 СТ ВЕТР ЗЛ</t>
  </si>
  <si>
    <t>6963254</t>
  </si>
  <si>
    <t>CITROEN JUMPER 1998-2006  СТ ВЕТР ЗЛГЛ КР+ИЗМ ШЕЛК/FIAT DUCATO 1998-2006  СТ ВЕТР ЗЛГЛ+КР</t>
  </si>
  <si>
    <t>6963780</t>
  </si>
  <si>
    <t>CITROEN JUMPER 1998-2006  СТ ВЕТР ЗЛЗЛ+ИЗМ ШЕЛК/FIAT DUCATO 1998-2006  СТ ВЕТР ЗЛЗЛ</t>
  </si>
  <si>
    <t>6101284</t>
  </si>
  <si>
    <t>CITROEN JUMPER 1994-1998 РЕЗ ПРОФ ДЛЯ СТ ВЕТР</t>
  </si>
  <si>
    <t>6998876</t>
  </si>
  <si>
    <t>1994-2006</t>
  </si>
  <si>
    <t>CITROEN JUMPER МИН 1994-2006  СТ ЗАДН ЛВ Б/ЭО</t>
  </si>
  <si>
    <t>6998710</t>
  </si>
  <si>
    <t>CITROEN JUMPER МИН 1994-2006  СТ ЗАДН ПР/FIAT DUCATO 1994-2006  СТ ЗАДН ПР</t>
  </si>
  <si>
    <t>6998877</t>
  </si>
  <si>
    <t>CITROEN JUMPER МИН 1994-2006  СТ ЗАДН ПР Б/ЭО/PEUGEOT BOXER VAN 1994-2006  СТ ЗАДН ПР Б/ЭО</t>
  </si>
  <si>
    <t>6190914</t>
  </si>
  <si>
    <t>CITROEN JUMPER МИН 1994-2006  СТ ЗАДН ПР Б/ЭО+ИЗМ РАЗМ/FIAT DUCATO 1994-2006  СТ ЗАДН ЭО ПР</t>
  </si>
  <si>
    <t>6998711</t>
  </si>
  <si>
    <t>CITROEN JUMPER МИН 1994-2006  СТ ЗАДН ПР ЗЛ</t>
  </si>
  <si>
    <t>6994343</t>
  </si>
  <si>
    <t>CITROEN JUMPER 1994-2006  СТ ПЕР ДВ ОП ЛВ/FIAT DUCATO 1994-2006  СТ ПЕР ДВ ОП ЛВ</t>
  </si>
  <si>
    <t>6995350</t>
  </si>
  <si>
    <t>CITROEN JUMPER 1994-2006  СТ ФОРТ ПЕР НЕП ЛВ/FIAT DUCATO 1994-2006  СТ ФОРТ ПЕР НЕП ЛВ</t>
  </si>
  <si>
    <t>6900325</t>
  </si>
  <si>
    <t>CITROEN JUMPER 1994-2006  СТ БОК НЕП ЛВ/FIAT DUCATO 1994-2006  СТ БОК НЕП ЛВ</t>
  </si>
  <si>
    <t>6900326</t>
  </si>
  <si>
    <t>CITROEN JUMPER 1994-2006  СТ БОК НЕП ЛВ+ИЗМ РАЗМ</t>
  </si>
  <si>
    <t>6994345</t>
  </si>
  <si>
    <t>CITROEN JUMPER 1994-2006  СТ ПЕР ДВ ОП ЛВ ЗЛ/FIAT DUCATO 1994-2006  СТ ПЕР ДВ ОП ЛВ ЗЛ</t>
  </si>
  <si>
    <t>6994344</t>
  </si>
  <si>
    <t>CITROEN JUMPER 1994-2006  СТ ПЕР ДВ ОП ПР/FIAT DUCATO 1994-2006  СТ ПЕР ДВ ОП ПР</t>
  </si>
  <si>
    <t>6994346</t>
  </si>
  <si>
    <t>CITROEN JUMPER 1994-2006  СТ ПЕР ДВ ОП ПР ЗЛ/FIAT DUCATO 1994-2006  СТ ПЕР ДВ ОП ПР ЗЛ</t>
  </si>
  <si>
    <t>JUMPER II 2006-</t>
  </si>
  <si>
    <t>6962372</t>
  </si>
  <si>
    <t>CITROEN JUMPER II 2006-  СТ ВЕТР ТЕПЛООТР+ДД+VIN+ИНК+ИЗМ ШЕЛК/PEUGEOT BOXER II 2006- СТ ВЕТР ТЕПЛООТР+ДД+VIN+ИНК+КР</t>
  </si>
  <si>
    <t>6962869</t>
  </si>
  <si>
    <t>CITROEN JUMPER II 2006-  СТ ВЕТР ТЕПЛООТР+VIN+ИНК/FIAT DUCATO III 2006-  СТ ВЕТР ТЕПЛООТР+VIN+ИНК</t>
  </si>
  <si>
    <t>6962183</t>
  </si>
  <si>
    <t>CITROEN JUMPER II 2006-  СТ ВЕТР ЗЛ+ДД+VIN+ИНК+ИЗМ ШЕЛК/FIAT DUCATO III 2006-  СТ ВЕТР ЗЛ+ДД+VIN+ИНК+КР</t>
  </si>
  <si>
    <t>6962179</t>
  </si>
  <si>
    <t>CITROEN JUMPER II 2006-  СТ ВЕТР ЗЛ+VIN+ИНК/FIAT DUCATO III 2006-  СТ ВЕТР ЗЛ+VIN+ИНК</t>
  </si>
  <si>
    <t>6998587</t>
  </si>
  <si>
    <t>CITROEN JUMPER III 2006-  СТ ФОРТ ПЕР НЕП ЛВ ЗЛ/FIAT DUCATO III 2006-  СТ ФОРТ ПЕР НЕПОДВ ЛВ ЗЛ</t>
  </si>
  <si>
    <t>JUMPY/SCUDO/EXPERT/EVASION 1995-2000</t>
  </si>
  <si>
    <t>6965900</t>
  </si>
  <si>
    <t>1994-2000</t>
  </si>
  <si>
    <t>CITROEN EVASION 1994-2000 /PG JUMPY 1996-2000  СТ ВЕТР/FIAT ULYSSE 1994-2002 /SCUDIO 1996-2002  СТ ВЕТР</t>
  </si>
  <si>
    <t>6965901</t>
  </si>
  <si>
    <t>CITROEN EVASION 1994-2000 /PG JUMPY 1996-2000  СТ ВЕТР ЗЛ/FIAT ULYSSE 1994-2002 /SCUDIO 1996-2002  СТ ВЕТР ЗЛ</t>
  </si>
  <si>
    <t>6100034</t>
  </si>
  <si>
    <t>CITROEN EVASION 1994-2000 /JUMPY 96  WS U MOULD</t>
  </si>
  <si>
    <t>6991221</t>
  </si>
  <si>
    <t>1996-2000</t>
  </si>
  <si>
    <t>CITROEN EVASION/JUMPY МИН 1996-2000  СТ ЗАДН ЭО ЛВ/FIAT SCUDIO 1996-2002  СТ ЗАДН ЛВ</t>
  </si>
  <si>
    <t>6991219</t>
  </si>
  <si>
    <t>CITROEN EVASION/JUMPY МИН 1996-2000  СТ ЗАДН ЛВ/FIAT SCUDIO 1996-2002  СТ ЗАДН ЛВ Б/ЭО</t>
  </si>
  <si>
    <t>6991220</t>
  </si>
  <si>
    <t>CITROEN EVASION/JUMPY МИН 1996-2000  СТ ЗАДН ЭО ПР/FIAT SCUDIO 1996-2002  СТ ЗАДН ПР</t>
  </si>
  <si>
    <t>6991216</t>
  </si>
  <si>
    <t>CITROEN EVASION/JUMPY МИН 1996-2000  СТ ЗАДН ПР/FIAT SCUDIO 1996-2002  СТ ЗАДН ПР Б/ЭО</t>
  </si>
  <si>
    <t>6997180</t>
  </si>
  <si>
    <t>CITROEN EVASION МИН 1994-2000  СТ ЗАДН ЭО ЗЛ+СТОП/FIAT ULYSSE EPV 1994-2002  СТ ЗАДН ЗЛ+СТОП</t>
  </si>
  <si>
    <t>6991223</t>
  </si>
  <si>
    <t>CITROEN EVASION/JUMPY МИН 1996-2000  СТ ЗАДН ЭО ЛВ ЗЛ/FIAT SCUDIO 1996-2002  СТ ЗАДН ЗЛ ЛВ</t>
  </si>
  <si>
    <t>6991217</t>
  </si>
  <si>
    <t>CITROEN EVASION/JUMPY 1996-2000  СТ ЗАДН ЛВ ЗЛ/FIAT SCUDIO 1996-2002  СТ ЗАДН ЗЛ ЛВ Б/ЭО</t>
  </si>
  <si>
    <t>6991222</t>
  </si>
  <si>
    <t>CITROEN EVASION/JUMPY МИН 1996-2000  СТ ЗАДН ЭО ПР ЗЛ/FIAT SCUDIO 1996-2002  СТ ЗАДН ЗЛ ПР</t>
  </si>
  <si>
    <t>6991218</t>
  </si>
  <si>
    <t>CITROEN EVASION/JUMPY МИН 1996-2000  СТ ЗАДН ПР ЗЛ/FIAT SCUDIO 1996-2002  СТ ЗАДН ЗЛ ПР Б/ЭО</t>
  </si>
  <si>
    <t>6994339</t>
  </si>
  <si>
    <t>CITROEN EVASION 1994-2000 /JUMPY 1996-2000 СТ ПЕР ДВ ОП ЛВ/FIAT ULYSSE 1994-2002 /SCUDIO 1996-2002  СТ ПЕР ДВ ОП ЛВ</t>
  </si>
  <si>
    <t>6991201</t>
  </si>
  <si>
    <t>CITROEN EVASION 1994-2000 /JUMPY 1996-2000  СТ ПЕР НЕП ЛВ/FIAT ULYSSE 1994-2002 /SCUDIO 1996-2002  СТ ПЕР НЕП ЛВ</t>
  </si>
  <si>
    <t>6991203</t>
  </si>
  <si>
    <t>CITROEN EVASION 1994-2000 /JUMPY 1996-2000 СТ ПЕР НЕП ЛВ ЗЛ/FIAT ULYSSE 1994-2002 /SCUDIO 1996-2002  СТ ПЕР ДВ НЕП ЛВ ЗЛ</t>
  </si>
  <si>
    <t>6997427</t>
  </si>
  <si>
    <t>CITROEN EVASION 1994-2000  СТ ЗАДН ДВ ОП ЛВ ЗЛ/FIAT ULYSSE EPV 1994-2002  СТ ЗАДН ДВ ОП ЛВ ЗЛ</t>
  </si>
  <si>
    <t>6997429</t>
  </si>
  <si>
    <t>CITROEN EVASION 1994-2000  СТ БОК ПОД ЛВ ЗЛ ОТКР/FIAT ULYSSE EPV 1994-2002  СТ ЗАДН НЕП ЛВ ЗЛ ОТКР</t>
  </si>
  <si>
    <t>6994340</t>
  </si>
  <si>
    <t>CITROEN EVASION 1994-2000 /JUMPY 1996-2000 СТ ПЕР ДВ ОП ПР/FIAT ULYSSE 1994-2002 /SCUDIO 1996-2002  СТ ПЕР ДВ ОП ПР</t>
  </si>
  <si>
    <t>6991200</t>
  </si>
  <si>
    <t>CITROEN EVASION 1994-2000 /JUMPY 1996-2000  СТ ПЕР НЕП ПР/FIAT ULYSSE 1994-2002 /SCUDIO 1996-2002  СТ ПЕР ДВ НЕП ПР</t>
  </si>
  <si>
    <t>6991202</t>
  </si>
  <si>
    <t>CITROEN EVASION 1994-2000 /JUMPY 1996-2000  СТ ПЕР НЕП ПР ЗЛ/FIAT ULYSSE 1994-2002 /SCUDIO 1996-2002  СТ ПЕР ДВ НЕП ПР ЗЛ</t>
  </si>
  <si>
    <t>6997428</t>
  </si>
  <si>
    <t>CITROEN EVASION 1994-2000  СТ ЗАДН ДВ ОП ПР ЗЛ/FIAT ULYSSE EPV 1994-2002  СТ ЗАДН ДВ ОП ПР ЗЛ</t>
  </si>
  <si>
    <t>6997430</t>
  </si>
  <si>
    <t>CITROEN EVASION 1994-2000  СТ БОК ПОД ПР ЗЛ ОТКР/FIAT ULYSSE EPV 1994-2002  СТ БОК НЕП ПР ЗЛ ОТКР</t>
  </si>
  <si>
    <t>JUMPY (G9) 2006-</t>
  </si>
  <si>
    <t>6190403</t>
  </si>
  <si>
    <t>CITROEN JUMPY (G9) 2006-  СТ ВЕТР ЗЛ+VIN+ИНК/PEUGEOT EXP (G9) 2006-  СТ ВЕТР ЗЛ+VIN+ИНК</t>
  </si>
  <si>
    <t>6190402</t>
  </si>
  <si>
    <t>CITROEN JUMPY (G9) 2006-  СТ ВЕТР ЗЛ+ДД+VIN+ИНК/PEUGEOT EXP (G9) 2006-  СТ ВЕТР ЗЛ+ДД+VIN+ИНК</t>
  </si>
  <si>
    <t>6190401</t>
  </si>
  <si>
    <t>CITROEN JUMPY (G9) 2006-  СТ ВЕТР ТЕПЛООТР+VIN+ИНК/PEUGEOT EXP (G9) 2006-  СТ ВЕТР ТЕПЛООТР+VIN+ИНК</t>
  </si>
  <si>
    <t>6190400</t>
  </si>
  <si>
    <t>CITROEN JUMPY (G9) 2006-  СТ ВЕТР ТЕПЛООТР+ДД+VIN+ИНК/PEUGEOT EXP (G9) 2006-  СТ ВЕТР ТЕПЛООТР+ДД+VIN+ИНК</t>
  </si>
  <si>
    <t>6190406</t>
  </si>
  <si>
    <t>CITROEN JUMPY (G9) МИН 2006-  СТ ЗАДН ЗЛ ЛВ/PEUGEOT EXP (G9) 2006-  СТ ЗАДН ЗЛ ЛВ</t>
  </si>
  <si>
    <t>6190408</t>
  </si>
  <si>
    <t>CITROEN JUMPY (G9) МИН 2006-  СТ ЗАДН ЗЛ ПР/PEUGEOT EXP (G9) 2006-  СТ ЗАДН ЗЛ ПР</t>
  </si>
  <si>
    <t>6190405</t>
  </si>
  <si>
    <t>CITROEN JUMPY (G9) МИН 2006-  СТ ЗАДН ЗЛ+СТОП/PEUGEOT EXP (G9) 2006-  СТ ЗАДН ЗЛ+СТОП</t>
  </si>
  <si>
    <t>6190404</t>
  </si>
  <si>
    <t>CITROEN JUMPY (G9) МИН 2006-  СТ ЗАДН ТЗЛ+СТОП/PEUGEOT EXP (G9) 2006-  СТ ЗАДН ТЗЛ+VIN+СТОП</t>
  </si>
  <si>
    <t>6190815</t>
  </si>
  <si>
    <t>CITROEN JUMPY (G9) 2006-  СТ БОК НЕП ЛВ ЗЛ+ИЗМ РАЗМ/PEUGEOT EXP (G9) 2006-  СТ БОК НЕП ЛВ ЗЛ</t>
  </si>
  <si>
    <t>6190813</t>
  </si>
  <si>
    <t>CITROEN JUMPY (G9) 2006-  СТ БОК НЕП ЛВ ТЗЛ/PEUGEOT EXP (G9) 2006-  СТ БОК НЕП ЛВ ТЗЛ</t>
  </si>
  <si>
    <t>6190817</t>
  </si>
  <si>
    <t>CITROEN JUMPY (G9) 2006-  СТ БОК НЕП ЛВ ТЗЛ+ИЗМ РАЗМ/PEUGEOT EXP (G9) 2006-  СТ БОК НЕП ЛВ ТЗЛ</t>
  </si>
  <si>
    <t>6190811</t>
  </si>
  <si>
    <t>CITROEN JUMPY (G9) 2006-  СТ БОК НЕП ПР ЗЛ/PEUGEOT EXP (G9) 2006-  СТ БОК НЕП ПР ЗЛ</t>
  </si>
  <si>
    <t>6190814</t>
  </si>
  <si>
    <t>CITROEN JUMPY (G9) 2006-  СТ БОК НЕП ПР ЗЛ+ИЗМ РАЗМ/PEUGEOT EXP (G9) 2006-  СТ БОК НЕП ПР ЗЛ</t>
  </si>
  <si>
    <t>6190812</t>
  </si>
  <si>
    <t>CITROEN JUMPY (G9) 2006-  СТ БОК НЕП ПР ТЗЛ/PEUGEOT EXP (G9) 2006-  СТ БОК НЕП ПР ТЗЛ</t>
  </si>
  <si>
    <t>6190816</t>
  </si>
  <si>
    <t>CITROEN JUMPY (G9) 2006-  СТ БОК НЕП ПР ТЗЛ+ИЗМ РАЗМ/PEUGEOT EXP (G9) 2006-  СТ БОК НЕП ПР ТЗЛ</t>
  </si>
  <si>
    <t>6190890</t>
  </si>
  <si>
    <t>CITROEN JUMPY (G9) 2006-  СТ ЗАДН ДВ НЕП ЛВ ЗЛ/PEUGEOT EXP (G9) 2006-  СТ БОК НЕП ЛВ ЗЛ</t>
  </si>
  <si>
    <t>6190810</t>
  </si>
  <si>
    <t>CITROEN JUMPY (G9) 2006-  СТ ЗАДН ДВ ОП ЛВ ТЗЛ/PEUGEOT EXP (G9) 2006-  СТ ЗАДН ДВ ОП ЛВ ТЗЛ</t>
  </si>
  <si>
    <t>6190807</t>
  </si>
  <si>
    <t>CITROEN JUMPY (G9) 2006-  СТ ЗАДН ДВ ОП ЛВ ТЗЛ/PEUGEOT EXP (G9) 2006-  СТ ЗАДН ДВ ОП ЛВ ЗЛ</t>
  </si>
  <si>
    <t>6190809</t>
  </si>
  <si>
    <t>CITROEN JUMPY (G9) 2006-  СТ ЗАДН ДВ ОП ПР ТЗЛ/PEUGEOT EXP (G9) 2006-  СТ ЗАДН ДВ ОП ПР ТЗЛ</t>
  </si>
  <si>
    <t>6190808</t>
  </si>
  <si>
    <t>CITROEN JUMPY (G9) 2006-  СТ ЗАДН ДВ ОП ПР ТЗЛ/PEUGEOT EXP (G9) 2006-  СТ ЗАДН ДВ ОП ПР ЗЛ</t>
  </si>
  <si>
    <t>6190805</t>
  </si>
  <si>
    <t>CITROEN JUMPY (G9) 2006-  СТ ПЕР ДВ ОП ЛВ ЗЛ/PEUGEOT EXP (G9) 2006-  СТ ПЕР ДВ ОП ЛВ ЗЛ</t>
  </si>
  <si>
    <t>6190806</t>
  </si>
  <si>
    <t>CITROEN JUMPY (G9) 2006-  СТ ПЕР ДВ ОП ПР ЗЛ/PEUGEOT EXP (G9) 2006-  СТ ПЕР ДВ ОП ПР ЗЛ</t>
  </si>
  <si>
    <t>NEMO 2008-</t>
  </si>
  <si>
    <t>6963141</t>
  </si>
  <si>
    <t>CITROEN NEMO 2008- СТ ВЕТР ЗЛ+VIN/FIAT FIORINO 2008- СТ ВЕТР ЗЛ+VIN</t>
  </si>
  <si>
    <t>SAXO 3/5Д 1996-2003</t>
  </si>
  <si>
    <t>6960769</t>
  </si>
  <si>
    <t>CITROEN SAXO 3Д/5Д 08/1999-2004  СТ ВЕТР ТЕПЛООТР</t>
  </si>
  <si>
    <t>6190369</t>
  </si>
  <si>
    <t>1996-2004</t>
  </si>
  <si>
    <t>CITROEN SAXO 3Д ХБ 1996-2004  СТ ВЕТР/PEUGEOT 106 08/1999 СТ ВЕТР</t>
  </si>
  <si>
    <t>6190367</t>
  </si>
  <si>
    <t>CITROEN SAXO 3Д ХБ 1996-2004  СТ ВЕТР БР/PEUGEOT 106 1991 СТ ВЕТР БР КР</t>
  </si>
  <si>
    <t>6190371</t>
  </si>
  <si>
    <t>CITROEN SAXO 3Д ХБ 1996-2004  СТ ВЕТР ЗЛГЛ/PEUGEOT 106 1996  СТ ВЕТР ЗЛГЛ</t>
  </si>
  <si>
    <t>6190368</t>
  </si>
  <si>
    <t>CITROEN SAXO 3Д/5Д 08/1999-2004  СТ ВЕТР/PEUGEOT 106 1996  СТ ВЕТР</t>
  </si>
  <si>
    <t>6190370</t>
  </si>
  <si>
    <t>CITROEN SAXO 3Д/5Д 08/1999-2004  СТ ВЕТР ЗЛ/PEUGEOT 106 1996 СТ ВЕТР ЗЛ</t>
  </si>
  <si>
    <t>6100035</t>
  </si>
  <si>
    <t>CITROEN SAXO 1996-2004   МОЛД  ДЛЯ СТ ВЕТР</t>
  </si>
  <si>
    <t>6997356</t>
  </si>
  <si>
    <t>CITROEN SAXO 3Д/5Д ХБ 1996-2004  СТ ЗАДН ЭО ЗЛ</t>
  </si>
  <si>
    <t>6993459</t>
  </si>
  <si>
    <t>CITROEN SAXO SPORT ХБ 1999-2004 СТ ЗАДН ЗЛ+ИЗМ ОТВ</t>
  </si>
  <si>
    <t>6101146</t>
  </si>
  <si>
    <t>CITROEN SAXO 3Д/5Д 1996-2004  МОЛД  ДЛЯ СТ ЗАДН</t>
  </si>
  <si>
    <t>6190376</t>
  </si>
  <si>
    <t>CITROEN SAXO 5Д 1996-2004  СТ ФОРТ ЗАДН НЕП ЛВ ЗЛ/PEUGEOT 106 5Д 1991 СТ БОК НЕП ЛВ ЗЛ</t>
  </si>
  <si>
    <t>6190380</t>
  </si>
  <si>
    <t>CITROEN SAXO 5Д 1996-2004  СТ ФОРТ ЗАДН НЕП ПР ЗЛ/PEUGEOT 106 5Д 1991 СТ БОК НЕП ПР ЗЛ</t>
  </si>
  <si>
    <t>6997355</t>
  </si>
  <si>
    <t>CITROEN SAXO 3Д ХБ 1996-2004  СТ БОК ПОД ЛВ ЗЛ ОТКР</t>
  </si>
  <si>
    <t>6997354</t>
  </si>
  <si>
    <t>CITROEN SAXO 3Д ХБ 1996-2004  СТ БОК ПОД ПР ЗЛ ОТКР</t>
  </si>
  <si>
    <t>6190375</t>
  </si>
  <si>
    <t>CITROEN SAXO 5Д 1996-2004  СТ ЗАДН ДВ ОП ЛВ ЗЛ/PEUGEOT 106 5Д 1991 СТ ЗАДН ДВ ОП ЛВ ЗЛ</t>
  </si>
  <si>
    <t>6190379</t>
  </si>
  <si>
    <t>CITROEN SAXO 5Д 1996-2004  СТ ЗАДН ДВ ОП ПР ЗЛ/PEUGEOT 106 5Д 1991 СТ ЗАДН ДВ ОП ПР ЗЛ</t>
  </si>
  <si>
    <t>6190373</t>
  </si>
  <si>
    <t>CITROEN SAXO 3Д ХБ 1996-2004  СТ ПЕР ДВ ОП ЛВ ЗЛ/PEUGEOT 106 3Д 1991 СТ ПЕР ДВ ОП ЛВ ЗЛ</t>
  </si>
  <si>
    <t>6190377</t>
  </si>
  <si>
    <t>CITROEN SAXO 3Д ХБ 1996-2004  СТ ПЕР ДВ ОП ПР ЗЛ/PEUGEOT 106 3Д 1991 СТ ПЕР ДВ ОП ПР ЗЛ</t>
  </si>
  <si>
    <t>6190374</t>
  </si>
  <si>
    <t>CITROEN SAXO 5Д 1996-2004  СТ ПЕР ДВ ОП ЛВ ЗЛ/PEUGEOT 106 5Д 1991 СТ ПЕР ДВ ОП ЛВ ЗЛ</t>
  </si>
  <si>
    <t>6190378</t>
  </si>
  <si>
    <t>CITROEN SAXO 5Д 1996-2004  СТ ПЕР ДВ ОП ПР ЗЛ/PEUGEOT 106 5Д 1991 СТ ПЕР ДВ ОП ПР ЗЛ</t>
  </si>
  <si>
    <t>VISA 1978-2003</t>
  </si>
  <si>
    <t>6965401</t>
  </si>
  <si>
    <t>1978-2003</t>
  </si>
  <si>
    <t>CITROEN VISA 1978-2003  СТ ВЕТР КР</t>
  </si>
  <si>
    <t>6965396</t>
  </si>
  <si>
    <t>CITROEN VISA 1978-2003  СТ ВЕТР ЗЛ КР</t>
  </si>
  <si>
    <t>6100423</t>
  </si>
  <si>
    <t>CITROEN VISA 1980-1989 РЕЗ ПРОФ ДЛЯ СТ ВЕТР</t>
  </si>
  <si>
    <t>6997359</t>
  </si>
  <si>
    <t>CITROEN VISA 1978-2003  СТ ПЕР ДВ ОП ЛВ</t>
  </si>
  <si>
    <t>6997358</t>
  </si>
  <si>
    <t>CITROEN VISA 1978-2003  СТ ПЕР ДВ ОП ПР</t>
  </si>
  <si>
    <t>XANTIA 1993-2001</t>
  </si>
  <si>
    <t>6960823</t>
  </si>
  <si>
    <t>1997-2001</t>
  </si>
  <si>
    <t>CITROEN XANTIA СД/УН 11/1997-2001  СТ ВЕТР ТЕПЛООТР+ИЗМ КР</t>
  </si>
  <si>
    <t>6960768</t>
  </si>
  <si>
    <t>CITROEN XANTIA СЕД+УН 11/1997-2001  СТ ВЕТР ТЕПЛООТР+ДД+ИЗМ КР</t>
  </si>
  <si>
    <t>6965431</t>
  </si>
  <si>
    <t>1993-2001</t>
  </si>
  <si>
    <t>CITROEN XANTIA СД 1993 /УН 1995-2001  СТ ВЕТР</t>
  </si>
  <si>
    <t>6965432</t>
  </si>
  <si>
    <t>CITROEN XANTIA СД 1993 /УН 1995-2001  СТ ВЕТР ЗЛ</t>
  </si>
  <si>
    <t>6965433</t>
  </si>
  <si>
    <t>CITROEN XANTIA СД+УН 11/1997-2001  СТ ВЕТР ЗЛ+КР+ИЗМ КР</t>
  </si>
  <si>
    <t>6963369</t>
  </si>
  <si>
    <t>CITROEN XANTIA СЕД 1993 /УН 1995-2001  СТ ВЕТР ЗЛЗЛ</t>
  </si>
  <si>
    <t>6963214</t>
  </si>
  <si>
    <t>CITROEN XANTIA СД+УН 11/1997-2001 СТ ВЕТР ЗЛ+КР+ДД+ИЗМ КР</t>
  </si>
  <si>
    <t>6100033</t>
  </si>
  <si>
    <t>CITROEN XANTIA СЕД+УН 1993  В/С  УСТ КОМПЛ ДЛЯ СТ ВЕТР  СО СПЕЙСЕРОМ</t>
  </si>
  <si>
    <t>6992814</t>
  </si>
  <si>
    <t>CITROEN XANTIA ХБ 1993-2001  СТ ЗАДН+ИНК</t>
  </si>
  <si>
    <t>6995930</t>
  </si>
  <si>
    <t>CITROEN XANTIA ХБ 1993-2001  СТ ЗАДН ЗЛ+ИНК</t>
  </si>
  <si>
    <t>6992817</t>
  </si>
  <si>
    <t>1998-2001</t>
  </si>
  <si>
    <t>CITROEN XANTIA ХБ 1998-2001  СТ ЗАДН ЗЛ+ИНК+ИЗМ ОТВ</t>
  </si>
  <si>
    <t>6994335</t>
  </si>
  <si>
    <t>CITROEN XANTIA СД 1993 /УН 1995-2001 СТ ПЕР ДВ ОП ЛВ ЗЛ</t>
  </si>
  <si>
    <t>6994336</t>
  </si>
  <si>
    <t>CITROEN XANTIA СД 1993-2001  СТ ЗАДН ДВ ОП ЛВ ЗЛ</t>
  </si>
  <si>
    <t>6994337</t>
  </si>
  <si>
    <t>CITROEN XANTIA СД 1993 /УН 1995-2001 СТ ПЕР ДВ ОП ПР ЗЛ</t>
  </si>
  <si>
    <t>6994338</t>
  </si>
  <si>
    <t>CITROEN XANTIA СД 1993-2001  СТ ЗАДН ДВ ОП ПР ЗЛ</t>
  </si>
  <si>
    <t>XM 1989-2000</t>
  </si>
  <si>
    <t>6965418</t>
  </si>
  <si>
    <t>1989-2000</t>
  </si>
  <si>
    <t>CITROEN XM 1989-2000  СТ ВЕТР ЗЛ КР</t>
  </si>
  <si>
    <t>6963436</t>
  </si>
  <si>
    <t>CITROEN XM 1989-2000  СТ ВЕТР ЗЛЗЛ КР</t>
  </si>
  <si>
    <t>6997133</t>
  </si>
  <si>
    <t>CITROEN XM 1989-2000  СТ ПЕР ДВ ОП ЛВ ЗЛ</t>
  </si>
  <si>
    <t>6997123</t>
  </si>
  <si>
    <t>CITROEN XM 1989-2000  СТ ПЕР НЕП ЛВ ЗЛ</t>
  </si>
  <si>
    <t>6997182</t>
  </si>
  <si>
    <t>CITROEN XM 1989-2000  СТ ЗАДН ДВ ОП ЛВ ЗЛ</t>
  </si>
  <si>
    <t>6997121</t>
  </si>
  <si>
    <t>CITROEN XM 1989-2000  СТ ЗАДН ДВ НЕП ЛВ ЗЛ</t>
  </si>
  <si>
    <t>6997132</t>
  </si>
  <si>
    <t>CITROEN XM 1989-2000  СТ ПЕР ДВ ОП ПР ЗЛ</t>
  </si>
  <si>
    <t>6997124</t>
  </si>
  <si>
    <t>CITROEN XM 1989-2000  СТ ПЕР НЕП ПР ЗЛ</t>
  </si>
  <si>
    <t>6997181</t>
  </si>
  <si>
    <t>CITROEN XM 1989-2000  СТ ЗАДН ДВ ОП ПР ЗЛ</t>
  </si>
  <si>
    <t>XSARA HBK/EST/COUPE 1997-2004</t>
  </si>
  <si>
    <t>6960826</t>
  </si>
  <si>
    <t>CITROEN XSARA 1997-07/2001 СТ ВЕТР ТЕПЛООТР ДД+VIN</t>
  </si>
  <si>
    <t>6960827</t>
  </si>
  <si>
    <t>CITROEN XSARA 07/2001-2004 СТ ВЕТР ТЕПЛООТР ДД+VIN+ИЗМ ДД</t>
  </si>
  <si>
    <t>6960828</t>
  </si>
  <si>
    <t>CITROEN XSARA ХБ/УН/КП 1997-07/2001 СТ ВЕТР ТЕПЛООТР+VIN</t>
  </si>
  <si>
    <t>6962402</t>
  </si>
  <si>
    <t>CITROEN XSARA ХБ/УН/КУП 1997-2004  СТ ВЕТР ЗЛ</t>
  </si>
  <si>
    <t>6961941</t>
  </si>
  <si>
    <t>CITROEN XSARA ХБ/УН/КП 1997-2004 СТ ВЕТР ЗЛ+ДД</t>
  </si>
  <si>
    <t>6963295</t>
  </si>
  <si>
    <t>CITROEN XSARA ХБ/УН/КП 1997-07/01 СТ ВЕТР ЗЛ+ДД+VIN</t>
  </si>
  <si>
    <t>6965425</t>
  </si>
  <si>
    <t>CITROEN XSARA ХБ/УН/КП 1997-07/01 СТ ВЕТР ЗЛ+VIN</t>
  </si>
  <si>
    <t>6100454</t>
  </si>
  <si>
    <t>CITROEN XSARA ХБ/УН/КБ 1997  МОЛД  ДЛЯ СТ ВЕТР ВЕРХ</t>
  </si>
  <si>
    <t>6998716</t>
  </si>
  <si>
    <t>CITROEN XSARA УН 1997-2004 СТ ЗАДН ЭО ЗЛ</t>
  </si>
  <si>
    <t>6998632</t>
  </si>
  <si>
    <t>CITROEN XSARA ХБ 1997-2004  СТ ЗАДН ЗЛ+ИНК</t>
  </si>
  <si>
    <t>6994351</t>
  </si>
  <si>
    <t>CITROEN XSARA КП 1997-2004 СТ ПЕР ДВ ОП ЛВ ЗЛ</t>
  </si>
  <si>
    <t>6994352</t>
  </si>
  <si>
    <t>CITROEN XSARA КП 1997-2004 СТ БОК ПОД ЛВ ОТКР ЗЛ</t>
  </si>
  <si>
    <t>6991227</t>
  </si>
  <si>
    <t>CITROEN XSARA УН 1997-2004 СТ ЗАДН ДВ ОП ЛВ ЗЛ</t>
  </si>
  <si>
    <t>6994353</t>
  </si>
  <si>
    <t>CITROEN XSARA ХБ/УН 1997-2004  СТ ПЕР ДВ ОП ЛВ ЗЛ</t>
  </si>
  <si>
    <t>6994354</t>
  </si>
  <si>
    <t>CITROEN XSARA ХБ 1997-2004  СТ ЗАДН ДВ ОП ЛВ ЗЛ</t>
  </si>
  <si>
    <t>6992047</t>
  </si>
  <si>
    <t>CITROEN XSARA УН 2002-2004 СТ ЗАДН ДВ ОП ЛВ ЗЛ 1ОТВ+ИЗМ РАЗМ</t>
  </si>
  <si>
    <t>6991229</t>
  </si>
  <si>
    <t>CITROEN XSARA УН 1997-2004  СТ БОК ЛВ ЗЛ</t>
  </si>
  <si>
    <t>6994355</t>
  </si>
  <si>
    <t>CITROEN XSARA КП 1997-2004  СТ ПЕР ДВ ОП ПР ЗЛ</t>
  </si>
  <si>
    <t>6994356</t>
  </si>
  <si>
    <t>CITROEN XSARA КП 1997-2004  СТ БОК ПОД ПР ОТКР ЗЛ</t>
  </si>
  <si>
    <t>6991226</t>
  </si>
  <si>
    <t>CITROEN XSARA УН 1997-2004  СТ ЗАДН ДВ ОП ПР ЗЛ</t>
  </si>
  <si>
    <t>6994357</t>
  </si>
  <si>
    <t>CITROEN XSARA ХБ/УН 1997-2004  СТ ПЕР ДВ ОП ПР ЗЛ</t>
  </si>
  <si>
    <t>6994358</t>
  </si>
  <si>
    <t>CITROEN XSARA ХБ 1997-2004  СТ ЗАДН ДВ ОП ПР ЗЛ</t>
  </si>
  <si>
    <t>6992046</t>
  </si>
  <si>
    <t>CITROEN XSARA УН 2002-2004 СТ ЗАДН ДВ ОП ПР ЗЛ 1ОТВ+ИЗМ РАЗМ</t>
  </si>
  <si>
    <t>6991228</t>
  </si>
  <si>
    <t>CITROEN XSARA УН 1997-2004  СТ БОК ПР ЗЛ</t>
  </si>
  <si>
    <t>XSARA PICASSO 1999-</t>
  </si>
  <si>
    <t>6961741</t>
  </si>
  <si>
    <t>CITROEN XSARA PICASSO 12/2004-  СТ ВЕТР ТЕПЛООТР+ДД+VIN</t>
  </si>
  <si>
    <t>6960831</t>
  </si>
  <si>
    <t>1999-2012</t>
  </si>
  <si>
    <t>CITROEN XSARA PICASSO 1999-  СТ ВЕТР ТЕПЛООТР+VIN</t>
  </si>
  <si>
    <t>6960809</t>
  </si>
  <si>
    <t>CITROEN XSARA PICASSO 1999-  СТ ВЕТР ЗЛ</t>
  </si>
  <si>
    <t>6100455</t>
  </si>
  <si>
    <t>CITROEN XSARA PICASSO 1999  УСТ КОМПЛ ДЛЯ СТ ВЕТР СО СПЕЙС</t>
  </si>
  <si>
    <t>6992793</t>
  </si>
  <si>
    <t>CITROEN XSARA PICASSO МИН 1999-  СТ ЗАДН ТЗЛ+СТОП</t>
  </si>
  <si>
    <t>6992759</t>
  </si>
  <si>
    <t>CITROEN XSARA PICASSO МИН 1999-  СТ ЗАДН ЗЛ+СТОП</t>
  </si>
  <si>
    <t>6993056</t>
  </si>
  <si>
    <t>CITROEN XSARA PICASSO 1999-  СТ ПЕР ДВ ОП ЛВ ЗЛ</t>
  </si>
  <si>
    <t>6993054</t>
  </si>
  <si>
    <t>CITROEN XSARA PICASSO 1999-  СТ БОК ПЕР НЕП ЛВ ЗЛ</t>
  </si>
  <si>
    <t>6993058</t>
  </si>
  <si>
    <t>CITROEN XSARA PICASSO 1999-  СТ ЗАДН ДВ ОП ЛВ ЗЛ</t>
  </si>
  <si>
    <t>6980078</t>
  </si>
  <si>
    <t>CITROEN XSARA PICASSO 1999-  СТ БОК НЕП ЛВ ЗЛ</t>
  </si>
  <si>
    <t>6993057</t>
  </si>
  <si>
    <t>CITROEN XSARA PICASSO 1999-  СТ ПЕР ДВ ОП ПР ЗЛ</t>
  </si>
  <si>
    <t>6993059</t>
  </si>
  <si>
    <t>CITROEN XSARA PICASSO 1999-  СТ ЗАДН ДВ ОП ПР ЗЛ</t>
  </si>
  <si>
    <t>6980079</t>
  </si>
  <si>
    <t>CITROEN XSARA PICASSO 1999-  СТ БОК НЕП ПР ЗЛ</t>
  </si>
  <si>
    <t>ZX 1991-1998</t>
  </si>
  <si>
    <t>6965421</t>
  </si>
  <si>
    <t>CITROEN ZX 1991-1997 СТ ВЕТР КР</t>
  </si>
  <si>
    <t>6965422</t>
  </si>
  <si>
    <t>CITROEN ZX 1991-1997 СТ ВЕТР ЗЛ КР</t>
  </si>
  <si>
    <t>6963437</t>
  </si>
  <si>
    <t>CITROEN ZX 1991-1997 СТ ВЕТР ЗЛГЛ</t>
  </si>
  <si>
    <t>6963438</t>
  </si>
  <si>
    <t>CITROEN ZX 1991-1997 СТ ВЕТР ЗЛЗЛ</t>
  </si>
  <si>
    <t>6100419</t>
  </si>
  <si>
    <t>CITROEN ZX 1991  УСТ КОМПЛ ДЛЯ СТ ВЕТР СО СПЕЙС</t>
  </si>
  <si>
    <t>6997138</t>
  </si>
  <si>
    <t>CITROEN ZX ХБ 1991-1997 СТ ЗАДН ЭО</t>
  </si>
  <si>
    <t>6998709</t>
  </si>
  <si>
    <t>1993-1997</t>
  </si>
  <si>
    <t>CITROEN ZX УН 1993-1998 СТ ЗАДН ЭО ЗЛ</t>
  </si>
  <si>
    <t>6997169</t>
  </si>
  <si>
    <t>CITROEN ZX ХБ 1991-1997 СТ ЗАДН ЭО ЗЛ</t>
  </si>
  <si>
    <t>6100032</t>
  </si>
  <si>
    <t>CITROEN ZX СЕД 1991-1997 МОЛД  ДЛЯ СТ ЗАДН</t>
  </si>
  <si>
    <t>6992807</t>
  </si>
  <si>
    <t>CITROEN ZX HB 5Д 1991-1997 СТ ПЕР ДВ ОП ЛВ</t>
  </si>
  <si>
    <t>6995342</t>
  </si>
  <si>
    <t>CITROEN ZX 3Д 1991-1997 СТ ПЕР ДВ ОП ЛВ ЗЛ</t>
  </si>
  <si>
    <t>6992809</t>
  </si>
  <si>
    <t>CITROEN ZX 5Д+УН 1991-1997 СТ ПЕР ДВ ОП ЛВ ЗЛ</t>
  </si>
  <si>
    <t>6992813</t>
  </si>
  <si>
    <t>CITROEN ZX 5Д+УН 1991-1997 СТ ЗАДН ДВ ОП ЛВ ЗЛ</t>
  </si>
  <si>
    <t>6994332</t>
  </si>
  <si>
    <t>CITROEN ZX 5Д 1991-1997 СТ БОК НЕП ЛВ ЗЛ</t>
  </si>
  <si>
    <t>6992806</t>
  </si>
  <si>
    <t>CITROEN ZX 5Д+УН 1991-1997  СТ ПЕР ДВ ОП ПР</t>
  </si>
  <si>
    <t>6995344</t>
  </si>
  <si>
    <t>CITROEN ZX HB 3Д 1991-1997 СТ ПЕР ДВ ОП ПР ЗЛ</t>
  </si>
  <si>
    <t>6992808</t>
  </si>
  <si>
    <t>CITROEN ZX 5Д+УН 1991-1997 СТ ПЕР ДВ ОП ПР ЗЛ</t>
  </si>
  <si>
    <t>6992812</t>
  </si>
  <si>
    <t>CITROEN ZX 5Д+УН 1991-1997 СТ ЗАДН ДВ ОП ПР ЗЛ</t>
  </si>
  <si>
    <t>6994334</t>
  </si>
  <si>
    <t>CITROEN ZX 5Д 1991-1997 СТ БОК ПР ЗЛ</t>
  </si>
  <si>
    <t>DAEWOO</t>
  </si>
  <si>
    <t>AVIA TRUCK 2002-</t>
  </si>
  <si>
    <t>6960218</t>
  </si>
  <si>
    <t>DAEWOO AVIA 2002- СТ ВЕТР</t>
  </si>
  <si>
    <t>6960224</t>
  </si>
  <si>
    <t>DAEWOO AVIA 2002- СТ ВЕТР ЗЛГЛ</t>
  </si>
  <si>
    <t>6990233</t>
  </si>
  <si>
    <t>DAEWOO AVIA ГР 2002- СТ ЗАДН ЛВ</t>
  </si>
  <si>
    <t>6990231</t>
  </si>
  <si>
    <t>DAEWOO AVIA ГР 2002- СТ ЗАДН ПР</t>
  </si>
  <si>
    <t>6990228</t>
  </si>
  <si>
    <t>DAEWOO AVIA ГР 2002- СТ ЗАДН СРЕД+ИЗМ РАЗМ</t>
  </si>
  <si>
    <t>6990232</t>
  </si>
  <si>
    <t>DAEWOO AVIA ГР 2002- СТ ЗАДН ПР ЗЛ</t>
  </si>
  <si>
    <t>6990229</t>
  </si>
  <si>
    <t>DAEWOO AVIA ГР 2002- СТ ЗАДН СРЕД ЗЛ+ИЗМ РАЗМ</t>
  </si>
  <si>
    <t>6990226</t>
  </si>
  <si>
    <t>DAEWOO AVIA 2002- СТ ПЕР ДВ ОП ЛВ</t>
  </si>
  <si>
    <t>6990222</t>
  </si>
  <si>
    <t>DAEWOO AVIA 2002- СТ ПЕР ДВ НЕП ЛВ</t>
  </si>
  <si>
    <t>6990227</t>
  </si>
  <si>
    <t>DAEWOO AVIA 2002- СТ ПЕР ДВ ОП ЛВ ЗЛ</t>
  </si>
  <si>
    <t>6990223</t>
  </si>
  <si>
    <t>DAEWOO AVIA 2002- СТ ПЕР ДВ НЕП ЛВ ЗЛ</t>
  </si>
  <si>
    <t>6990224</t>
  </si>
  <si>
    <t>DAEWOO AVIA 2002- СТ ПЕР ДВ ОП ПР</t>
  </si>
  <si>
    <t>6990220</t>
  </si>
  <si>
    <t>DAEWOO AVIA 2002- СТ ПЕР ДВ НЕП ПР</t>
  </si>
  <si>
    <t>6990225</t>
  </si>
  <si>
    <t>DAEWOO AVIA 2002- СТ ПЕР ДВ ОП ПР ЗЛ</t>
  </si>
  <si>
    <t>6990221</t>
  </si>
  <si>
    <t>DAEWOO AVIA 2002- СТ ПЕР ДВ НЕП ПР ЗЛ</t>
  </si>
  <si>
    <t>ESPERO 4Д 1995-1999</t>
  </si>
  <si>
    <t>6961417</t>
  </si>
  <si>
    <t>DAEWOO ESPERO 4Д 1995-1999  СТ ВЕТР ЗЛГЛ</t>
  </si>
  <si>
    <t>6100038</t>
  </si>
  <si>
    <t>DAEWOO ESPERO 1995-1999   МОЛД  ДЛЯ СТ ВЕТР</t>
  </si>
  <si>
    <t>6996474</t>
  </si>
  <si>
    <t>DAEWOO ESPERO СД 4Д 1995-1999  СТ ЗАДН ЗЛ</t>
  </si>
  <si>
    <t>6995354</t>
  </si>
  <si>
    <t>DAEWOO ESPERO 4Д 1995-1999  СТ ПЕР ДВ ОП ЛВ ЗЛ</t>
  </si>
  <si>
    <t>6994359</t>
  </si>
  <si>
    <t>DAEWOO ESPERO 4Д 1995-1999  СТ ЗАДН ДВ ОП ЛВ ЗЛ</t>
  </si>
  <si>
    <t>6900327</t>
  </si>
  <si>
    <t>DAEWOO ESPERO 1995-1999  СТ БОК НЕП ЛВ ЗЛ+ИНК</t>
  </si>
  <si>
    <t>6995355</t>
  </si>
  <si>
    <t>DAEWOO ESPERO 4Д 1995-1999  СТ ПЕР ДВ ОП ПР ЗЛ</t>
  </si>
  <si>
    <t>6994360</t>
  </si>
  <si>
    <t>DAEWOO ESPERO 4Д 1995-1999  СТ ЗАДН ДВ ОП ПР ЗЛ</t>
  </si>
  <si>
    <t>LANOS 1997-</t>
  </si>
  <si>
    <t>6962322</t>
  </si>
  <si>
    <t>1997-</t>
  </si>
  <si>
    <t>DAEWOO LANOS 1997-  СТ ВЕТР ПРГЛ</t>
  </si>
  <si>
    <t>6965168</t>
  </si>
  <si>
    <t>6963727</t>
  </si>
  <si>
    <t>DAEWOO LANOS 1997-  СТ ВЕТР ЗЛГЛ</t>
  </si>
  <si>
    <t>6100039</t>
  </si>
  <si>
    <t>DAEWOO LANOS 1997-   МОЛД  ДЛЯ СТ ВЕТР</t>
  </si>
  <si>
    <t>6994982</t>
  </si>
  <si>
    <t>DAEWOO LANOS СД 1997-  СТ ЗАДН ЭО</t>
  </si>
  <si>
    <t>6998717</t>
  </si>
  <si>
    <t>DAEWOO LANOS ХБ 1997-  СТ ЗАДН ЭО ЗЛ</t>
  </si>
  <si>
    <t>6998718</t>
  </si>
  <si>
    <t>DAEWOO LANOS СД 1997-  СТ ЗАДН ЭО ЗЛ ФИТ</t>
  </si>
  <si>
    <t>6994984</t>
  </si>
  <si>
    <t>DAEWOO LANOS 1997- СТ ПЕР ДВ ОП ЛВ</t>
  </si>
  <si>
    <t>6994986</t>
  </si>
  <si>
    <t>DAEWOO LANOS 1997- СТ ЗАДН ДВ ОП ЛВ</t>
  </si>
  <si>
    <t>6995654</t>
  </si>
  <si>
    <t>DAEWOO LANOS 3Д ХБ 1997-  СТ ПЕР ДВ ОП ЛВ ЗЛ+2 ОТВ</t>
  </si>
  <si>
    <t>6995099</t>
  </si>
  <si>
    <t>DAEWOO LANOS 1997- СТ ПЕР ДВ ОП ЛВ ЗЛ</t>
  </si>
  <si>
    <t>6995655</t>
  </si>
  <si>
    <t>DAEWOO LANOS 5Д ХБ+СД 1997- СТ ПЕР ДВ ОП ЛВ ЗЛ+2ОТВ</t>
  </si>
  <si>
    <t>6995656</t>
  </si>
  <si>
    <t>DAEWOO LANOS 5Д ХБ+СД 1997- СТ ЗАДН ДВ ОП ЛВ ЗЛ+2ОТВ</t>
  </si>
  <si>
    <t>6995107</t>
  </si>
  <si>
    <t>DAEWOO LANOS 1997- СТ ЗАДН ДВ ОП ЛВ ЗЛ</t>
  </si>
  <si>
    <t>6994983</t>
  </si>
  <si>
    <t>DAEWOO LANOS 1997- СТ ПЕР ДВ ОП ПР</t>
  </si>
  <si>
    <t>6994985</t>
  </si>
  <si>
    <t>DAEWOO LANOS 1997- СТ ЗАДН ДВ ОП ПР</t>
  </si>
  <si>
    <t>6995657</t>
  </si>
  <si>
    <t>DAEWOO LANOS 3Д ХБ 1997- СТ ПЕР ДВ ОП ПР ЗЛ+2ОТВ</t>
  </si>
  <si>
    <t>6995098</t>
  </si>
  <si>
    <t>DAEWOO LANOS 1997- СТ ПЕР ДВ ОП ПР ЗЛ</t>
  </si>
  <si>
    <t>6995100</t>
  </si>
  <si>
    <t>DAEWOO LANOS 1997- СТ ЗАДН ДВ ОП ПР ЗЛ</t>
  </si>
  <si>
    <t>6994362</t>
  </si>
  <si>
    <t>DAEWOO LANOS 1997- ХБ 3Д СТ БОК НЕП ПР ЗЛ ОТКР</t>
  </si>
  <si>
    <t>6994363</t>
  </si>
  <si>
    <t>DAEWOO LANOS 5Д ХБ+СД 1997- СТ ПЕР УО ПР ЗЛ+2ОТВ</t>
  </si>
  <si>
    <t>6995658</t>
  </si>
  <si>
    <t>DAEWOO LANOS 5Д ХБ+СД 1997- СТ ЗАДН ДВ ОП ПР ЗЛ+2ОТВ</t>
  </si>
  <si>
    <t>LEGANZA СД 1997-2002</t>
  </si>
  <si>
    <t>6963372</t>
  </si>
  <si>
    <t>1997-2002</t>
  </si>
  <si>
    <t>DAEWOO LEGANZA СЕД 1997-2002  СТ ВЕТР ЗЛГЛ</t>
  </si>
  <si>
    <t>6100041</t>
  </si>
  <si>
    <t>DAEWOO LEGANZA СЕД 1997-2002  МОЛД  ДЛЯ СТ ВЕТР</t>
  </si>
  <si>
    <t>6998719</t>
  </si>
  <si>
    <t>DAEWOO LEGANZA СД 1997-2002  СТ ЗАДН ЭО ЗЛ</t>
  </si>
  <si>
    <t>6994366</t>
  </si>
  <si>
    <t>DAEWOO LEGANZA СЕД 1997-2002  СТ ПЕР ДВ ОП ЛВ ЗЛ</t>
  </si>
  <si>
    <t>6994367</t>
  </si>
  <si>
    <t>DAEWOO LEGANZA СЕД 1997-2002  СТ ЗАДН ДВ ОП ЛВ ЗЛ+2ОТВ</t>
  </si>
  <si>
    <t>6994697</t>
  </si>
  <si>
    <t>DAEWOO LEGANZA СЕД 1997-2002  ФОРТ ЗАДН НЕП ЛВ ЗЛ</t>
  </si>
  <si>
    <t>6994368</t>
  </si>
  <si>
    <t>DAEWOO LEGANZA СЕД 1997-2002  СТ ПЕР ДВ ОП ПР ЗЛ+2ОТВ</t>
  </si>
  <si>
    <t>6994369</t>
  </si>
  <si>
    <t>DAEWOO LEGANZA СЕД 1997-2002  СТ ЗАДН ДВ ОП ПР ЗЛ+2 ОТВ</t>
  </si>
  <si>
    <t>6994698</t>
  </si>
  <si>
    <t>DAEWOO LEGANZA СЕД 1997-2002  ФОРТ ЗАДН НЕП ПР ЗЛ</t>
  </si>
  <si>
    <t>MATIZ 1998-</t>
  </si>
  <si>
    <t>6963296</t>
  </si>
  <si>
    <t>1998-</t>
  </si>
  <si>
    <t>DAEWOO MATIZ 1998-  СТ ВЕТР ЗЛГЛ</t>
  </si>
  <si>
    <t>6100042</t>
  </si>
  <si>
    <t>DAEWOO MATIZ 1998-   МОЛД  ДЛЯ СТ ВЕТР</t>
  </si>
  <si>
    <t>6999499</t>
  </si>
  <si>
    <t>DAEWOO MATIZ ХБ 1998-  СТ ЗАДН+УО</t>
  </si>
  <si>
    <t>6998634</t>
  </si>
  <si>
    <t>DAEWOO MATIZ ХБ 1998-  СТ ЗАДН ЗЛ+УО</t>
  </si>
  <si>
    <t>6999940</t>
  </si>
  <si>
    <t>DAEWOO MATIZ 1998-  СТ ПЕР ДВ ОП ЛВ</t>
  </si>
  <si>
    <t>6994370</t>
  </si>
  <si>
    <t>DAEWOO MATIZ 1998-  СТ ПЕР ДВ ОП ЛВ ЗЛ</t>
  </si>
  <si>
    <t>6994371</t>
  </si>
  <si>
    <t>DAEWOO MATIZ 1998-  СТ ФОРТ ПЕР ДВ ЛВ ЗЛ</t>
  </si>
  <si>
    <t>6994372</t>
  </si>
  <si>
    <t>DAEWOO MATIZ 1998-  СТ ЗАДН ДВ ОП ЛВ ЗЛ</t>
  </si>
  <si>
    <t>6900031</t>
  </si>
  <si>
    <t>DAEWOO MATIZ 1998-  СТ ПЕР ДВ ОП ПР</t>
  </si>
  <si>
    <t>6994373</t>
  </si>
  <si>
    <t>DAEWOO MATIZ 1998-  СТ ПЕР ДВ ОП ПР ЗЛ</t>
  </si>
  <si>
    <t>6994374</t>
  </si>
  <si>
    <t>DAEWOO MATIZ 1998-  СТ ФОРТ ПЕР ДВ ПР ЗЛ</t>
  </si>
  <si>
    <t>6994375</t>
  </si>
  <si>
    <t>DAEWOO MATIZ 1998-  СТ ЗАДН ДВ ОП ПР ЗЛ</t>
  </si>
  <si>
    <t>NEXIA 3Д/4Д/5Д 1995-</t>
  </si>
  <si>
    <t>6963867</t>
  </si>
  <si>
    <t>DAEWOO NEXIA 4Д/5Д 1995-  СТ ВЕТР ЗЛ</t>
  </si>
  <si>
    <t>6969450</t>
  </si>
  <si>
    <t>DAEWOO NEXIA 3Д/4Д/5Д 1995-  СТ ВЕТР ЗЛГЛ</t>
  </si>
  <si>
    <t>Q069450</t>
  </si>
  <si>
    <t>DAEWOO NEXIA 3Д/4Д/5Д 1995-  СТ ВЕТР ЗЛГЛ-OES</t>
  </si>
  <si>
    <t>6100272</t>
  </si>
  <si>
    <t>DAEWOO NEXIA 3Д/4Д/5Д 1995-  МОЛД  ДЛЯ СТ ВЕТР</t>
  </si>
  <si>
    <t>6190316</t>
  </si>
  <si>
    <t>DAEWOO NEXIA 4Д СД 1995-  СТ ЗАДН ЗЛ/OPEL KADETT E СД 1983-1991 СТ ЗАДН ЭО ЗЛ</t>
  </si>
  <si>
    <t>6190317</t>
  </si>
  <si>
    <t>DAEWOO NEXIA 4Д/5Д 1995-  СТ ПЕР ДВ ОП ЛВ/OPEL KADETT E ХБ/УН 5Д+СД 1983-1991 СТ ПЕР ДВ ОП ЛВ</t>
  </si>
  <si>
    <t>6190318</t>
  </si>
  <si>
    <t>DAEWOO NEXIA 3Д 1995-  СТ ЗАДН ОП ЛВ/OPEL KADETT E 1983-1991 СТ ЗАДН ДВ ОП ЛВ</t>
  </si>
  <si>
    <t>6190319</t>
  </si>
  <si>
    <t>DAEWOO NEXIA 3Д 1995- ХБ 5Д СТ ФОРТ ЗАДН НЕП ЛВ/OPEL KADETT E 1983-1991 СТ ФОРТ ЗАДН НЕП ЛВ</t>
  </si>
  <si>
    <t>6190320</t>
  </si>
  <si>
    <t>DAEWOO NEXIA 1995- HB СТ ПЕР ДВ ОП ЛВ ЗЛ/OPEL KADETT E ХБ/УН +VAN 1983-1991 СТ ПЕР ДВ ОП ЗЛ</t>
  </si>
  <si>
    <t>6190322</t>
  </si>
  <si>
    <t>DAEWOO NEXIA 1995-  СТ ПЕР ДВ ОП ЛВ ЗЛ/OPEL KADETT E ХБ/УН5Д+СД 1983-1991 СТ ПЕР ДВ ОП ЛВ ЗЛ</t>
  </si>
  <si>
    <t>6190323</t>
  </si>
  <si>
    <t>DAEWOO NEXIA 1995-  СТ ЗАДН ДВ ОП ЛВ ЗЛ/OPEL KADETT E 1983-1991 СТ ЗАДН ДВ ОП ЛВ ЗЛ</t>
  </si>
  <si>
    <t>6190324</t>
  </si>
  <si>
    <t>DAEWOO NEXIA 1995-  СТ ФОРТ ЗАДН НЕП ЛВ ЗЛ/OPEL KADETTE СД 1983-1991 СТ ЗАДН ДВ НЕП ЛВ ЗЛ</t>
  </si>
  <si>
    <t>6190325</t>
  </si>
  <si>
    <t>DAEWOO NEXIA 4Д/5Д 1995-  СТ ПЕР ДВ ОП ПР/OPEL KADETT E ХБ/УН +BELMONT 1983-1991 СТ ПЕР ДВ ОП ПР</t>
  </si>
  <si>
    <t>6190326</t>
  </si>
  <si>
    <t>DAEWOO NEXIA 3Д 1995- ХБ 5Д СТ ЗАДН ОП ПР /OPEL KADETT E 1983-1991 СТ ЗАДН ДВ ОП ПР</t>
  </si>
  <si>
    <t>6190327</t>
  </si>
  <si>
    <t>DAEWOO NEXIA 4Д/5Д 1995-  СТ ФОРТ ЗАДН НЕП ПР/OPEL KADETT E СД 1983-1991 СТ БОК НЕП ПР</t>
  </si>
  <si>
    <t>6190328</t>
  </si>
  <si>
    <t>DAEWOO NEXIA 1995- HB  СТ ПЕР ДВ ОП ПР ЗЛ/OPEL KADETT E ХБ/УН3Д+2D 1983-1991 СТ ПЕР ДВ ОП ПР ЗЛ</t>
  </si>
  <si>
    <t>6190330</t>
  </si>
  <si>
    <t>DAEWOO NEXIA 1995-  СТ ПЕР ДВ ОП ПР ЗЛ/OPEL KADETTE ХБ/УН 5Д+СД 1983-1991 СТ ПЕР ДВ ОП ПР ЗЛ</t>
  </si>
  <si>
    <t>6190331</t>
  </si>
  <si>
    <t>DAEWOO NEXIA 1995-  СТ ЗАДН ДВ ОП ПР ЗЛ/OPEL KADETT E 1983-1991 СТ ЗАДН ДВ ОП ПР ЗЛ</t>
  </si>
  <si>
    <t>6190332</t>
  </si>
  <si>
    <t>DAEWOO NEXIA 1995-  СТ ФОРТ ЗАДН НЕП ПР ЗЛ/OPEL KADETT E СД 1983-1991 СТ ЗАДН ДВ ПР ЗЛ</t>
  </si>
  <si>
    <t>NUBIRA 1997-2003</t>
  </si>
  <si>
    <t>6961418</t>
  </si>
  <si>
    <t>DAEWOO NUBIRA ХБ+СЕД+УН 1997-2003  СТ ВЕТР ЗЛГЛ</t>
  </si>
  <si>
    <t>6961946</t>
  </si>
  <si>
    <t>DAEWOO NUBIRA ХБ+СЕД+УН 1997-2003  СТ ВЕТР ЗЛГЛ+ИЗМ РАЗМ</t>
  </si>
  <si>
    <t>6100040</t>
  </si>
  <si>
    <t>DAEWOO NUBIRA 1997-2003  МОЛД  ДЛЯ СТ ВЕТР</t>
  </si>
  <si>
    <t>6991705</t>
  </si>
  <si>
    <t>DAEWOO NUBIRA ХБ 1997-2003  СТ ЗАДН ЗЛ</t>
  </si>
  <si>
    <t>6998848</t>
  </si>
  <si>
    <t>DAEWOO NUBIRA СД 1997-2003  СТ ЗАДН ЭО ЗЛ</t>
  </si>
  <si>
    <t>6994364</t>
  </si>
  <si>
    <t>DAEWOO NUBIRA УН 1997-2003  СТ ЗАДН ДВ ОП ЛВ ЗЛ</t>
  </si>
  <si>
    <t>6994695</t>
  </si>
  <si>
    <t>DAEWOO NUBIRA УН 1997-2003  СТ БОК ЛВ ЗЛ</t>
  </si>
  <si>
    <t>6995659</t>
  </si>
  <si>
    <t>DAEWOO NUBIRA ХБ+СД+УН 1997-2003 СТ ПЕП ДВ ОП ЛВ ЗЛ</t>
  </si>
  <si>
    <t>6995660</t>
  </si>
  <si>
    <t>DAEWOO NUBIRA ХБ+СЕД 1997-2003  СТ ЗАДН ДВ ОП ЛВ ЗЛ</t>
  </si>
  <si>
    <t>6994365</t>
  </si>
  <si>
    <t>DAEWOO NUBIRA УН 1997-2003  СТ ЗАДН ДВ ОП ПР ЗЛ</t>
  </si>
  <si>
    <t>6994696</t>
  </si>
  <si>
    <t>DAEWOO NUBIRA УН 1997-2003  СТ БОК ПР ЗЛ</t>
  </si>
  <si>
    <t>6995661</t>
  </si>
  <si>
    <t>DAEWOO NUBIRA ХБ+СД+УН 1997-2003 СТ ПЕР ДВ ОП ПР ЗЛ</t>
  </si>
  <si>
    <t>6995662</t>
  </si>
  <si>
    <t>DAEWOO NUBIRA ХБ+СЕД 1997-2003  СТ ЗАДН ДВ ОП ПР ЗЛ</t>
  </si>
  <si>
    <t>TICO 3/5Д HB 1995-2003</t>
  </si>
  <si>
    <t>6961897</t>
  </si>
  <si>
    <t>1995-2003</t>
  </si>
  <si>
    <t>DAEWOO TICO 1995-2003  СТ ВЕТР</t>
  </si>
  <si>
    <t>6950167</t>
  </si>
  <si>
    <t>DAEWOO TICO 1995-2003  СТ ВЕТР ЗЛГЛ</t>
  </si>
  <si>
    <t>6100973</t>
  </si>
  <si>
    <t>DAEWOO TICO 1996-2003 5Д МОЛД  ДЛЯ СТ ВЕТР ЛВ</t>
  </si>
  <si>
    <t>6100984</t>
  </si>
  <si>
    <t>DAEWOO TICO 1996-2003 5Д  МОЛД  ДЛЯ СТ ВЕТР ПР</t>
  </si>
  <si>
    <t>6101766</t>
  </si>
  <si>
    <t>DAEWOO TICO 1996-2003  МОЛД  ДЛЯ СТ ВЕТР ВЕРХ</t>
  </si>
  <si>
    <t>6999500</t>
  </si>
  <si>
    <t>DAEWOO TICO ХБ 1995-2003  СТ ЗАДН ДВ</t>
  </si>
  <si>
    <t>6998583</t>
  </si>
  <si>
    <t>DAEWOO TICO ХБ 1995-2003  СТ ЗАДН ДВ ЗЛ</t>
  </si>
  <si>
    <t>6996165</t>
  </si>
  <si>
    <t>DAEWOO TICO 1995-2003  СТ ПЕР ДВ ОП ЛВ</t>
  </si>
  <si>
    <t>6900032</t>
  </si>
  <si>
    <t>DAEWOO TICO 1995-2003  СТ ПЕР ДВ ОП ПР</t>
  </si>
  <si>
    <t>6900217</t>
  </si>
  <si>
    <t>DAEWOO TICO 1995-2003  СТ ЗАДН ДВ ОП ПР</t>
  </si>
  <si>
    <t>DAF</t>
  </si>
  <si>
    <t>DAF 2800 1975-1983</t>
  </si>
  <si>
    <t>6963457</t>
  </si>
  <si>
    <t>DAF 2800 1975-1983  СТ ВЕТР</t>
  </si>
  <si>
    <t>DAF 75/85 1993-2000</t>
  </si>
  <si>
    <t>6963788</t>
  </si>
  <si>
    <t>1993-2000</t>
  </si>
  <si>
    <t>DAF 75/85 1993-2000  СТ ВЕТР</t>
  </si>
  <si>
    <t>6963744</t>
  </si>
  <si>
    <t>DAF 75/85 1993-2000  СТ ВЕТР ЗЛ</t>
  </si>
  <si>
    <t>6100612</t>
  </si>
  <si>
    <t>DAF 75/85 1993-2000  МОЛД  ДЛЯ СТ ВЕТР</t>
  </si>
  <si>
    <t>6995363</t>
  </si>
  <si>
    <t>DAF 75/85 1993-2000  СТ ПЕР ДВ ОП ЛВ</t>
  </si>
  <si>
    <t>6900842</t>
  </si>
  <si>
    <t>DAF 75/85 1993-2000  СТ ПЕР ДВ ОП ЛВ ЗЛ</t>
  </si>
  <si>
    <t>6995365</t>
  </si>
  <si>
    <t>DAF 75/85 1993-2000  СТ ПЕР ДВ ОП ПР</t>
  </si>
  <si>
    <t>6900843</t>
  </si>
  <si>
    <t>DAF 75/85 1993-2000  СТ ПЕР ДВ ОП ПР ЗЛ</t>
  </si>
  <si>
    <t>DAF F1200-3300,TURBO 1973-1994</t>
  </si>
  <si>
    <t>6963456</t>
  </si>
  <si>
    <t>1973-1994</t>
  </si>
  <si>
    <t>DAF F1200 3300 1973-1994 СТ ВЕТР</t>
  </si>
  <si>
    <t>DAF F95 1987-1997</t>
  </si>
  <si>
    <t>6963786</t>
  </si>
  <si>
    <t>DAF F95 1987-1997  СТ ВЕТР БР</t>
  </si>
  <si>
    <t>6963787</t>
  </si>
  <si>
    <t>DAF F95 1987-1997  СТ ВЕТР</t>
  </si>
  <si>
    <t>6963461</t>
  </si>
  <si>
    <t>DAF F95 1987-1997  СТ ВЕТР ЗЛ</t>
  </si>
  <si>
    <t>6964010</t>
  </si>
  <si>
    <t>DAF F95 1987-1997  СТ ВЕТР ЗЛЗЛ</t>
  </si>
  <si>
    <t>6100611</t>
  </si>
  <si>
    <t>DAF F95 1987-1997 РЕЗ ПРОФ ДЛЯ СТ ВЕТР БЕЗ ДОЖД КАН</t>
  </si>
  <si>
    <t>6998545</t>
  </si>
  <si>
    <t>DAF F95 1987-1997  СТ ПЕР ДВ ОП</t>
  </si>
  <si>
    <t>6996991</t>
  </si>
  <si>
    <t>DAF F95 1987-1997  СТ ПЕР ДВ ОП ЛВ БР/PEGASO TRONER 1987 СТ ПЕР ДВ ОП ЛВ БР</t>
  </si>
  <si>
    <t>DAF 400 1987-</t>
  </si>
  <si>
    <t>6190200</t>
  </si>
  <si>
    <t>1987-</t>
  </si>
  <si>
    <t>DAF 400 1987-  СТ ВЕТР/LEYLAND NC SHERPA VAN+PU+BUS 1974-  СТ ВЕТР</t>
  </si>
  <si>
    <t>DAF LF45-55 2001-</t>
  </si>
  <si>
    <t>6961061</t>
  </si>
  <si>
    <t>DAF LF 45-55 2001- СТ ВЕТР ЗЛ/RENAULT MIDLUM 2001- СТ ВЕТР ЗЛ+УО</t>
  </si>
  <si>
    <t>6101191</t>
  </si>
  <si>
    <t>DAF LF 45-55 2001- МОЛД  ДЛЯ СТ ВЕТР</t>
  </si>
  <si>
    <t>DAF XF 2006-</t>
  </si>
  <si>
    <t>6962187</t>
  </si>
  <si>
    <t>DAF XF 2006- СТ ВЕТР ЗЛ</t>
  </si>
  <si>
    <t>IVECO CLUB/DAF 500,700,900 1976-</t>
  </si>
  <si>
    <t>6961016</t>
  </si>
  <si>
    <t>1976-</t>
  </si>
  <si>
    <t>DAF F500 700 900 1100 TRUCK 1976-  СТ ВЕТР/RENAULT JN75 1990 MIDLINER/ SAVIEM JK75 КБ 870 СТ ВЕТР</t>
  </si>
  <si>
    <t>FIAT</t>
  </si>
  <si>
    <t>FIAT 110,130,150 1977-1993</t>
  </si>
  <si>
    <t>6961211</t>
  </si>
  <si>
    <t>1977-1993</t>
  </si>
  <si>
    <t>FIAT 110,130,150 SER HCF 1977-1993 СТ ВЕТР</t>
  </si>
  <si>
    <t>FIAT 242 1983-</t>
  </si>
  <si>
    <t>6960048</t>
  </si>
  <si>
    <t>1974-1986</t>
  </si>
  <si>
    <t>FIAT 242 1983  СТ ВЕТР</t>
  </si>
  <si>
    <t>FIAT 684 1972-1978</t>
  </si>
  <si>
    <t>6961302</t>
  </si>
  <si>
    <t>1972-1978</t>
  </si>
  <si>
    <t>FIAT 643 697,FC TRUCK 1972-1978 СТ ВЕТР</t>
  </si>
  <si>
    <t>FIAT OM 50/100 1973-1988</t>
  </si>
  <si>
    <t>6961010</t>
  </si>
  <si>
    <t>1973-1988</t>
  </si>
  <si>
    <t>FIAT OM 50/100 1973-1988 СТ ВЕТР</t>
  </si>
  <si>
    <t>FIAT OM DAILY/GRINTA (TURBO DAILY) 1978-1999</t>
  </si>
  <si>
    <t>6961013</t>
  </si>
  <si>
    <t>1978-1999</t>
  </si>
  <si>
    <t>FIAT DAILY F8 VAN 1978-1999 СТ ВЕТР</t>
  </si>
  <si>
    <t>6961015</t>
  </si>
  <si>
    <t>FIAT DAILY F8 VAN 1978-1999 СТ ВЕТР ЗЛЗЛ</t>
  </si>
  <si>
    <t>6100485</t>
  </si>
  <si>
    <t>FIAT DAILY F8 VAN 1978-1999 РЕЗ ПРОФ ДЛЯ СТ ВЕТР</t>
  </si>
  <si>
    <t>FIAT OM 170/TURBOTECH 1978-1993</t>
  </si>
  <si>
    <t>6961303</t>
  </si>
  <si>
    <t>1978-1993</t>
  </si>
  <si>
    <t>FIAT 170, F26/35 TRUCK 1978-1993 СТ ВЕТР</t>
  </si>
  <si>
    <t>6961304</t>
  </si>
  <si>
    <t>FIAT 170, F26/35 TRUCK 1978-1993 СТ ВЕТР ЗЛ</t>
  </si>
  <si>
    <t>FIAT/FORD TURBOSTAR 1985-1993</t>
  </si>
  <si>
    <t>6961005</t>
  </si>
  <si>
    <t>1984-1993</t>
  </si>
  <si>
    <t>FIAT /FORD TURBOSTAR 1985-1993 СТ ВЕТР ЗЛ</t>
  </si>
  <si>
    <t>FORD</t>
  </si>
  <si>
    <t>FORD CARGO 1981-1993</t>
  </si>
  <si>
    <t>6963615</t>
  </si>
  <si>
    <t>1981-1993</t>
  </si>
  <si>
    <t>FORD CARGO 1981-1993 СТ ВЕТР</t>
  </si>
  <si>
    <t>FORD ECONOVAN 1985-1992</t>
  </si>
  <si>
    <t>6963450</t>
  </si>
  <si>
    <t>1985-1992</t>
  </si>
  <si>
    <t>FORD ECONOVAN 1985-1992 СТ ВЕТР</t>
  </si>
  <si>
    <t>FORD EUROCARGO 1991-2003</t>
  </si>
  <si>
    <t>6962107</t>
  </si>
  <si>
    <t>1991-2003</t>
  </si>
  <si>
    <t>FORD EUROCARGO 1991-2003 СТ ВЕТР/MAGIRUS EUROCARGO 1991-  СТ ВЕТР</t>
  </si>
  <si>
    <t>6962108</t>
  </si>
  <si>
    <t>FORD EUROCARGO 1991-2003 СТ ВЕТР ЗЛ</t>
  </si>
  <si>
    <t>6963785</t>
  </si>
  <si>
    <t>FORD EUROCARGO 1991-2003 СТ ВЕТР ЗЛЗЛ</t>
  </si>
  <si>
    <t>6100079</t>
  </si>
  <si>
    <t>FORD EUROCARGO 1991-2003  РЕЗ ПРОФ ДЛЯ СТ ВЕТР</t>
  </si>
  <si>
    <t>6994164</t>
  </si>
  <si>
    <t>FORD EUROCARGO 1991-2003 СТ ПЕР ДВ ОП ЛВ/IVECO EUROTECH 1993-1996 СТ ПЕР ДВ ОП ЛВ</t>
  </si>
  <si>
    <t>6991858</t>
  </si>
  <si>
    <t>FORD EUROCARGO 1991-2003 СТ ПЕР ДВ ОП ЛВ ЗЛ/IVECO EUROSTAR 1993-  СТ ПЕР ДВ ОП ЛВ ЗЛ</t>
  </si>
  <si>
    <t>6991859</t>
  </si>
  <si>
    <t>FORD EUROCARGO 1991-2003 СТ ФОРТ ПЕР НЕП ЛВ ЗЛ</t>
  </si>
  <si>
    <t>6994165</t>
  </si>
  <si>
    <t>FORD EUROCARGO 1991-2003 СТ ПЕР ДВ ОП ПР/IVECO EUROTECH 1993-1996 СТ ПЕР ДВ ОП ПР</t>
  </si>
  <si>
    <t>6991864</t>
  </si>
  <si>
    <t>FORD EUROCARGO 1991-2003 СТ ПЕР НЕП ПР/IVECO EUROTECH 1992-1996 СТ ФОРТ ПЕР НЕП ПР</t>
  </si>
  <si>
    <t>6991862</t>
  </si>
  <si>
    <t>FORD EUROCARGO 1991-2003 СТ ПЕР ДВ ОП ПР ЗЛ/IVECO EUROSTAR 1993- СТ ПЕР ДВ ОП ПР ЗЛ</t>
  </si>
  <si>
    <t>6991863</t>
  </si>
  <si>
    <t>FORD EUROCARGO 1991-2003 СТ ФОРТ ПЕР НЕП ПР ЗЛ/IVECO EUROSTAR 1993- СТ ФОРТ ПЕР НЕП ПР ЗЛ</t>
  </si>
  <si>
    <t>FORD TRANSCONTINENTAL,H SERIES 1975-1985</t>
  </si>
  <si>
    <t>6963734</t>
  </si>
  <si>
    <t>1975-1985</t>
  </si>
  <si>
    <t>FORD TRANSCONTINENTAL,H SER 1975-1985 СТ ВЕТР БР</t>
  </si>
  <si>
    <t>6963735</t>
  </si>
  <si>
    <t>FORD TRANSCONTINENTAL,H SER 1975-1985 СТ ВЕТР/RENAULT MAJOR 2P TRUCK CLEAR СТ ВЕТР</t>
  </si>
  <si>
    <t>IVECO</t>
  </si>
  <si>
    <t>IVECO DAILY S 2000 1999-</t>
  </si>
  <si>
    <t>6962122</t>
  </si>
  <si>
    <t>IVECO DAILY S 2000 1999- СТ ВЕТР ЗЛ/IVECO DAILY II 1999- СТ ВЕТР ЗЛ+КР</t>
  </si>
  <si>
    <t>6190903</t>
  </si>
  <si>
    <t>IVECO DAILY II 1999- СТ ВЕТР ЗЛ+КР/IVECO DAILY S 2000 1999- СТ ВЕТР ЗЛ</t>
  </si>
  <si>
    <t>6962185</t>
  </si>
  <si>
    <t>IVECO DAILY II 1999- СТ ВЕТР ЗЛЗЛ+КР/IVECO DAILY II 1999- СТ ВЕТР ЗЛЗЛ+КР</t>
  </si>
  <si>
    <t>6190904</t>
  </si>
  <si>
    <t>6962121</t>
  </si>
  <si>
    <t>IVECO DAILY II 1999- СТ ВЕТР ЗЛ ЭО+КР</t>
  </si>
  <si>
    <t>6101571</t>
  </si>
  <si>
    <t>IVECO DAILY II 1999- МОЛД  ДЛЯ СТ ВЕТР</t>
  </si>
  <si>
    <t>6990308</t>
  </si>
  <si>
    <t>IVECO DAILY S 2000 ПИКАП 1999- СТ ЗАДН ЗЛ ЭО</t>
  </si>
  <si>
    <t>6990311</t>
  </si>
  <si>
    <t>IVECO DAILY S 2000 МИН 1999- СТ ЗАДН ЗЛ ЛВ+УО</t>
  </si>
  <si>
    <t>6990312</t>
  </si>
  <si>
    <t>IVECO DAILY S 2000 МИН 1999- СТ ЗАДН ЗЛ ПР+УО</t>
  </si>
  <si>
    <t>6990310</t>
  </si>
  <si>
    <t>IVECO DAILY S 2000 1999- СТ ПЕР ДВ ОП ЛВ ЗЛ+УО/RENAULT MASTER 12/1999-  VAN 4Д СТ ПЕР ДВ ОП ЛВ ЗЛ+УО</t>
  </si>
  <si>
    <t>6992110</t>
  </si>
  <si>
    <t>IVECO DAILY S 2000 1999- СТ ПЕР ДВ НЕП ЛВ ЗЛ/RENAULT MASTER 12/1999-  VAN 4Д СТ ФОРТ ПЕР НЕП ЛВ ЗЛ</t>
  </si>
  <si>
    <t>6990309</t>
  </si>
  <si>
    <t>IVECO DAILY S 2000 1999- СТ ПЕР ДВ ОП ПР ЗЛ+УО/RENAULT MASTER 12/1999-  VAN 4Д СТ ПЕР ДВ ОП ПР ЗЛ+УО</t>
  </si>
  <si>
    <t>6992111</t>
  </si>
  <si>
    <t>IVECO DAILY S 2000 1999- СТ ПЕР ДВ НЕП ПР ЗЛ/RENAULT MASTER 12/1999-  VAN 4Д СТ ФОТР ПЕР НЕП ПР ЗЛ</t>
  </si>
  <si>
    <t>IVECO EUROTECH 1993-2003/EUROTRAKKER 1996-2003</t>
  </si>
  <si>
    <t>6962113</t>
  </si>
  <si>
    <t>1993-2003</t>
  </si>
  <si>
    <t>IVECO EUROTECH 1993-2003 /EUROTRAKKER 1996-2003 СТ ВЕТР</t>
  </si>
  <si>
    <t>6962114</t>
  </si>
  <si>
    <t>IVECO EUROTECH 1993-2003 /EUROTRAKKER 1996-2003 СТ ВЕТР ЗЛ</t>
  </si>
  <si>
    <t>6100081</t>
  </si>
  <si>
    <t>IVECO EUROTECH 1993-2003 /EUROTRAKKER 1996-2003  РЕЗ ПРОФ ДЛЯ СТ ВЕТР</t>
  </si>
  <si>
    <t>6190174</t>
  </si>
  <si>
    <t>1993-1996</t>
  </si>
  <si>
    <t>IVECO EUROTECH 1993-1996 СТ ПЕР ДВ ОП ЛВ/FORD EUROCARGO 1991-2003 СТ ПЕР ДВ ОП ЛВ</t>
  </si>
  <si>
    <t>6190177</t>
  </si>
  <si>
    <t>IVECO EUROTECH 1993-1996 СТ ПЕР ДВ ОП ПР/FORD EUROCARGO 1991-2003 СТ ПЕР ДВ ОП ПР</t>
  </si>
  <si>
    <t>6190178</t>
  </si>
  <si>
    <t>IVECO EUROTECH 1992-1996 СТ ФОРТ ПЕР НЕП ПР/FORD EUROCARGO 1991-2003 СТ ПЕР НЕП ПР</t>
  </si>
  <si>
    <t>IVECO EUROCARGO 2003-</t>
  </si>
  <si>
    <t>6961533</t>
  </si>
  <si>
    <t>IVECO EUROCARGO 2003- СТ ВЕТР+УО</t>
  </si>
  <si>
    <t>6961247</t>
  </si>
  <si>
    <t>IVECO EUROCARGO 2003- СТ ВЕТР ЗЛ</t>
  </si>
  <si>
    <t>6961534</t>
  </si>
  <si>
    <t>IVECO EUROCARGO 2003- СТ ВЕТР ЗЛ+УО</t>
  </si>
  <si>
    <t>6101572</t>
  </si>
  <si>
    <t>IVECO EUROCARGO 2003 МОЛД  ДЛЯ СТ ВЕТР ВЕРХ</t>
  </si>
  <si>
    <t>IVECO LD, EUROSTAR (STRALIS) 1993-</t>
  </si>
  <si>
    <t>6962104</t>
  </si>
  <si>
    <t>1993-</t>
  </si>
  <si>
    <t>IVECO EUROSTAR 1993-  СТ ВЕТР ЗЛ/FIAT STRALIS 2002  СТ ВЕТР ЗЛ</t>
  </si>
  <si>
    <t>6100080</t>
  </si>
  <si>
    <t>IVECO EUROSTAR 1993-  РЕЗ ПРОФ ДЛЯ СТ ВЕТР</t>
  </si>
  <si>
    <t>6190176</t>
  </si>
  <si>
    <t>IVECO EUROSTAR 1993-  СТ ПЕР ДВ ОП ЛВ ЗЛ/FORD EUROCARGO 1991-2003 СТ ПЕР ДВ ОП ЛВ ЗЛ</t>
  </si>
  <si>
    <t>6190179</t>
  </si>
  <si>
    <t>IVECO EUROSTAR 1993-  СТ ПЕР ДВ ОП ПР ЗЛ/FORD EUROCARGO 1991-2003 СТ ПЕР ДВ ОП ПР ЗЛ</t>
  </si>
  <si>
    <t>LEYLAND/DAF</t>
  </si>
  <si>
    <t>LEYLAND/DAF 200 SER. PILOT VAN 1996-</t>
  </si>
  <si>
    <t>6964031</t>
  </si>
  <si>
    <t>LEYLAND/DAF 200 SER PILOT VAN 1996- СТ ВЕТР</t>
  </si>
  <si>
    <t>6190216</t>
  </si>
  <si>
    <t>LEYLAND/DAF 200 SER PILOT VAN 1996- СТ ПЕР ДВ ОП ЛВ/LEYLAND/DAF 400 SER CONVOY VAN 1996- СТ ПЕР ДВ ОП ЛВ</t>
  </si>
  <si>
    <t>6190217</t>
  </si>
  <si>
    <t>LEYLAND/DAF 200 SER PILOT VAN 1996- СТ ФОРТ ПЕР НЕП ЛВ/LEYLAND/DAF 400 SER CONVOY VAN 1996- СТ ФОР ПЕР ДВ ЛВ</t>
  </si>
  <si>
    <t>6190218</t>
  </si>
  <si>
    <t>LEYLAND/DAF 200 SER PILOT VAN 1996- СТ ПЕР ДВ ОП ПР/LEYLAND/DAF 400 SER CONVOY VAN 1996- СТ ПЕР ДВ ОП ПР</t>
  </si>
  <si>
    <t>6190219</t>
  </si>
  <si>
    <t>LEYLAND/DAF 200 SER PILOT VAN 1996- СТ ФОРТ ПЕР НЕП ПР/LEYLAND/DAF 400 SER CONVOY VAN 1996- СТ ФОРТ ПЕР НЕП ПР</t>
  </si>
  <si>
    <t>LEYLAND/DAF 400 SER. CONVOY VAN 1996-</t>
  </si>
  <si>
    <t>6963462</t>
  </si>
  <si>
    <t>LEYLAND/DAF 400 SER CONVOY VAN 1996- СТ ВЕТР</t>
  </si>
  <si>
    <t>6964009</t>
  </si>
  <si>
    <t>LEYLAND/DAF 400 SER CONVOY VAN 1996- СТ ВЕТР+ИЗМ КР</t>
  </si>
  <si>
    <t>6995553</t>
  </si>
  <si>
    <t>LEYLAND/DAF 400 SER CONVOY VAN 1996- СТ ПЕР ДВ ОП ЛВ/LEYLAND/DAF 200 SER PILOT VAN 1996- СТ ПЕР ДВ ОП ЛВ</t>
  </si>
  <si>
    <t>6995554</t>
  </si>
  <si>
    <t>LEYLAND/DAF 400 SER CONVOY VAN 1996- СТ ФОР ПЕР ДВ ЛВ/LEYLAND/DAF 200 SER PILOT VAN 1996- СТ ФОРТ ПЕР НЕП ЛВ</t>
  </si>
  <si>
    <t>6995555</t>
  </si>
  <si>
    <t>LEYLAND/DAF 400 SER CONVOY VAN 1996- СТ ПЕР ДВ ОП ПР/LEYLAND/DAF 200 SER PILOT VAN 1996- СТ ПЕР ДВ ОП ПР</t>
  </si>
  <si>
    <t>6995556</t>
  </si>
  <si>
    <t>LEYLAND/DAF 400 SER CONVOY VAN 1996- СТ ФОРТ ПЕР НЕП ПР/LEYLAND/DAF 200 SER PILOT VAN 1996- СТ ФОРТ ПЕР НЕП ПР</t>
  </si>
  <si>
    <t>LEYLAND</t>
  </si>
  <si>
    <t>LEYLAND/DAF 45, 600, 800, 1000 1987-</t>
  </si>
  <si>
    <t>6963459</t>
  </si>
  <si>
    <t>1987-2003</t>
  </si>
  <si>
    <t>LEYLAND ROADRUNNER 1987-2003 СТ ВЕТР</t>
  </si>
  <si>
    <t>LEYLAND NC SHERPA VAN+PU+BUS 1974-</t>
  </si>
  <si>
    <t>6963556</t>
  </si>
  <si>
    <t>1974-</t>
  </si>
  <si>
    <t>LEYLAND NC SHERPA VAN+PU+BUS 1974-  СТ ВЕТР/DAF 400 1987-  СТ ВЕТР</t>
  </si>
  <si>
    <t>LEYLAND ROADRUNNER (RUBBER) 1984- LARGE</t>
  </si>
  <si>
    <t>6963460</t>
  </si>
  <si>
    <t>1984-</t>
  </si>
  <si>
    <t>LEYLAND ROADRUNNER (RUBBER) 1984-  СТ ВЕТР</t>
  </si>
  <si>
    <t>LEYLAND W BODIED SHERPA+DAF F400 1983-1996</t>
  </si>
  <si>
    <t>6963458</t>
  </si>
  <si>
    <t>1983-1996</t>
  </si>
  <si>
    <t>LEYLAND W BODIED SHERPA+DAF F400 1983-1996  СТ ВЕТР/DAF 400 1987-  СТ ВЕТР</t>
  </si>
  <si>
    <t>DAIHATSU</t>
  </si>
  <si>
    <t>APPLAUSE 1989-2000</t>
  </si>
  <si>
    <t>6963371</t>
  </si>
  <si>
    <t>DAIHATSU APPLAUSE 1989-2000 СТ ВЕТР ГЛ</t>
  </si>
  <si>
    <t>CHARADE (G11) 1983-1987</t>
  </si>
  <si>
    <t>6963439</t>
  </si>
  <si>
    <t>1983-1987</t>
  </si>
  <si>
    <t>DAIHATSU CHARADE G11 1983-1987 СТ ВЕТР ГЛ</t>
  </si>
  <si>
    <t>CHARADE 1987-1993</t>
  </si>
  <si>
    <t>6963370</t>
  </si>
  <si>
    <t>DAIHATSU CHARADE 1987-1993 СТ ВЕТР ГЛ</t>
  </si>
  <si>
    <t>6964101</t>
  </si>
  <si>
    <t>DAIHATSU CHARADE 1987-1993 СТ ВЕТР</t>
  </si>
  <si>
    <t>6101115</t>
  </si>
  <si>
    <t>DAIHATSU CHARADE 1987-1993 УСТ КОМПЛ ДЛЯ СТ ВЕТР</t>
  </si>
  <si>
    <t>6999341</t>
  </si>
  <si>
    <t>DAIHATSU CHARADE 1987-1993 СТ ПЕР ДВ ОП ЛВ ГЛ</t>
  </si>
  <si>
    <t>6999346</t>
  </si>
  <si>
    <t>DAIHATSU CHARADE 1987-1993 СТ ПЕР ДВ ОП ПР ГЛ</t>
  </si>
  <si>
    <t>CHARADE 1993-2001</t>
  </si>
  <si>
    <t>6964102</t>
  </si>
  <si>
    <t>DAIHATSU CHARADE 3Д/5Д 1993-2001  СТ ВЕТР ГЛ</t>
  </si>
  <si>
    <t>6964103</t>
  </si>
  <si>
    <t>DAIHATSU CHARADE 3Д/5Д 1993-2001  СТ ВЕТР</t>
  </si>
  <si>
    <t>6964315</t>
  </si>
  <si>
    <t>DAIHATSU CHARADE 3Д/5Д 1993-2001  СТ ВЕТР ЗЛ</t>
  </si>
  <si>
    <t>6992458</t>
  </si>
  <si>
    <t>DAIHATSU CHARADE + 1993-2001  СТ ПЕР ДВ ОП ПР ГЛ+УО</t>
  </si>
  <si>
    <t>6992453</t>
  </si>
  <si>
    <t>DAIHATSU CHARADE 4Д (VALERA G203) 1993-2001  СЕД 4Д СТ ЗАДН ДВ ОП ПР ГЛ+УО</t>
  </si>
  <si>
    <t>CUORE 3Д/5Д 2003-</t>
  </si>
  <si>
    <t>6950051</t>
  </si>
  <si>
    <t>DAIHATSU CUORE /CHARADE L251 2003-  СТ ВЕТР ЗЛ</t>
  </si>
  <si>
    <t>CUORE 3Д/5Д 2008-</t>
  </si>
  <si>
    <t>6962754</t>
  </si>
  <si>
    <t>DAIHATSU CUORE 3Д/5Д 2008-  СТ ВЕТР ЗЛ</t>
  </si>
  <si>
    <t>CUORE L501 3Д+5Д 1995-1999</t>
  </si>
  <si>
    <t>6963547</t>
  </si>
  <si>
    <t>DAIHATSU CUORE L501 3Д+5Д 1995-1999  СТ ВЕТР ЗЛ</t>
  </si>
  <si>
    <t>6101347</t>
  </si>
  <si>
    <t>DAIHATSU CUORE 1995-1999 РЕЗ ПРОФ ДЛЯ СТ ВЕТР</t>
  </si>
  <si>
    <t>CUORE V L701 1999-2003</t>
  </si>
  <si>
    <t>6960267</t>
  </si>
  <si>
    <t>DAIHATSU CUORE 1999-2003 СТ ВЕТР ЗЛ</t>
  </si>
  <si>
    <t>6100590</t>
  </si>
  <si>
    <t>DAIHATSU CUORE 1999-2003  МОЛД  ДЛЯ СТ ВЕТР</t>
  </si>
  <si>
    <t>SIRION 2005-</t>
  </si>
  <si>
    <t>6961776</t>
  </si>
  <si>
    <t>DAIHATSU SIRION 2005  СТ ВЕТР ЗЛ</t>
  </si>
  <si>
    <t>6999939</t>
  </si>
  <si>
    <t>DAIHATSU SIRION 2005  СТ ПЕР ДВ ОП ЛВ ЗЛ+УО</t>
  </si>
  <si>
    <t>6900029</t>
  </si>
  <si>
    <t>DAIHATSU SIRION 2005  СТ ПЕР ДВ ОП ПР ЗЛ+УО</t>
  </si>
  <si>
    <t>TERIOS LHD 2006-</t>
  </si>
  <si>
    <t>6962363</t>
  </si>
  <si>
    <t>DAIHATSU TERIOS LHD 2006  СТ ВЕТР ЗЛ</t>
  </si>
  <si>
    <t>6962364</t>
  </si>
  <si>
    <t>DAIHATSU TERIOS LHD 2006  СТ ВЕТР ЗЛ+ЭО</t>
  </si>
  <si>
    <t>FOURTRACK HARDTOP 1984-1994</t>
  </si>
  <si>
    <t>6963541</t>
  </si>
  <si>
    <t>1984-1994</t>
  </si>
  <si>
    <t>DAIHATSU FOURTRACK HARDTOP 1984-1994 СТ ВЕТР ГЛ</t>
  </si>
  <si>
    <t>6963440</t>
  </si>
  <si>
    <t>DAIHATSU FOURTRACK HARDTOP 1984-1994 СТ ВЕТР</t>
  </si>
  <si>
    <t>6963542</t>
  </si>
  <si>
    <t>DAIHATSU FOURTRACK HARDTOP 1984-1994 СТ ВЕТР ЗЛГЛ</t>
  </si>
  <si>
    <t>GRAND MOVE 1997-2003</t>
  </si>
  <si>
    <t>6963611</t>
  </si>
  <si>
    <t>DAIHATSU GRAND MOVE 1997-2003  СТ ВЕТР ЗЛ</t>
  </si>
  <si>
    <t>6100997</t>
  </si>
  <si>
    <t>DAIHATSU GRAND MOVE 1997-2003 МОЛД  ДЛЯ СТ ВЕТР</t>
  </si>
  <si>
    <t>MOVE 1997-1999</t>
  </si>
  <si>
    <t>6963549</t>
  </si>
  <si>
    <t>1997-1999</t>
  </si>
  <si>
    <t>DAIHATSU MOVE 1997-1999  СТ ВЕТР ЗЛЗЛ/PERODUA KENARI 2000- СТ ВЕТР ЗЛЗЛ</t>
  </si>
  <si>
    <t>6101099</t>
  </si>
  <si>
    <t>DAIHATSU MOVE 1997-1999  РЕЗ ПРОФ ДЛЯ СТ ВЕТР</t>
  </si>
  <si>
    <t>6991704</t>
  </si>
  <si>
    <t>DAIHATSU MOVE МИН 1997-1999  СТ ЗАДН ЗЛ/PERODUA KENARI 2000- СТ ЗАДН ЗЛ</t>
  </si>
  <si>
    <t>MOVE L901 12/1999-</t>
  </si>
  <si>
    <t>6960982</t>
  </si>
  <si>
    <t>1999-</t>
  </si>
  <si>
    <t>DAIHATSU MOVEL 901 12/1999 СТ ВЕТР ЗЛ/PERODUA KENARI 2005- СТ ВЕТР ЗЛ</t>
  </si>
  <si>
    <t>6101183</t>
  </si>
  <si>
    <t>DAIHATSU MOVEL 901 12/1999  МОЛД  ДЛЯ СТ ВЕТР</t>
  </si>
  <si>
    <t>SIRION 1999-2005</t>
  </si>
  <si>
    <t>6960697</t>
  </si>
  <si>
    <t>DAIHATSU SIRION 5Д 1999-2005 СТ ВЕТР ЗЛ</t>
  </si>
  <si>
    <t>6950052</t>
  </si>
  <si>
    <t>DAIHATSU SIRION 5Д 1999-2005 СТ ВЕТР ЗЛГЛ</t>
  </si>
  <si>
    <t>6100996</t>
  </si>
  <si>
    <t>DAIHATSU SIRION 5Д 1998-2005  МОЛД  ДЛЯ СТ ВЕТР</t>
  </si>
  <si>
    <t>6992461</t>
  </si>
  <si>
    <t>DAIHATSU SIRION 5Д 1999-2005 СТ ЗАДН ДВ ОП ЛВ ЗЛ+УО</t>
  </si>
  <si>
    <t>6992460</t>
  </si>
  <si>
    <t>DAIHATSU SIRION 5Д 1999-2005 СТ ПЕР ДВ ОП ПР ЗЛ+УО</t>
  </si>
  <si>
    <t>6992462</t>
  </si>
  <si>
    <t>DAIHATSU SIRION 5Д 1999-2005 СТ ЗАДН ДВ ОП ПР ЗЛ+УО</t>
  </si>
  <si>
    <t>SPORT TRACK 1989-1998</t>
  </si>
  <si>
    <t>6963543</t>
  </si>
  <si>
    <t>DAIHATSU SPORT TRACK 1989-1998 СТ ВЕТР ГЛ</t>
  </si>
  <si>
    <t>6101027</t>
  </si>
  <si>
    <t>DAIHATSU SPORT TRACK 1989-1998  РЕЗ ПРОФ ДЛЯ СТ ВЕТР</t>
  </si>
  <si>
    <t>TERIOS 1997-2006</t>
  </si>
  <si>
    <t>6963208</t>
  </si>
  <si>
    <t>1997-2006</t>
  </si>
  <si>
    <t>DAIHATSU TERIOS 1997-2006 СТ ВЕТР</t>
  </si>
  <si>
    <t>6960698</t>
  </si>
  <si>
    <t>DAIHATSU TERIOS 1997-2006 СТ ВЕТР ЗЛЗЛ</t>
  </si>
  <si>
    <t>DAIHATSU TERIOS 1997-2006 МОЛД  ДЛЯ СТ ВЕТР</t>
  </si>
  <si>
    <t>6992463</t>
  </si>
  <si>
    <t>DAIHATSU TERIOS 1997-2006 СТ ПЕР ДВ ОП ЛВ ЗЛ+УО</t>
  </si>
  <si>
    <t>6992464</t>
  </si>
  <si>
    <t>DAIHATSU TERIOS 1997-2006 СТ ПЕР ДВ ОП ПР ЗЛ+УО</t>
  </si>
  <si>
    <t>6980407</t>
  </si>
  <si>
    <t>DAIHATSU TERIOS 1997-2006 СТ ЗАДН ДВ ОП ПР ЗЛ+УО</t>
  </si>
  <si>
    <t>YRV 5Д ХБ 2001-</t>
  </si>
  <si>
    <t>6960848</t>
  </si>
  <si>
    <t>DAIHATSU YRV 5Д ХБ 2001-  СТ ВЕТР ЗЛ</t>
  </si>
  <si>
    <t>DODGE</t>
  </si>
  <si>
    <t>AVENGER 4Д 2007-</t>
  </si>
  <si>
    <t>6963044</t>
  </si>
  <si>
    <t>DODGE AVENGER 4Д СД 2007- СТ ВЕТР ЗЛ+VIN/CHRYSLER SEBRING СД 4D 2007- СТ ВЕТР ЗЛ+VIN</t>
  </si>
  <si>
    <t>CALIBER 2007-</t>
  </si>
  <si>
    <t>6962433</t>
  </si>
  <si>
    <t>DODGE CALIBER 2007-  СТ ВЕТР ЗЛ</t>
  </si>
  <si>
    <t>6999494</t>
  </si>
  <si>
    <t>DODGE CALIBER МИН 2007-  СТ ЗАДН ЗЛ</t>
  </si>
  <si>
    <t>6999938</t>
  </si>
  <si>
    <t>DODGE CALIBER 2007-  СТ ПЕР ДВ ОП ЛВ ЗЛ</t>
  </si>
  <si>
    <t>6900133</t>
  </si>
  <si>
    <t>DODGE CALIBER 2007-  СТ ЗАДН ДВ ОП ЛВ ЗЛ</t>
  </si>
  <si>
    <t>6900028</t>
  </si>
  <si>
    <t>DODGE CALIBER 2007-  СТ ПЕР ДВ ОП ПР ЗЛ</t>
  </si>
  <si>
    <t>6900368</t>
  </si>
  <si>
    <t>DODGE CALIBER 2007-  СТ ЗАДН ДВ ОП ПР ЗЛ</t>
  </si>
  <si>
    <t>GRAND CARAVAN 2008-</t>
  </si>
  <si>
    <t>6190929</t>
  </si>
  <si>
    <t>DODGE GRAND CARAVAN 2008- СТ ВЕТР ЗЛ+VIN/CHRYSLER GRAND VOYAGER 2008- СТ ВЕТР ЗЛ+VIN</t>
  </si>
  <si>
    <t>NITRO 2007-</t>
  </si>
  <si>
    <t>6963045</t>
  </si>
  <si>
    <t>DODGE NITRO 2007- СТ ВЕТР ЗЛ+VIN</t>
  </si>
  <si>
    <t>6900637</t>
  </si>
  <si>
    <t>DODGE NITRO 2007- СТ ПЕР ДВ ОП ЛВ ЗЛ</t>
  </si>
  <si>
    <t>6900636</t>
  </si>
  <si>
    <t>DODGE NITRO 2007- СТ ПЕР ДВ ОП ПР ЗЛ</t>
  </si>
  <si>
    <t>ERF</t>
  </si>
  <si>
    <t>ES SER 1988-</t>
  </si>
  <si>
    <t>6190228</t>
  </si>
  <si>
    <t>ERF ES SER 1988-  СТ ВЕТР/MAN L00 1993-1997  СТ ВЕТР</t>
  </si>
  <si>
    <t>FERRARI</t>
  </si>
  <si>
    <t>SCAGLIETTI 2005-</t>
  </si>
  <si>
    <t>6960495</t>
  </si>
  <si>
    <t>FERRARI SCAGLIETTI 2005- СТ ВЕТР ЗЛ ДД+VIN+ИНК</t>
  </si>
  <si>
    <t>126 1973-1987</t>
  </si>
  <si>
    <t>6960003</t>
  </si>
  <si>
    <t>1973-1987</t>
  </si>
  <si>
    <t>FIAT 126 1973-1987 СТ ВЕТР</t>
  </si>
  <si>
    <t>127 СЕД+ХБ+FIORINO 1971-1983</t>
  </si>
  <si>
    <t>6960026</t>
  </si>
  <si>
    <t>1971-1983</t>
  </si>
  <si>
    <t>FIAT 127 СЕД+ХБ+FIORINO 1971-1983 СТ ВЕТР</t>
  </si>
  <si>
    <t>500 3Д 2007-</t>
  </si>
  <si>
    <t>6962543</t>
  </si>
  <si>
    <t>FIAT 500 3Д 2007- СТ ВЕТР ЗЛ+ИНК</t>
  </si>
  <si>
    <t>6962544</t>
  </si>
  <si>
    <t>FIAT 500 3Д 2007- СТ ВЕТР ЗЛ+ИНК+ИЗМ ШЕЛК</t>
  </si>
  <si>
    <t>6900814</t>
  </si>
  <si>
    <t>FIAT 500 3Д ХБ 2007- СТ ЗАДН ЗЛ+СТОП</t>
  </si>
  <si>
    <t>6900602</t>
  </si>
  <si>
    <t>FIAT 500 3Д 2007- СТ ПЕР ДВ ОП ЛВ ЗЛ+УО</t>
  </si>
  <si>
    <t>6900601</t>
  </si>
  <si>
    <t>FIAT 500 3Д 2007- СТ ПЕР ДВ ОП ПР ЗЛ+УО</t>
  </si>
  <si>
    <t>ALBEA 2003-</t>
  </si>
  <si>
    <t>6961677</t>
  </si>
  <si>
    <t>FIAT ALBEA СЕД 2003- СТ ВЕТР ЗЛ</t>
  </si>
  <si>
    <t>6963259</t>
  </si>
  <si>
    <t>FIAT ALBEA СЕД 2003- СТ ВЕТР ЗЛГЛ</t>
  </si>
  <si>
    <t>6100279</t>
  </si>
  <si>
    <t>FIAT ALBEA СЕД+УН 1997-  МОЛД  ДЛЯ СТ ВЕТР</t>
  </si>
  <si>
    <t>6994967</t>
  </si>
  <si>
    <t>FIAT ALBEA СЕД 2003- СТ ПЕР ДВ ОП ПР ЗЛ</t>
  </si>
  <si>
    <t>6994968</t>
  </si>
  <si>
    <t>FIAT ALBEA СЕД 2003- СТ ПЕР ДВ ОП ЛВ ЗЛ</t>
  </si>
  <si>
    <t>6994969</t>
  </si>
  <si>
    <t>FIAT ALBEA СЕД 2003- СТ ЗАДН ДВ ОП ПР ЗЛ</t>
  </si>
  <si>
    <t>6994970</t>
  </si>
  <si>
    <t>FIAT ALBEA СЕД 2003- СТ ЗАДН ДВ ОП ЛВ ЗЛ</t>
  </si>
  <si>
    <t>6994964</t>
  </si>
  <si>
    <t>FIAT ALBEA СД 2003- СТ ЗАДН ЗЛ ЭО+ИЗМ РАЗМ</t>
  </si>
  <si>
    <t>BARCHETTA 1995-2002</t>
  </si>
  <si>
    <t>6961220</t>
  </si>
  <si>
    <t>FIAT BARCHETTA 1995-2002 СТ ВЕТР ЗЛ</t>
  </si>
  <si>
    <t>6100058</t>
  </si>
  <si>
    <t>FIAT BARCHETTA 1994-2002  МОЛД  ДЛЯ СТ ВЕТР</t>
  </si>
  <si>
    <t>6991117</t>
  </si>
  <si>
    <t>FIAT BARCHETTA 1995-2002 СТ ПЕР ДВ ОП ЛВ ЗЛ</t>
  </si>
  <si>
    <t>6991116</t>
  </si>
  <si>
    <t>FIAT BARCHETTA 1995-2002 СТ ПЕР ДВ ОП ПР ЗЛ</t>
  </si>
  <si>
    <t>BRAVO/BRAVA/MAREA 1995-2001</t>
  </si>
  <si>
    <t>6963781</t>
  </si>
  <si>
    <t>FIAT BRAVO /BRAVA/MAREA 1995-2001+MAREA 1996-2001 СТ ВЕТР ЗЛГЛ+ИЗМ ШЕЛК</t>
  </si>
  <si>
    <t>6963782</t>
  </si>
  <si>
    <t>FIAT BRAVO /BRAVA/MAREA 1995-2001+MAREA 1996-2001 СТ ВЕТР ЗЛЗЛ+ИЗМ ШЕЛК</t>
  </si>
  <si>
    <t>6960049</t>
  </si>
  <si>
    <t>FIAT BRAVO /BRAVA/MAREA 1995-2001+MAREA 1996-2001 СТ ВЕТР ЗЛ+ИЗМ ШЕЛК</t>
  </si>
  <si>
    <t>6100059</t>
  </si>
  <si>
    <t>FIAT BRAVO /BRAVA/MAREA 1995-2001  МОЛД  ДЛЯ СТ ВЕТР С АЛЮМ ВСТ</t>
  </si>
  <si>
    <t>6996166</t>
  </si>
  <si>
    <t>FIAT BRAVO /BRAVA/MAREA УН 1995-2001 СТ ЗАДН ЗЛ+СТОП+УО+ИЗМ РАЗМ</t>
  </si>
  <si>
    <t>6998885</t>
  </si>
  <si>
    <t>FIAT BRAVO /BRAVA/MAREA УН 1996-2001 СТ ЗАДН ЭО ЗЛ+СТОП+ИНК</t>
  </si>
  <si>
    <t>6998723</t>
  </si>
  <si>
    <t>FIAT BRAVO /BRAVA/MAREA ХБ 1995-2001 СТ ЗАДН ЭО ЗЛ ОТВ+ИЗМ РАЗМ</t>
  </si>
  <si>
    <t>6998724</t>
  </si>
  <si>
    <t>FIAT BRAVO /BRAVA/MAREA ХБ 1995-2001 СТ ЗАДН ЗЛ+ИНК+СТОП</t>
  </si>
  <si>
    <t>6993622</t>
  </si>
  <si>
    <t>FIAT BRAVO /BRAVA/MAREA УН 1996-2001 СТ ЗАДН ДВ ОП ЛВ ЗЛ ФИТ</t>
  </si>
  <si>
    <t>6993631</t>
  </si>
  <si>
    <t>FIAT BRAVO /BRAVA/MAREA 1995-2001 СТ ПЕР ДВ ОП ЛВ ЗЛ+ФИТ</t>
  </si>
  <si>
    <t>6993618</t>
  </si>
  <si>
    <t>FIAT BRAVO /BRAVA/MAREA 1995-2001 +MAREAСД/УН 1996-2001  СТ ПЕР ДВ ОП ЛВ ЗЛ+ФИТ</t>
  </si>
  <si>
    <t>6994377</t>
  </si>
  <si>
    <t>FIAT BRAVO /BRAVA/MAREA 1995-2001  СТ ЗАДН ДВ ОП ЛВ ЗЛ+УО</t>
  </si>
  <si>
    <t>6993620</t>
  </si>
  <si>
    <t>FIAT BRAVO /BRAVA/MAREA СД 1996-2001 СТ ЗАДН ДВ ОП ЛВ ЗЛ+ФИТ</t>
  </si>
  <si>
    <t>6994378</t>
  </si>
  <si>
    <t>FIAT BRAVO /BRAVA/MAREA СЕД 1996-2001  ФОРТ ЗАДН НЕП ЛВ ЗЛ</t>
  </si>
  <si>
    <t>6993621</t>
  </si>
  <si>
    <t>FIAT BRAVO /BRAVA/MAREA УН 1996-2001 СТ ЗАДН ДВ ОП ПР ЗЛ+ФИТ</t>
  </si>
  <si>
    <t>6993630</t>
  </si>
  <si>
    <t>FIAT BRAVO /BRAVA/MAREA 1995-2001 СТ ПЕР ДВ ОП ПР ЗЛ+ФИТ+ОТВ</t>
  </si>
  <si>
    <t>6993617</t>
  </si>
  <si>
    <t>FIAT BRAVO /BRAVA/MAREA 1995-2001 +MAREAСД/УН 1996-2001  СТ ПЕР ДВ ОП ПР ЗЛ+ФИТ</t>
  </si>
  <si>
    <t>6994379</t>
  </si>
  <si>
    <t>FIAT BRAVO /BRAVA/MAREA 1995-2001  СТ ЗАДН ДВ ОП ПР ЗЛ+УО</t>
  </si>
  <si>
    <t>6993619</t>
  </si>
  <si>
    <t>FIAT BRAVO /BRAVA/MAREA СД 1996-2001 СТ ЗАДН ДВ ОП ПР ЗЛ+ФИТ</t>
  </si>
  <si>
    <t>6994380</t>
  </si>
  <si>
    <t>FIAT BRAVO /BRAVA/MAREA СД 1996-2001 СТ БОК НЕП ПР ЗЛ</t>
  </si>
  <si>
    <t>BRAVO LHD 5Д 2007-</t>
  </si>
  <si>
    <t>6962235</t>
  </si>
  <si>
    <t>FIAT BRAVO LHD 2007-  СТ ВЕТР ЗЛ+ДД+ИНК+ИЗМ ШЕЛК</t>
  </si>
  <si>
    <t>6962234</t>
  </si>
  <si>
    <t>FIAT BRAVO LHD 2007-  СТ ВЕТР ЗЛ+ИНК</t>
  </si>
  <si>
    <t>6900854</t>
  </si>
  <si>
    <t>FIAT BRAVO 5Д ХБ 2007- СТ ЗАДН ДВ ЗЛ+ИНК</t>
  </si>
  <si>
    <t>6900855</t>
  </si>
  <si>
    <t>FIAT BRAVO 5Д 2007- СТ ПЕР ДВ ОП ЛВ ЗЛ+УО</t>
  </si>
  <si>
    <t>6900815</t>
  </si>
  <si>
    <t>FIAT BRAVO 5Д 2007- СТ ПЕР ДВ ОП ЛВ ЗЛ+УО+ИЗМ ТОЛЩ</t>
  </si>
  <si>
    <t>6900816</t>
  </si>
  <si>
    <t>FIAT BRAVO 5Д 2007- СТ ПЕР ДВ ОП ПР ЗЛ+УО+ИЗМ ТОЛЩ</t>
  </si>
  <si>
    <t>6900856</t>
  </si>
  <si>
    <t>FIAT BRAVO 5Д 2007- СТ ЗАДН ДВ ОП ПР ЗЛ+УО</t>
  </si>
  <si>
    <t>CINQUECENTO/MICRO/500 1992-1998</t>
  </si>
  <si>
    <t>6960010</t>
  </si>
  <si>
    <t>FIAT CINQUECENTO 1992-1998 СТ ВЕТР</t>
  </si>
  <si>
    <t>6960012</t>
  </si>
  <si>
    <t>FIAT CINQUECENTO 1992-1998 СТ ВЕТР ЗЛ</t>
  </si>
  <si>
    <t>6950054</t>
  </si>
  <si>
    <t>FIAT CINQUECENTO 1992-1998 СТ ВЕТР ЗЛЗЛ</t>
  </si>
  <si>
    <t>6100277</t>
  </si>
  <si>
    <t>FIAT CINQUECENTO 1992-1998 РЕЗ ПРОФ ДЛЯ СТ ВЕТР</t>
  </si>
  <si>
    <t>6990240</t>
  </si>
  <si>
    <t>FIAT CINQUECENTO ХБ 1992-1998 СТ ЗАДН ЭО ЗЛ</t>
  </si>
  <si>
    <t>6100416</t>
  </si>
  <si>
    <t>FIAT CINQUECENTO 1992-1998 РЕЗ ПРОФ ДЛЯ СТ ЗАДН</t>
  </si>
  <si>
    <t>6990242</t>
  </si>
  <si>
    <t>FIAT CINQUECENTO 1992-1998 СТ ПЕР ДВ ОП ЛВ ЗЛ/FIAT SEICENTO 1998- СТ ПЕР ДВ ОП ЛВ ЗЛ</t>
  </si>
  <si>
    <t>6990249</t>
  </si>
  <si>
    <t>FIAT CINQUECENTO 1992-1998 СТ БОК ПОД ЛВ ЗЛ</t>
  </si>
  <si>
    <t>6990241</t>
  </si>
  <si>
    <t>FIAT CINQUECENTO 1992-1998 СТ ПЕР ДВ ОП ПР ЗЛ/FIAT SEICENTO 1998- СТ ПЕР ДВ ОП ПР ЗЛ</t>
  </si>
  <si>
    <t>6990248</t>
  </si>
  <si>
    <t>FIAT CINQUECENTO 1992-1998 СТ БОК ПОД ПР ЗЛ+ОТКР</t>
  </si>
  <si>
    <t>CROMA/THEMA 1985-1996</t>
  </si>
  <si>
    <t>6960169</t>
  </si>
  <si>
    <t>1985-1996</t>
  </si>
  <si>
    <t>FIAT CROMA 1985-1996  СТ ВЕТР ГЛ</t>
  </si>
  <si>
    <t>6960066</t>
  </si>
  <si>
    <t>FIAT CROMA 1985-1996  СТ ВЕТР БР</t>
  </si>
  <si>
    <t>6960068</t>
  </si>
  <si>
    <t>FIAT CROMA 1985-1996  СТ ВЕТР ЗЛ/LANCIA THEMA SAL+EST 1985-1996  СТ ВЕТР ЗЛ</t>
  </si>
  <si>
    <t>6100046</t>
  </si>
  <si>
    <t>FIAT CROMA 1990-  МОЛД  ДЛЯ СТ ВЕТР</t>
  </si>
  <si>
    <t>6990079</t>
  </si>
  <si>
    <t>FIAT CROMA 1985-1996  СТ ЗАДН ДВ ОП ЛВ ГЛ+ФИТ</t>
  </si>
  <si>
    <t>6990177</t>
  </si>
  <si>
    <t>FIAT CROMA 1985-1996  СТ ПЕР ДВ ОП ЛВ ЗЛ+ФИТ</t>
  </si>
  <si>
    <t>6990170</t>
  </si>
  <si>
    <t>FIAT CROMA 1985-1996  СТ ЗАДН ДВ ОП ПР ГЛ+ФИТ</t>
  </si>
  <si>
    <t>6990176</t>
  </si>
  <si>
    <t>FIAT CROMA 1985-1996  СТ ПЕР ДВ ОП ПР ЗЛ+ФИТ</t>
  </si>
  <si>
    <t>CROMA 2005-</t>
  </si>
  <si>
    <t>6961410</t>
  </si>
  <si>
    <t>FIAT CROMA 2005  СТ ВЕТР ЗЛ+ДД+ИНК+АКУСТИК+ИЗМ LOGO</t>
  </si>
  <si>
    <t>6961405</t>
  </si>
  <si>
    <t>FIAT CROMA 2005  СТ ВЕТР ЗЛ+ИНК+АКУСТИК+ИЗМ LOGO</t>
  </si>
  <si>
    <t>6996488</t>
  </si>
  <si>
    <t>FIAT CROMA ХБ 2005  СТ ЗАДН ЗЛ+СТОП+ИНК</t>
  </si>
  <si>
    <t>6992174</t>
  </si>
  <si>
    <t>6993342</t>
  </si>
  <si>
    <t>FIAT CROMA 2005 5Д СТ ЗАДН ДВ ОП ЛВ ТЗЛ+УО</t>
  </si>
  <si>
    <t>6992169</t>
  </si>
  <si>
    <t>FIAT CROMA 2005 СТ ПЕР ДВ ОП ЛВ ЗЛ</t>
  </si>
  <si>
    <t>6992171</t>
  </si>
  <si>
    <t>FIAT CROMA 2005 5Д СТ ЗАДН ДВ ОП ЛВ ЗЛ+УО</t>
  </si>
  <si>
    <t>6993341</t>
  </si>
  <si>
    <t>FIAT CROMA 2005 СТ ЗАДН ДВ ОП ПР ТЗЛ+УО</t>
  </si>
  <si>
    <t>6992168</t>
  </si>
  <si>
    <t>FIAT CROMA 2005 СТ ПЕР ДВ ОП ПР ЗЛ</t>
  </si>
  <si>
    <t>6992170</t>
  </si>
  <si>
    <t>FIAT CROMA 2005 СТ ЗАДН ДВ ОП ПР ЗЛ+УО</t>
  </si>
  <si>
    <t>DOBLO VAN 2001-</t>
  </si>
  <si>
    <t>6960531</t>
  </si>
  <si>
    <t>FIAT DOBLO VAN 2001 СТ ВЕТР ЗЛ</t>
  </si>
  <si>
    <t>6961948</t>
  </si>
  <si>
    <t>FIAT DUBLO VAN 2001 СТ ВЕТР ЗЛГЛ</t>
  </si>
  <si>
    <t>6950055</t>
  </si>
  <si>
    <t>FIAT DOBLO VAN 2001- СТ ВЕТР ЗЛЗЛ</t>
  </si>
  <si>
    <t>6100278</t>
  </si>
  <si>
    <t>FIAT DOBLO VAN 2001  МОЛД  ДЛЯ СТ ВЕТР ВЕРХ</t>
  </si>
  <si>
    <t>6995236</t>
  </si>
  <si>
    <t>FIAT DUBLO VAN 2001 СТ ЗАДН НЕП ПР ЗЛ+ОТКР</t>
  </si>
  <si>
    <t>DOBLO  2010-</t>
  </si>
  <si>
    <t>6965123</t>
  </si>
  <si>
    <t>FIAT DOBLO 2010 СТ ВЕТР ЗЛ+VIN</t>
  </si>
  <si>
    <t>FIAT DUCATO 1982-1994</t>
  </si>
  <si>
    <t>6961215</t>
  </si>
  <si>
    <t>FIAT DUCATO 1982-1994 СТ ВЕТР БР/CITROEN C25 VAN 1982-1994 СТ ВЕТР БР</t>
  </si>
  <si>
    <t>6961213</t>
  </si>
  <si>
    <t>FIAT DUCATO 1982-1994 СТ ВЕТР/CITROEN C25 VAN 1982-1994 СТ ВЕТР</t>
  </si>
  <si>
    <t>6963449</t>
  </si>
  <si>
    <t>FIAT DUCATO 1982-1994 СТ ВЕТР ЗЛ</t>
  </si>
  <si>
    <t>6964584</t>
  </si>
  <si>
    <t>FIAT DUCATO 1982-1994 СТ ВЕТР ЗЛГЛ</t>
  </si>
  <si>
    <t>6961214</t>
  </si>
  <si>
    <t>FIAT DUCATO 1982-1994 СТ ВЕТР ЗЛЗЛ/CITROEN C25 VAN 1982-1994 СТ ВЕТР ЗЛЗЛ</t>
  </si>
  <si>
    <t>6100075</t>
  </si>
  <si>
    <t>FIAT DUCATO 1982-1994 РЕЗ ПРОФ ДЛЯ СТ ВЕТР</t>
  </si>
  <si>
    <t>6994433</t>
  </si>
  <si>
    <t>FIAT DUCATO 1982-1994 СТ ПЕР ДВ ОП ЛВ С 1990</t>
  </si>
  <si>
    <t>6994435</t>
  </si>
  <si>
    <t>FIAT DUCATO 1982-1994 СТ ПЕР ДВ ОП ПР С 1990</t>
  </si>
  <si>
    <t>DUCATO II 1994-</t>
  </si>
  <si>
    <t>6190043</t>
  </si>
  <si>
    <t>FIAT DUCATO II 1994-  СТ ВЕТР+КР+ИЗМ ШЕЛК/CITROEN JUMPER 1998-2006  СТ ВЕТР КР+ИЗМ ШЕЛК</t>
  </si>
  <si>
    <t>6190044</t>
  </si>
  <si>
    <t>FIAT DUCATO II 1994- СТ ВЕТР ЗЛ+КР+ИЗМ ШЕЛК/CITROEN JUMPER 1998-2006  СТ ВЕТР ЗЛ КР+ИЗМ ШЕЛК</t>
  </si>
  <si>
    <t>6190653</t>
  </si>
  <si>
    <t>FIAT DUCATO II 1994-  СТ ВЕТР ЗЛГЛ+КР/CITROEN JUMPER 1998-2006  СТ ВЕТР ЗЛГЛ КР+ИЗМ ШЕЛК</t>
  </si>
  <si>
    <t>6190046</t>
  </si>
  <si>
    <t>FIAT DUCATO II 1994-  СТ ВЕТР ЗЛЗЛ/CITROEN JUMPER 1998-2006  СТ ВЕТР ЗЛЗЛ+ИЗМ ШЕЛК</t>
  </si>
  <si>
    <t>6962386</t>
  </si>
  <si>
    <t>FIAT DUCATO 1994-  СТ ВЕТР ЗЛ</t>
  </si>
  <si>
    <t>6100082</t>
  </si>
  <si>
    <t>FIAT DUCATO II 1994  МОЛД  ДЛЯ СТ ВЕТР</t>
  </si>
  <si>
    <t>6901011</t>
  </si>
  <si>
    <t>FIAT DUCATO 1994- СТ ЗАДН ПР БЭО</t>
  </si>
  <si>
    <t>6901012</t>
  </si>
  <si>
    <t>FIAT DUCATO 1994- СТ ЗАДН ЛВ БЭО</t>
  </si>
  <si>
    <t>6995234</t>
  </si>
  <si>
    <t>FIAT DUCATO II МИН 1994- СТ ЗАДН ЭО ПР/CITROEN JUMPER 1994-2006  СТ ЗАДН ПР Б/ЭО+ИЗМ РАЗМ</t>
  </si>
  <si>
    <t>6190047</t>
  </si>
  <si>
    <t>FIAT DUCATO II 1994-  СТ ПЕР ДВ ОП ЛВ/CITROEN JUMPER 1994-2006  СТ ПЕР ДВ ОП ЛВ</t>
  </si>
  <si>
    <t>6190048</t>
  </si>
  <si>
    <t>FIAT DUCATO II 1994-  СТ ФОРТ ПЕР НЕП ЛВ/CITROEN JUMPER 1994-2006  СТ ФОРТ ПЕР НЕП ЛВ</t>
  </si>
  <si>
    <t>6190049</t>
  </si>
  <si>
    <t>FIAT DUCATO II 1994- СТ ПЕР ДВ ОП ЛВ ЗЛ/CITROEN JUMPER 1994-2006  СТ ПЕР ДВ ОП ЛВ ЗЛ</t>
  </si>
  <si>
    <t>6190051</t>
  </si>
  <si>
    <t>FIAT DUCATO II 1994- СТ ПЕР ДВ ОП ПР/CITROEN JUMPER 1994-2006  СТ ПЕР ДВ ОП ПР</t>
  </si>
  <si>
    <t>6190053</t>
  </si>
  <si>
    <t>FIAT DUCATO II 1994-  СТ ПЕР ДВ ОП ПР ЗЛ/CITROEN JUMPER 1994-2006  СТ ПЕР ДВ ОП ПР ЗЛ</t>
  </si>
  <si>
    <t>6997763</t>
  </si>
  <si>
    <t>FIAT DUCATO1994- СТ ПЕР ДВ ОП ЛВ ЗЛ+УО</t>
  </si>
  <si>
    <t>6997764</t>
  </si>
  <si>
    <t>FIAT DUCATO 1994- СТ ФОРТ ПЕР НЕПОДВ ПР ЗЛ</t>
  </si>
  <si>
    <t>6997762</t>
  </si>
  <si>
    <t>FIAT DUCATO 1994- СТ ПЕР ДВ ОП ПР ЗЛ+УО</t>
  </si>
  <si>
    <t>6997765</t>
  </si>
  <si>
    <t>FIAT DUCATO 1994- СТ ФОРТ ПЕР НЕПОДВ ЛВ ЗЛ</t>
  </si>
  <si>
    <t>FIAT DUCATO III 2006-</t>
  </si>
  <si>
    <t>6190879</t>
  </si>
  <si>
    <t>FIAT DUCATO III 2006-  СТ ВЕТР ТЕПЛООТР+VIN+ИНК/CITROEN JUMPER II 2006-  СТ ВЕТР ТЕПЛООТР+VIN+ИНК</t>
  </si>
  <si>
    <t>6190834</t>
  </si>
  <si>
    <t>FIAT DUCATO III 2006-  СТ ВЕТР ЗЛ+ДД+VIN+ИНК+КР/CITROEN JUMPER II 2006-  СТ ВЕТР ЗЛ+ДД+VIN+ИНК+ИЗМ ШЕЛК</t>
  </si>
  <si>
    <t>6190730</t>
  </si>
  <si>
    <t>FIAT DUCATO III 2006-  СТ ВЕТР ЗЛ+VIN+ИНК/CITROEN JUMPER II 2006-  СТ ВЕТР ЗЛ+VIN+ИНК</t>
  </si>
  <si>
    <t>IDEA 2004-</t>
  </si>
  <si>
    <t>6960445</t>
  </si>
  <si>
    <t>FIAT IDEA МИН 2004-/LANCIA MUSA 2004-  СТ ВЕТР ЗЛ/LANCIA MUSA МИН 2004-  СТ ВЕТР ЗЛ</t>
  </si>
  <si>
    <t>6962225</t>
  </si>
  <si>
    <t>FIAT IDEA МИН 2004- СТ ВЕТР ЗЛЗЛ/LANCIA MUSA МИН 2004-  СТ ВЕТР ЗЛЗЛ</t>
  </si>
  <si>
    <t>6960713</t>
  </si>
  <si>
    <t>FIAT IDEA МИН 2004-/LANCIA MUSA 2004- СТ ВЕТР ЗЛ+ДД/LANCIA MUSA МИН 2004-  СТ ВЕТР ЗЛ+ДД</t>
  </si>
  <si>
    <t>6961675</t>
  </si>
  <si>
    <t>FIAT IDEA МИН 2004-/LANCIA MUSA 2004- СТ ВЕТР ЗЛ+VIN/LANCIA MUSA МИН 2004-  СТ ВЕТР ЗЛ+VIN</t>
  </si>
  <si>
    <t>6992529</t>
  </si>
  <si>
    <t>FIAT IDEA МИН 2004- СТ ЗАДН ЭО ТЗЛ+СТОП</t>
  </si>
  <si>
    <t>6992021</t>
  </si>
  <si>
    <t>FIAT IDEA МИН 2004-  СТ ЗАДН ЗЛ ЭО+СТОП</t>
  </si>
  <si>
    <t>6992527</t>
  </si>
  <si>
    <t>FIAT IDEA MPV 2004- СТ ЗАДН ДВ ОП ЛВ ТЗЛ+УО/LANCIA MUSA MPV 2004-  СТ ЗАДН ДВ ОП ЛВ ТЗЛ+УО</t>
  </si>
  <si>
    <t>6992582</t>
  </si>
  <si>
    <t>FIAT IDEA MPV 2004- СТ БОК НЕП ЛВ ТЗЛ+ИНК/LANCIA MUSA MPV 2004-  СТ ЗАДН НЕП ЛВ ТЗЛ+ИНК</t>
  </si>
  <si>
    <t>6992011</t>
  </si>
  <si>
    <t>FIAT IDEA MPV 2004-/LANCIA MUSA 2004- СТ ПЕР ДВ ОП ЛВ ЗЛ+УО/LANCIA MUSA MPV 2004-  СТ ПЕР ДВ ОП ЛВ ЗЛ+УО</t>
  </si>
  <si>
    <t>6992062</t>
  </si>
  <si>
    <t>FIAT IDEA MPV 2004-/LANCIA MUSA 2004- СТ ПЕР НЕП ЛВ ЗЛ+АНТ+УО/LANCIA MUSA MPV 2004-  СТ БОК ПЕР НЕП ЛВ ЗЛ+АНТ+УО</t>
  </si>
  <si>
    <t>6992019</t>
  </si>
  <si>
    <t>FIAT IDEA MPV 2004-/LANCIA MUSA 2004- СТ ЗАДН ОП ЛВ ЗЛ+УО/LANCIA MUSA MPV 2004-  СТ ЗАДН ОП ЛВ ЗЛ+УО</t>
  </si>
  <si>
    <t>6992064</t>
  </si>
  <si>
    <t>FIAT IDEA MPV 2004-/LANCIA MUSA 2004- СТ БОК НЕП ЛВ ЗЛ+ИНК/LANCIA MUSA MPV 2004-  СТ БОК НЕП ЛВ ЗЛ+ИНК</t>
  </si>
  <si>
    <t>6992528</t>
  </si>
  <si>
    <t>FIAT IDEA MPV 2004- СТ ЗАДН ДВ ОП ПР ТЗЛ+УО/LANCIA MUSA MPV 2004-  СТ ЗАДН ДВ ОП ПР ТЗЛ+УО</t>
  </si>
  <si>
    <t>6992583</t>
  </si>
  <si>
    <t>FIAT IDEA MPV 2004- СТ БОК НЕП ПР ТЗЛ+ИНК/LANCIA MUSA MPV 2004-  СТ ЗАДН НЕП ПР ТЗЛ+ИНК</t>
  </si>
  <si>
    <t>6992016</t>
  </si>
  <si>
    <t>FIAT IDEA MPV 2004-/LANCIA MUSA 2004- СТ ПЕР ДВ ОП ПР ЗЛ+УО/LANCIA MUSA MPV 2004-  СТ ПЕР ДВ ОП ПР ЗЛ+УО</t>
  </si>
  <si>
    <t>6992063</t>
  </si>
  <si>
    <t>FIAT IDEA MPV 2004-/LANCIA MUSA 2004- СТ ПЕР НЕП ПР ЗЛ+УО/LANCIA MUSA MPV 2004-  СТ БОК ПЕР ДВ НЕП ПР ЗЛ+УО</t>
  </si>
  <si>
    <t>6992020</t>
  </si>
  <si>
    <t>FIAT IDEA MPV 2004-/LANCIA MUSA 2004- СТ ЗАДН ОП ПР ЗЛ+УО/LANCIA MUSA MPV 2004-  СТ ЗАДН ДВ ОП ПР ЗЛ+УО</t>
  </si>
  <si>
    <t>6992065</t>
  </si>
  <si>
    <t>FIAT IDEA MPV 2004-/LANCIA MUSA 2004- СТ БОК НЕП ПР ЗЛ+ИНК/LANCIA MUSA MPV 2004-  СТ БОК НЕП ПР ЗЛ+УО</t>
  </si>
  <si>
    <t>FIORINO 2008-</t>
  </si>
  <si>
    <t>6190905</t>
  </si>
  <si>
    <t>FIAT FIORINO 2008- СТ ВЕТР ЗЛ+VIN/CITROEN NEMO 2008- СТ ВЕТР ЗЛ+VIN</t>
  </si>
  <si>
    <t>MULTIPLA 1998-</t>
  </si>
  <si>
    <t>6960120</t>
  </si>
  <si>
    <t>1998-2010</t>
  </si>
  <si>
    <t>FIAT MULTIPLA ЛВРУЛЬ 1998- СТ ВЕТР ГЛ</t>
  </si>
  <si>
    <t>6961134</t>
  </si>
  <si>
    <t>FIAT MULTIPLA ЛВРУЛЬ 09/2004- СТ ЗАДН+ИЗМ КР</t>
  </si>
  <si>
    <t>6960121</t>
  </si>
  <si>
    <t>FIAT MULTIPLA ПРРУЛЬ 1998- СТ ВЕТР ГЛ</t>
  </si>
  <si>
    <t>6960005</t>
  </si>
  <si>
    <t>FIAT MULTIPLA ЛВРУЛЬ 1998- СТ ВЕТР ЗЛ</t>
  </si>
  <si>
    <t>6960963</t>
  </si>
  <si>
    <t>FIAT MULTIPLA ЛВРУЛЬ 2004- СТ ВЕТР ЛВ ЗЛ+ИЗМ КР</t>
  </si>
  <si>
    <t>6960007</t>
  </si>
  <si>
    <t>FIAT MULTIPLA ПРРУЛЬ 1998- СТ ВЕТР ЗЛ</t>
  </si>
  <si>
    <t>6960964</t>
  </si>
  <si>
    <t>FIAT MULTIPLA ПРРУЛЬ 09/2004- СТ ВЕТР ЗЛ+ИНК+ИЗМ КР</t>
  </si>
  <si>
    <t>6100064</t>
  </si>
  <si>
    <t>FIAT MULTIPLA 1999-  МОЛД ДЛЯ СТ ВЕТР</t>
  </si>
  <si>
    <t>6997235</t>
  </si>
  <si>
    <t>2001-2010</t>
  </si>
  <si>
    <t>FIAT MULTIPLA МИН 2001- СТ ЗАДН ЭО ТГЛ+СТОП</t>
  </si>
  <si>
    <t>6997240</t>
  </si>
  <si>
    <t>FIAT MULTIPLA МИН 2001- СТ ЗАДН ГЛ ЭО СТОП</t>
  </si>
  <si>
    <t>6993633</t>
  </si>
  <si>
    <t>FIAT MULTIPLA МИН 1998- СТ ЗАДН ЭО ЗЛ 1 ОТВ+СТОП</t>
  </si>
  <si>
    <t>6996029</t>
  </si>
  <si>
    <t>FIAT MULTIPLA 2001- СТ ПЕР ДВ ОП ЛВ ГЛ+УО</t>
  </si>
  <si>
    <t>6997232</t>
  </si>
  <si>
    <t>FIAT MULTIPLA 2001- СТ ЗАДН ДВ ОП ЛВ ГЛ+УО</t>
  </si>
  <si>
    <t>6997234</t>
  </si>
  <si>
    <t>FIAT MULTIPLA 2001- СТ БОК ЛВ ТГЛ ИНК</t>
  </si>
  <si>
    <t>6997237</t>
  </si>
  <si>
    <t>FIAT MULTIPLA 2001- СТ ЗАДН ДВ ОП ЛВ ТГЛ+УО</t>
  </si>
  <si>
    <t>6997239</t>
  </si>
  <si>
    <t>6993635</t>
  </si>
  <si>
    <t>FIAT MULTIPLA 1998- СТ ПЕР ДВ ОП ЛВ ЗЛ 2 ОТВ+УО</t>
  </si>
  <si>
    <t>6993637</t>
  </si>
  <si>
    <t>FIAT MULTIPLA 1998- СТ ЗАДН ДВ ОП ЛВ ЗЛ 2 ОТВ+УО</t>
  </si>
  <si>
    <t>6993639</t>
  </si>
  <si>
    <t>FIAT MULTIPLA 1998- СТ БОК НЕП ЛВ ЗЛ+ИНК</t>
  </si>
  <si>
    <t>6996028</t>
  </si>
  <si>
    <t>FIAT MULTIPLA 2001- СТ ПЕР ДВ ОП ПР ГЛ+УО</t>
  </si>
  <si>
    <t>6997231</t>
  </si>
  <si>
    <t>FIAT MULTIPLA 2001- СТ ЗАДН ДВ ОП ПР ТГЛ+УО</t>
  </si>
  <si>
    <t>6997233</t>
  </si>
  <si>
    <t>FIAT MULTIPLA 2001- СТ БОК ПР ТГЛ ИНК</t>
  </si>
  <si>
    <t>6997236</t>
  </si>
  <si>
    <t>6997238</t>
  </si>
  <si>
    <t>6993634</t>
  </si>
  <si>
    <t>FIAT MULTIPLA 1998- СТ ПЕР ДВ ОП ПР ЗЛ 2 ОТВ+УО</t>
  </si>
  <si>
    <t>6993636</t>
  </si>
  <si>
    <t>FIAT MULTIPLA 1998- СТ ЗАДН ДВ ОП ПР ЗЛ 2 ОТВ+УО</t>
  </si>
  <si>
    <t>6993638</t>
  </si>
  <si>
    <t>FIAT MULTIPLA 1998- СТ БОК ПР ЗЛ+ИНК</t>
  </si>
  <si>
    <t>PALIO 1997-2002</t>
  </si>
  <si>
    <t>6963297</t>
  </si>
  <si>
    <t>FIAT PALIO СЕД+УН 1997-2002 СТ ВЕТР ЗЛ+КР</t>
  </si>
  <si>
    <t>FIAT PALIO СЕД+УН 1997  МОЛД  ДЛЯ СТ ВЕТР</t>
  </si>
  <si>
    <t>6994381</t>
  </si>
  <si>
    <t>FIAT PALIO СЕД+УН 1997-2002 СТ ПЕР ДВ ОП ЛВ</t>
  </si>
  <si>
    <t>6994384</t>
  </si>
  <si>
    <t>FIAT PALIO СЕД+УН 1997-2002 СТ ЗАДН ДВ ОП ПР</t>
  </si>
  <si>
    <t>PANDA 1981-2003</t>
  </si>
  <si>
    <t>6960061</t>
  </si>
  <si>
    <t>1981-2003</t>
  </si>
  <si>
    <t>FIAT PANDA 1981-2003  СТ ВЕТР/SEAT MARBELLA 1981-2003  СТ ВЕТР</t>
  </si>
  <si>
    <t>6960063</t>
  </si>
  <si>
    <t>FIAT PANDA 1981-2003  СТ ВЕТР ЗЛ/SEAT MARBELLA 1981-2003  СТ ВЕТР ЗЛ</t>
  </si>
  <si>
    <t>6100281</t>
  </si>
  <si>
    <t>FIAT PANDA 1981-2003  РЕЗ ПРОФ ДЛЯ СТ ВЕТР</t>
  </si>
  <si>
    <t>6990611</t>
  </si>
  <si>
    <t>FIAT PANDA ХБ 1981-2003  СТ ЗАДН ЭО</t>
  </si>
  <si>
    <t>6990612</t>
  </si>
  <si>
    <t>FIAT PANDA ХБ 1981-2003  СТ ЗАДН ЗЛ ЭО</t>
  </si>
  <si>
    <t>6990606</t>
  </si>
  <si>
    <t>FIAT PANDA 1981-2003  СТ ПЕР ДВ ОП+ИЗМ РАЗМ</t>
  </si>
  <si>
    <t>6990608</t>
  </si>
  <si>
    <t>1986-1989</t>
  </si>
  <si>
    <t>FIAT PANDA 1986-1989  СТ БОК ПОД 3 ОТВ ЭО+ИЗМ ОТВ</t>
  </si>
  <si>
    <t>6990607</t>
  </si>
  <si>
    <t>FIAT PANDA 1981-2003  СТ ПЕР ДВ ОП ЗЛ+ИЗМ РАЗМ</t>
  </si>
  <si>
    <t>6994148</t>
  </si>
  <si>
    <t>FIAT PANDA 1986-1989  СТ БОК ПОД ЗЛ 3 ОТВ ЭО+ИЗМ ОТВ</t>
  </si>
  <si>
    <t>PANDA 2003-</t>
  </si>
  <si>
    <t>6960556</t>
  </si>
  <si>
    <t>FIAT PANDA 2003- СТ ВЕТР ЗЛ</t>
  </si>
  <si>
    <t>6101554</t>
  </si>
  <si>
    <t>FIAT PANDA 2003- В/С МОЛД</t>
  </si>
  <si>
    <t>6993715</t>
  </si>
  <si>
    <t>FIAT PANDA ХБ 2003- СТ ЗАДН ДВ ЗЛ+СТОП+ИНК</t>
  </si>
  <si>
    <t>6993716</t>
  </si>
  <si>
    <t>FIAT PANDA 2003- СТ ПЕР ДВ ОП ЛВ ЗЛ+УО</t>
  </si>
  <si>
    <t>6993717</t>
  </si>
  <si>
    <t>FIAT PANDA 2003- СТ ПЕР ДВ ОП ПР ЗЛ+УО</t>
  </si>
  <si>
    <t>6993719</t>
  </si>
  <si>
    <t>FIAT PANDA 2003- СТ ЗАДН ДВ ОП ПР ЗЛ+УО</t>
  </si>
  <si>
    <t>6993718</t>
  </si>
  <si>
    <t>FIAT PANDA 2003- СТ ЗАДН ДВ ОП ЛВ ЗЛ+УО</t>
  </si>
  <si>
    <t>POLONEZ 1979-</t>
  </si>
  <si>
    <t>6964579</t>
  </si>
  <si>
    <t>1979-</t>
  </si>
  <si>
    <t>FIAT POLSKI POLONEZ 1979-  СТ ВЕТР</t>
  </si>
  <si>
    <t>PUNTO CAB 1994-1999</t>
  </si>
  <si>
    <t>6960201</t>
  </si>
  <si>
    <t>FIAT PUNTO КБ 1994-1999 СТ ВЕТР ЗЛ</t>
  </si>
  <si>
    <t>6100057</t>
  </si>
  <si>
    <t>FIAT PUNTO КБ 1994-1999  МОЛД  ДЛЯ СТ ВЕТР</t>
  </si>
  <si>
    <t>6995528</t>
  </si>
  <si>
    <t>FIAT PUNTO КБ 1994-1999 СТ ФОРТ ПЕР НЕП ПР ЗЛ</t>
  </si>
  <si>
    <t>PUNTO 3/5Д 1993-1999</t>
  </si>
  <si>
    <t>6960200</t>
  </si>
  <si>
    <t>FIAT PUNTO 3Д+5Д 1993-1999  СТ ВЕТР ЗЛ</t>
  </si>
  <si>
    <t>6960203</t>
  </si>
  <si>
    <t>FIAT PUNTO 3Д+5Д 1993-1999  СТ ВЕТР ЗЛГЛ</t>
  </si>
  <si>
    <t>6960204</t>
  </si>
  <si>
    <t>FIAT PUNTO 3Д+5Д 1993-1999  СТ ВЕТР ЗЛЗЛ</t>
  </si>
  <si>
    <t>6100054</t>
  </si>
  <si>
    <t>FIAT PUNTO 3Д+5Д 1993-1999  МОЛД  ДЛЯ СТ ВЕТР</t>
  </si>
  <si>
    <t>6991110</t>
  </si>
  <si>
    <t>FIAT PUNTO 3Д+5Д ХБ 1993-1999  СТ ЗАДН ЗЛ</t>
  </si>
  <si>
    <t>6100055</t>
  </si>
  <si>
    <t>FIAT PUNTO 3Д+5Д 1993-1999  МОЛД  ДЛЯ СТ ЗАДН</t>
  </si>
  <si>
    <t>6991101</t>
  </si>
  <si>
    <t>FIAT PUNTO 3Д 1993-1999 СТ ПЕР ДВ ОП ЛВ ЗЛ ФИТ</t>
  </si>
  <si>
    <t>6991107</t>
  </si>
  <si>
    <t>FIAT PUNTO 3Д 1993-1999 СТ БОК ПОД ЛВ ЗЛ ФИТ</t>
  </si>
  <si>
    <t>6991103</t>
  </si>
  <si>
    <t>FIAT PUNTO 5Д 1993-1999 СТ ПЕР ДВ ОП ЛВ ЗЛ ФИТ</t>
  </si>
  <si>
    <t>6991105</t>
  </si>
  <si>
    <t>FIAT PUNTO 5Д 1993-1999 СТ ЗАДН ДВ ОП ЛВ ЗЛ ФИТ</t>
  </si>
  <si>
    <t>6991109</t>
  </si>
  <si>
    <t>FIAT PUNTO 5Д 1993-1999 СТ БОК НЕП ЛВ ЗЛ+ИНК</t>
  </si>
  <si>
    <t>6991100</t>
  </si>
  <si>
    <t>FIAT PUNTO 3Д 1993-1999 СТ ПЕР ДВ ОП ПР ЗЛ ФИТ</t>
  </si>
  <si>
    <t>6991106</t>
  </si>
  <si>
    <t>FIAT PUNTO 3Д 1993-1999 СТ БОК ПОД ПР ЗЛ ОТКР ФИТ</t>
  </si>
  <si>
    <t>6991102</t>
  </si>
  <si>
    <t>FIAT PUNTO 5Д 1993-1999 СТ ПЕР ДВ ОП ПР ЗЛ ФИТ</t>
  </si>
  <si>
    <t>6991104</t>
  </si>
  <si>
    <t>FIAT PUNTO 5Д 1993-1999 СТ ЗАДН ДВ ОП ПР ЗЛ ФИТ</t>
  </si>
  <si>
    <t>6991108</t>
  </si>
  <si>
    <t>FIAT PUNTO 5Д 1993-1999 СТ БОК НЕП ПР ЗЛ+ИНК</t>
  </si>
  <si>
    <t>PUNTO 3/5Д 1999-</t>
  </si>
  <si>
    <t>6960207</t>
  </si>
  <si>
    <t>FIAT PUNTO II 1999- СТ ВЕТР ЗЛ</t>
  </si>
  <si>
    <t>6961484</t>
  </si>
  <si>
    <t>FIAT PUNTO II 3Д+5Д 1999-  СТ ВЕТР ЗЛГЛ</t>
  </si>
  <si>
    <t>6960557</t>
  </si>
  <si>
    <t>FIAT PUNTO III 3Д+5Д 2003- СТ ВЕТР ЗЛ ДД+ИЗМ ШЕЛК</t>
  </si>
  <si>
    <t>6100063</t>
  </si>
  <si>
    <t>FIAT PUNTO II 1999-  МОЛД ДЛЯ СТ ВЕТР ВЕРХ</t>
  </si>
  <si>
    <t>6991125</t>
  </si>
  <si>
    <t>FIAT PUNTO II ХБ 1999- 3Д СТ ЗАДН ЗЛ+СТОП+УО</t>
  </si>
  <si>
    <t>6991124</t>
  </si>
  <si>
    <t>FIAT PUNTO II ХБ 1999- 3Д СТ ЗАДН ЗЛ+СТОП+УО+ИЗМ ОТВ</t>
  </si>
  <si>
    <t>6991972</t>
  </si>
  <si>
    <t>FIAT PUNTO II ХБ 1999- 5Д СТ ЗАДН ЭО ЗЛ+СТОП+УО+ИЗМ РАЗМ</t>
  </si>
  <si>
    <t>6991127</t>
  </si>
  <si>
    <t>FIAT PUNTO II 1999- 3Д СТ ПЕР ДВ ОП ЛВ ЗЛ+УО</t>
  </si>
  <si>
    <t>6991129</t>
  </si>
  <si>
    <t>FIAT PUNTO II 1999- 3Д СТ БОК ПОД ЛВ ЗЛ ОТКР+УО</t>
  </si>
  <si>
    <t>6991068</t>
  </si>
  <si>
    <t>FIAT PUNTO II 1999- 5Д СТ ПЕР ДВ ОП ЛВ ЗЛ+УО</t>
  </si>
  <si>
    <t>6991070</t>
  </si>
  <si>
    <t>FIAT PUNTO II 1999- 5Д СТ ЗАДН ДВ ОП ЛВ ЗЛ+УО</t>
  </si>
  <si>
    <t>6991126</t>
  </si>
  <si>
    <t>FIAT PUNTO II 1999- 3Д СТ ПЕР ДВ ОП ПР ЗЛ+УО</t>
  </si>
  <si>
    <t>6991128</t>
  </si>
  <si>
    <t>FIAT PUNTO II 1999- 3Д СТ БОК ПОД ПР ЗЛ+УО</t>
  </si>
  <si>
    <t>6991067</t>
  </si>
  <si>
    <t>FIAT PUNTO II 1999- 5Д СТ ПЕР ДВ ОП ПР ЗЛ+УО</t>
  </si>
  <si>
    <t>6991069</t>
  </si>
  <si>
    <t>FIAT PUNTO II 1999- 5Д СТ ЗАДН ДВ ОП ПР ЗЛ+УО</t>
  </si>
  <si>
    <t>PUNTO 3Д+5Д 2005-</t>
  </si>
  <si>
    <t>6962810</t>
  </si>
  <si>
    <t>FIAT GRANDE PUNTO 2007-  СТ ВЕТР ЗЛ+ИНК+ИЗМ ИНК</t>
  </si>
  <si>
    <t>6961412</t>
  </si>
  <si>
    <t>FIAT GRANDE PUNTO 2005-  СТ ВЕТР ЗЛ+ДД+ИНК+ИЗМ ШЕЛК</t>
  </si>
  <si>
    <t>6960665</t>
  </si>
  <si>
    <t>FIAT GRANDE PUNTO 2005-  СТ ВЕТР ЗЛ+ИНК</t>
  </si>
  <si>
    <t>6993356</t>
  </si>
  <si>
    <t>FIAT GRANDE PUNTO ХБ 2005- СТ ЗАДН ТЗЛ ЭО+УО</t>
  </si>
  <si>
    <t>6992718</t>
  </si>
  <si>
    <t>FIAT GRANDE PUNTO 3Д+5Д ХБ 2005- СТ ЗАДН ЗЛ УО</t>
  </si>
  <si>
    <t>6993357</t>
  </si>
  <si>
    <t>FIAT GRANDE PUNTO 2005- 3Д ХБ СТ БОК ЛВ ТЗЛ ИНК</t>
  </si>
  <si>
    <t>6993947</t>
  </si>
  <si>
    <t>FIAT GRANDE PUNTO 2005- СТ ЗАДН ДВ ОП ПР ТЗЛ+УО/FIAT PUNTO 5Д 2005-  СТ ЗАДН ДВ ОП ЛВ ЗЛ УО</t>
  </si>
  <si>
    <t>6992719</t>
  </si>
  <si>
    <t>FIAT GRANDE PUNTO 2005- 3Д СТ ПЕР ДВ ОП ЛВ ЗЛ УО</t>
  </si>
  <si>
    <t>6992722</t>
  </si>
  <si>
    <t>FIAT GRANDE PUNTO 2005- 3Д ХБ СТ БОК ЛВ ЗЛ ИНК</t>
  </si>
  <si>
    <t>6994918</t>
  </si>
  <si>
    <t>FIAT GRANDE PUNTO 2005-  СТ ПЕР ДВ ОП ЛВ ЗЛ+УО</t>
  </si>
  <si>
    <t>6996585</t>
  </si>
  <si>
    <t>FIAT GRANDE PUNTO + 2005-  СТ БОК ПЕР НЕП ЛВ ЗЛ+ИНК</t>
  </si>
  <si>
    <t>6993359</t>
  </si>
  <si>
    <t>FIAT GRANDE PUNTO 5Д 2005-  СТ ЗАДН ДВ ОП ЛВ ЗЛ УО</t>
  </si>
  <si>
    <t>6996062</t>
  </si>
  <si>
    <t>FIAT GRANDE PUNTO 3Д 2005- СТ БОК НЕП ЛВ СР+ИНК</t>
  </si>
  <si>
    <t>6993358</t>
  </si>
  <si>
    <t>FIAT GRANDE PUNTO 2005- 3Д ХБ СТ БОК ПР ТЗЛ ИНК</t>
  </si>
  <si>
    <t>6993946</t>
  </si>
  <si>
    <t>FIAT GRANDE PUNTO 2005- СТ ЗАДН ДВ ОП ЛВ ТЗЛ+УО/FIAT PUNTO 5Д 2005-  СТ ЗАДН ДВ ОП ПР ЗЛ УО</t>
  </si>
  <si>
    <t>6992721</t>
  </si>
  <si>
    <t>FIAT GRANDE PUNTO 2005-  СТ ПЕР ДВ ОП ПР ЗЛ УО</t>
  </si>
  <si>
    <t>6992723</t>
  </si>
  <si>
    <t>FIAT GRANDE PUNTO 2005- 3Д ХБ СТ БОК ПР ЗЛ ИНК</t>
  </si>
  <si>
    <t>6994919</t>
  </si>
  <si>
    <t>FIAT GRANDE PUNTO 2005-  СТ ПЕР ДВ ОП ПР ЗЛ+УО</t>
  </si>
  <si>
    <t>6996586</t>
  </si>
  <si>
    <t>FIAT GRANDE PUNTO + 2005- СТ БОК ПЕР НЕП ПР ЗЛ+ИНК</t>
  </si>
  <si>
    <t>6993360</t>
  </si>
  <si>
    <t>FIAT GRANDE PUNTO 5Д 2005-  СТ ЗАДН ДВ ОП ПР ЗЛ УО</t>
  </si>
  <si>
    <t>6996061</t>
  </si>
  <si>
    <t>FIAT GRANDE PUNTO 3Д+5Д 2005- СТ БОК НЕП ПР СР+ИНК</t>
  </si>
  <si>
    <t>SCUDO 2007-</t>
  </si>
  <si>
    <t>6190695</t>
  </si>
  <si>
    <t>FIAT SCUDO 2007-  СТ ВЕТР ТЕПЛООТР+ДД+VIN+ИНК+ИЗМ КР/PEUGEOT EXP (G9) 2006-  СТ ВЕТР ТЕПЛООТР+ДД+VIN+ИНК</t>
  </si>
  <si>
    <t>6190696</t>
  </si>
  <si>
    <t>FIAT SCUDO 2007-  СТ ВЕТР ТЕПЛООТР+VIN+ИНК/PEUGEOT EXP (G9) 2006-  СТ ВЕТР ТЕПЛООТР+VIN+ИНК</t>
  </si>
  <si>
    <t>6190697</t>
  </si>
  <si>
    <t>FIAT SCUDO 2007-  СТ ВЕТР ЗЛ+ДД+VIN+ИНК+ИЗМ КР/PEUGEOT EXP (G9) 2006-  СТ ВЕТР ЗЛ+ДД+VIN+ИНК</t>
  </si>
  <si>
    <t>6190698</t>
  </si>
  <si>
    <t>FIAT SCUDO 2007-  СТ ВЕТР ЗЛ+VIN+ИНК/PEUGEOT EXP (G9) 2006-  СТ ВЕТР ЗЛ+VIN+ИНК</t>
  </si>
  <si>
    <t>6190699</t>
  </si>
  <si>
    <t>FIAT SCUDO МИН 2007-  СТ ЗАДН ТЗЛ+СТОП/PEUGEOT EXP (G9) 2006-  СТ ЗАДН ТЗЛ+VIN+СТОП</t>
  </si>
  <si>
    <t>6190700</t>
  </si>
  <si>
    <t>FIAT SCUDO МИН 2007-  СТ ЗАДН ЗЛ+СТОП/PEUGEOT EXP (G9) 2006-  СТ ЗАДН ЗЛ+СТОП</t>
  </si>
  <si>
    <t>6190701</t>
  </si>
  <si>
    <t>FIAT SCUDO МИН 2007-  СТ ЗАДН ЗЛ ЛВ/PEUGEOT EXP (G9) 2006-  СТ ЗАДН ЗЛ ЛВ</t>
  </si>
  <si>
    <t>6190702</t>
  </si>
  <si>
    <t>FIAT SCUDO МИН 2007-  СТ ЗАДН ЗЛ ЛВ Б/ЭО/PEUGEOT EXP (G9) 2006-  СТ ЗАДН ЗЛ ЛВ Б/ЭО</t>
  </si>
  <si>
    <t>6190703</t>
  </si>
  <si>
    <t>FIAT SCUDO МИН 2007-  СТ ЗАДН ЗЛ ПР/PEUGEOT EXP (G9) 2006-  СТ ЗАДН ЗЛ ПР</t>
  </si>
  <si>
    <t>6190704</t>
  </si>
  <si>
    <t>FIAT SCUDO МИН 2007-  СТ ЗАДН ЗЛ ПР Б/ЭО/PEUGEOT EXP (G9) 2006-  СТ ЗАДН ЗЛ ПР+Б/ЭО</t>
  </si>
  <si>
    <t>6190823</t>
  </si>
  <si>
    <t>FIAT SCUDO 2007-  СТ ЗАДН ДВ ОП ЛВ ЗЛ/PEUGEOT EXP (G9) 2006-  СТ ЗАДН ДВ ОП ЛВ ТЗЛ</t>
  </si>
  <si>
    <t>6190818</t>
  </si>
  <si>
    <t>FIAT SCUDO 2007-  СТ ПЕР ДВ ОП ЛВ ЗЛ/PEUGEOT EXP (G9) 2006-  СТ ПЕР ДВ ОП ЛВ ЗЛ</t>
  </si>
  <si>
    <t>6190820</t>
  </si>
  <si>
    <t>FIAT SCUDO 2007-  СТ ЗАДН ДВ ОП ЛВ ЗЛ/PEUGEOT EXP (G9) 2006-  СТ ЗАДН ДВ ОП ЛВ ЗЛ</t>
  </si>
  <si>
    <t>6190828</t>
  </si>
  <si>
    <t>FIAT SCUDO 2007-  СТ БОК НЕП ЛВ ЗЛ+ИЗМ РАЗМ/PEUGEOT EXP (G9) 2006-  СТ БОК НЕП ЛВ ЗЛ</t>
  </si>
  <si>
    <t>6190822</t>
  </si>
  <si>
    <t>FIAT SCUDO 2007-  СТ ЗАДН ДВ ОП ПР ТЗЛ/PEUGEOT EXP (G9) 2006-  СТ ЗАДН ДВ ОП ПР ТЗЛ</t>
  </si>
  <si>
    <t>6190819</t>
  </si>
  <si>
    <t>FIAT SCUDO 2007-  СТ ПЕР ДВ ОП ПР ЗЛ/PEUGEOT EXP (G9) 2006-  СТ ПЕР ДВ ОП ПР ЗЛ</t>
  </si>
  <si>
    <t>6190821</t>
  </si>
  <si>
    <t>FIAT SCUDO 2007-  СТ ЗАДН ДВ ОП ПР ЗЛ/PEUGEOT EXP (G9) 2006-  СТ ЗАДН ДВ ОП ПР ЗЛ</t>
  </si>
  <si>
    <t>6190824</t>
  </si>
  <si>
    <t>FIAT SCUDO 2007-  СТ БОК НЕП ПР ЗЛ/PEUGEOT EXP (G9) 2006-  СТ БОК НЕП ПР ЗЛ</t>
  </si>
  <si>
    <t>6190827</t>
  </si>
  <si>
    <t>FIAT SCUDO 2007-  СТ БОК НЕП ПР ЗЛ+ИЗМ РАЗМ/PEUGEOT EXP (G9) 2006-  СТ БОК НЕП ПР ЗЛ</t>
  </si>
  <si>
    <t>SEICENTO 1998-</t>
  </si>
  <si>
    <t>6961223</t>
  </si>
  <si>
    <t>FIAT SEICENTO 1998- СТ ВЕТР</t>
  </si>
  <si>
    <t>6961222</t>
  </si>
  <si>
    <t>FIAT SEICENTO 1998- СТ ВЕТР ЗЛ</t>
  </si>
  <si>
    <t>6100460</t>
  </si>
  <si>
    <t>FIAT SEICENTO 1998-  МОЛД  ДЛЯ СТ ВЕТР</t>
  </si>
  <si>
    <t>6190910</t>
  </si>
  <si>
    <t>FIAT SEICENTO 1998- СТ ПЕР ДВ ОП ЛВ ЗЛ/FIAT CINQUECENTO 1992-1998 СТ ПЕР ДВ ОП ЛВ ЗЛ</t>
  </si>
  <si>
    <t>6994389</t>
  </si>
  <si>
    <t>FIAT SEICENTO 1998- СТ БОК ПР</t>
  </si>
  <si>
    <t>6190911</t>
  </si>
  <si>
    <t>FIAT SEICENTO 1998- СТ ПЕР ДВ ОП ПР ЗЛ/FIAT CINQUECENTO 1992-1998 СТ ПЕР ДВ ОП ПР ЗЛ</t>
  </si>
  <si>
    <t>6994391</t>
  </si>
  <si>
    <t>6994394</t>
  </si>
  <si>
    <t>STILO 2001-2007</t>
  </si>
  <si>
    <t>6960957</t>
  </si>
  <si>
    <t>FIAT STILO 2001-2007  СТ ВЕТР ЗЛ+ДД+ИНК</t>
  </si>
  <si>
    <t>6960956</t>
  </si>
  <si>
    <t>FIAT STILO 2001-2007  СТ ВЕТР ЗЛ+ИНК</t>
  </si>
  <si>
    <t>6980008</t>
  </si>
  <si>
    <t>FIAT STILO ХБ 2001-2007  СТ ЗАДН ЗЛ+СТОП+УО</t>
  </si>
  <si>
    <t>6980086</t>
  </si>
  <si>
    <t>FIAT STILO 2001-2007  СТ ПЕР ДВ ОП ЛВ ЗЛ</t>
  </si>
  <si>
    <t>6980088</t>
  </si>
  <si>
    <t>FIAT STILO 2001-2007  СТ ЗАДН ДВ ОП ЛВ ЗЛ+УО</t>
  </si>
  <si>
    <t>6993964</t>
  </si>
  <si>
    <t>FIAT STILO 2001-2007  СТ БОК НЕП ЛВ ЗЛ+ИНК</t>
  </si>
  <si>
    <t>6980087</t>
  </si>
  <si>
    <t>FIAT STILO 2001-2007  СТ ПЕР ДВ ОП ПР ЗЛ</t>
  </si>
  <si>
    <t>6980089</t>
  </si>
  <si>
    <t>FIAT STILO 2001-2007  СТ ЗАДН ДВ ОП ПР ЗЛ+УО</t>
  </si>
  <si>
    <t>6993967</t>
  </si>
  <si>
    <t>FIAT STILO 2001-2007  СТ БОК НЕП ПР ЗЛ+ИНК</t>
  </si>
  <si>
    <t>STILO 3Д 2001-2007</t>
  </si>
  <si>
    <t>6960953</t>
  </si>
  <si>
    <t>FIAT STILO 3Д 2001-2007  СТ ВЕТР ЗЛ+ИНК</t>
  </si>
  <si>
    <t>6980006</t>
  </si>
  <si>
    <t>6980279</t>
  </si>
  <si>
    <t>FIAT STILO ХБ 2001-2007  СТ ЗАДН ЗЛ+СТОП+УО+ИЗМ ОТВ</t>
  </si>
  <si>
    <t>6980084</t>
  </si>
  <si>
    <t>6993963</t>
  </si>
  <si>
    <t>6980085</t>
  </si>
  <si>
    <t>6993966</t>
  </si>
  <si>
    <t>STRADA/REGATA 1978-1988</t>
  </si>
  <si>
    <t>6960034</t>
  </si>
  <si>
    <t>1978-1988</t>
  </si>
  <si>
    <t>FIAT STRADA /REGATA 1978-1988 СТ ВЕТР</t>
  </si>
  <si>
    <t>FIAT STRALIS 2002-</t>
  </si>
  <si>
    <t>6190180</t>
  </si>
  <si>
    <t>FIAT STRALIS 2002-  СТ ВЕТР ЗЛ/IVECO EUROSTAR 1993-  СТ ВЕТР ЗЛ</t>
  </si>
  <si>
    <t>TIPO/TEMPRA 1988-1996</t>
  </si>
  <si>
    <t>6968220</t>
  </si>
  <si>
    <t>1988-1996</t>
  </si>
  <si>
    <t>FIAT TIPO/TEMPRA 1988-1996  СТ ВЕТР ГЛ</t>
  </si>
  <si>
    <t>6960081</t>
  </si>
  <si>
    <t>FIAT TIPO/TEMPRA 1988-1996  СТ ВЕТР КР</t>
  </si>
  <si>
    <t>6960083</t>
  </si>
  <si>
    <t>FIAT TIPO/TEMPRA 1988-1996  СТ ВЕТР ЗЛ КР</t>
  </si>
  <si>
    <t>6960085</t>
  </si>
  <si>
    <t>FIAT TIPO/TEMPRA 1988-1996  СТ ВЕТР ЗЛЗЛ</t>
  </si>
  <si>
    <t>6101198</t>
  </si>
  <si>
    <t>FIAT TIPO/TEMPRA 1988-1996  УСТ КОМПЛ ДЛЯ СТ ВЕТР</t>
  </si>
  <si>
    <t>6100049</t>
  </si>
  <si>
    <t>6990600</t>
  </si>
  <si>
    <t>FIAT TIPO/TEMPRA ХБ 1988-1996  СТ ЗАДН ЭО</t>
  </si>
  <si>
    <t>6990601</t>
  </si>
  <si>
    <t>FIAT TIPO/TEMPRA ХБ 1988-1996  СТ ЗАДН ЗЛ</t>
  </si>
  <si>
    <t>6990555</t>
  </si>
  <si>
    <t>FIAT TIPO/TEMPRA СД 1988-1996  СТ ЗАДН ЗЛ ОТВ</t>
  </si>
  <si>
    <t>6100051</t>
  </si>
  <si>
    <t>FIAT TIPO/TEMPRA 1988-  УСТ КОМПЛ ДЛЯ СТ ЗАДН</t>
  </si>
  <si>
    <t>6990631</t>
  </si>
  <si>
    <t>FIAT TIPO/TEMPRA СД+УН 1988-1996  СТ ПЕР ДВ ОП ЛВ+ФИТ</t>
  </si>
  <si>
    <t>6990633</t>
  </si>
  <si>
    <t>FIAT TIPO/TEMPRA СД+УН 1988-1996  СТ ЗАДН ДВ ОП ЛВ+УО</t>
  </si>
  <si>
    <t>6990613</t>
  </si>
  <si>
    <t>FIAT TIPO/TEMPRA СД+УН 1988-1996 СТ ФОРТ ЗАДН НЕП ЛВ</t>
  </si>
  <si>
    <t>6990635</t>
  </si>
  <si>
    <t>FIAT TIPO/TEMPRA СД+УН 1988-1996 СТ ПЕР ДВ ОП ЛВ ЗЛ+ФИТ/ALFAROMEO ALFA 155 1992-1998  СТ ПЕР ДВ ОП ЛВ ЗЛ+УО</t>
  </si>
  <si>
    <t>6990637</t>
  </si>
  <si>
    <t>FIAT TIPO/TEMPRA СД+УН 1988-1996 СТ ЗАДН ДВ ОП ЗЛ ЛВ+УО</t>
  </si>
  <si>
    <t>6990615</t>
  </si>
  <si>
    <t>FIAT TIPO/TEMPRA СД+УН 1988-1996 СТ БОК НЕП ЛВ ЗЛ</t>
  </si>
  <si>
    <t>6990630</t>
  </si>
  <si>
    <t>FIAT TIPO/TEMPRA СД+УН 1988-1996  СТ ПЕР ДВ ОП ПР+ФИТ</t>
  </si>
  <si>
    <t>6990632</t>
  </si>
  <si>
    <t>FIAT TIPO/TEMPRA СД+УН 1988-1996  СТ ЗАДН ДВ ОП ПР+УО</t>
  </si>
  <si>
    <t>6990614</t>
  </si>
  <si>
    <t>FIAT TIPO/TEMPRA СД+УН 1988-1996 СТ БОК НЕП ПР</t>
  </si>
  <si>
    <t>6990634</t>
  </si>
  <si>
    <t>FIAT TIPO/TEMPRA СД+УН 1988-1996 СТ ПЕР ДВ ОП ПР ЗЛ+ФИТ</t>
  </si>
  <si>
    <t>6990636</t>
  </si>
  <si>
    <t>FIAT TIPO/TEMPRA СД+УН 1988-1996 СТ ЗАДН ДВ ОП ПР ЗЛ+ФИТ</t>
  </si>
  <si>
    <t>6990616</t>
  </si>
  <si>
    <t>FIAT TIPO/TEMPRA СД+УН 1988-1996 СТ БОК НЕП ПР ЗЛ</t>
  </si>
  <si>
    <t>ULYSSE 2002-</t>
  </si>
  <si>
    <t>6960227</t>
  </si>
  <si>
    <t>2002-2010</t>
  </si>
  <si>
    <t>FIAT ULYSSE 2002- СТ ВЕТР ЗЛ+VIN+ИНК+ДД</t>
  </si>
  <si>
    <t>6961363</t>
  </si>
  <si>
    <t>FIAT ULYSSE 2002- СТ ВЕТР ЗЛ+VIN+ИНК+ДД ИЗМ/LANCIA PHEDRA 2005/12 СТ ВЕТР ЗЛ+ДД+VIN+ИНК</t>
  </si>
  <si>
    <t>6960225</t>
  </si>
  <si>
    <t>FIAT ULYSSE 09/2002- СТ ВЕТР ЗЛ+VIN+ИНК</t>
  </si>
  <si>
    <t>6997595</t>
  </si>
  <si>
    <t>FIAT ULYSSE 2002- СТ ЗАДН ОП ЛВ ЗЛ/PEUGEOT 807 2002- СТ ЗАДН ДВ ОП ЛВ ЗЛ</t>
  </si>
  <si>
    <t>6190664</t>
  </si>
  <si>
    <t>FIAT ULYSSE 2002- СТ ПЕР ДВ ОП ПР ЗЛ/CITROEN C8 2002-  СТ ПЕР ДВ ОП ПР ЗЛ</t>
  </si>
  <si>
    <t>6997597</t>
  </si>
  <si>
    <t>FIAT ULYSSE 2002- СТ ЗАДН ОП ПР ЗЛ/PEUGEOT 807 2002- СТ ЗАДН ДВ ОП ПР ЗЛ</t>
  </si>
  <si>
    <t>UNO I 1983-1988</t>
  </si>
  <si>
    <t>6960057</t>
  </si>
  <si>
    <t>1983-1988</t>
  </si>
  <si>
    <t>FIAT UNO I 1983-1988 СТ ВЕТР</t>
  </si>
  <si>
    <t>6960059</t>
  </si>
  <si>
    <t>FIAT UNO I 1983-1988 СТ ВЕТР ЗЛ</t>
  </si>
  <si>
    <t>6100284</t>
  </si>
  <si>
    <t>FIAT UNO I 1983-1988 РЕЗ ПРОФ ДЛЯ СТ ВЕТР</t>
  </si>
  <si>
    <t>6998721</t>
  </si>
  <si>
    <t>FIAT UNO I ХБ 1983-1988 СТ ЗАДН ДВ ЗЛ</t>
  </si>
  <si>
    <t>6990128</t>
  </si>
  <si>
    <t>1985-1988</t>
  </si>
  <si>
    <t>FIAT UNO I 3Д 1985-1988 СТ ПЕР ДВ ОП ЛВ+ФИТ+2ОТВ</t>
  </si>
  <si>
    <t>6990124</t>
  </si>
  <si>
    <t>FIAT UNO I 3Д 1983-1988 СТ БОК ЛВ</t>
  </si>
  <si>
    <t>6990146</t>
  </si>
  <si>
    <t>FIAT UNO I 5Д/FIORINO 1985-1988 СТ ПЕР ДВ ОП ЛВ+ФИТ/FIAT UNO 2 1988-2002 СТ ПЕР ДВ ОП ЛВ +2ОТВ</t>
  </si>
  <si>
    <t>6990148</t>
  </si>
  <si>
    <t>FIAT UNO I 5Д 1985-1988 СТ ЗАДН ДВ ОП ЛВ+ФИТ/FIAT UNO 2 1988-2002 СТ ЗАДН ДВ ОП ЛВ +2ОТВ</t>
  </si>
  <si>
    <t>6990118</t>
  </si>
  <si>
    <t>FIAT UNO I 5Д 1983-1988 СТ БОК НЕП ЛВ/FIAT UNO 2 5Д 1988-2002 СТ БОК НЕП ЛВ</t>
  </si>
  <si>
    <t>6990144</t>
  </si>
  <si>
    <t>FIAT UNO I 3Д 1985-1988 СТ ПЕР ДВ ОП ЛВ ЗЛ+ФИТ+2ОТВ</t>
  </si>
  <si>
    <t>6990150</t>
  </si>
  <si>
    <t>FIAT UNO I 5Д/FIORINO 1985-1988 СТ ПЕР ДВ ОП ЛВ ЗЛ+ФИТ/FIAT UNO 2 5D 1988-1990</t>
  </si>
  <si>
    <t>6990127</t>
  </si>
  <si>
    <t>FIAT UNO I 3Д 1985-1988 СТ ПЕР ДВ ОП ПР+ФИТ+2ОТВ</t>
  </si>
  <si>
    <t>6990123</t>
  </si>
  <si>
    <t>FIAT UNO I 3Д 1983-1988 СТ БОК ПР</t>
  </si>
  <si>
    <t>6990145</t>
  </si>
  <si>
    <t>FIAT UNO I 5Д/FIORINO 1985-1988 СТ ПЕР ДВ ОП ПР+ФИТ/FIAT UNO 2 1988-2002 СТ ПЕР ДВ ОП ПР +2ОТВ</t>
  </si>
  <si>
    <t>6990147</t>
  </si>
  <si>
    <t>FIAT UNO I 5Д 1985-1988 СТ ЗАДН ДВ ОП ПР+ФИТ/FIAT UNO 2 1988-2002 СТ ЗАДН ДВ ОП ПР +2ОТВ</t>
  </si>
  <si>
    <t>6990117</t>
  </si>
  <si>
    <t>FIAT UNO I 5Д 1983-1988 СТ БОК ПР/FIAT UNO 2 5Д 1988-2002 СТ БОК НЕП ПР</t>
  </si>
  <si>
    <t>6990143</t>
  </si>
  <si>
    <t>FIAT UNO I 3Д 1985-1988 СТ ПЕР ДВ ОП ПР ЗЛ+ФИТ+2 ОТВ</t>
  </si>
  <si>
    <t>6990149</t>
  </si>
  <si>
    <t>FIAT UNO I 5Д/FIORINO 1985-1988 СТ ПЕР ДВ ОП ПР ЗЛ+ФИТ/FIAT UNO 2 1988-2002 СТ ПЕР ДВ ОП ПР ЗЛ+2ОТВ</t>
  </si>
  <si>
    <t>6990151</t>
  </si>
  <si>
    <t>FIAT UNO I 1985-1988 СТ ЗАДН ДВ ОП ПР ЗЛ+ФИТ/FIAT UNO 2 1988-2002 СТ ЗАДН ДВ ОП ПР ЗЛ</t>
  </si>
  <si>
    <t>UNO II-III 1988-2002</t>
  </si>
  <si>
    <t>6960076</t>
  </si>
  <si>
    <t>1988-1993</t>
  </si>
  <si>
    <t>FIAT UNO II 1988-1993 СТ ВЕТР</t>
  </si>
  <si>
    <t>6960067</t>
  </si>
  <si>
    <t>1990-1993</t>
  </si>
  <si>
    <t>FIAT UNO III 1990-1993  СТ ВЕТР</t>
  </si>
  <si>
    <t>6960065</t>
  </si>
  <si>
    <t>FIAT UNO II 1988-1993 СТ ВЕТР ЗЛ</t>
  </si>
  <si>
    <t>6960088</t>
  </si>
  <si>
    <t>FIAT UNO III 1990-1993  СТ ВЕТР ЗЛ</t>
  </si>
  <si>
    <t>6960115</t>
  </si>
  <si>
    <t>FIAT UNO III 1990-1993  СТ ВЕТР ЗЛЗЛ</t>
  </si>
  <si>
    <t>6100052</t>
  </si>
  <si>
    <t>FIAT UNO II 1988-1993  В/С РЕЗ ПРОФ ДЛЯ СТ ВЕТР</t>
  </si>
  <si>
    <t>6990108</t>
  </si>
  <si>
    <t>1988-2002</t>
  </si>
  <si>
    <t>FIAT UNO II ХБ 1988-2002+UNOVAN 1992-1993 СТ ЗАДН+ОТВ</t>
  </si>
  <si>
    <t>6990110</t>
  </si>
  <si>
    <t>FIAT UNO II ХБ 1988-2002 СТ ЗАДН ЭО ЗЛ 90 ОТВ</t>
  </si>
  <si>
    <t>6990109</t>
  </si>
  <si>
    <t>FIAT UNO II ХБ 1988-2002 СТ ЗАДН ЗЛ ЭО+ИЗМ РАЗМ</t>
  </si>
  <si>
    <t>6100053</t>
  </si>
  <si>
    <t>FIAT UNO II 1988-2002  РЕЗ ПРОФ ДЛЯ СТ ЗАДН</t>
  </si>
  <si>
    <t>6990131</t>
  </si>
  <si>
    <t>FIAT UNO II 3Д 1988-2002 СТ ПЕР ДВ ОП ЛВ+2ОТВ+ФИТ</t>
  </si>
  <si>
    <t>6190084</t>
  </si>
  <si>
    <t>FIAT UNO II 1988-2002 СТ ПЕР ДВ ОП ЛВ +2ОТВ/FIAT UNO 5Д/FIORINO 1985-1988 СТ ПЕР ДВ ОП ЛВ+ФИТ</t>
  </si>
  <si>
    <t>6190085</t>
  </si>
  <si>
    <t>FIAT UNO II 1988-2002 СТ ЗАДН ДВ ОП ЛВ +2ОТВ/FIAT UNO 5Д 1985-1988 СТ ЗАДН ДВ ОП ЛВ+ФИТ</t>
  </si>
  <si>
    <t>6190086</t>
  </si>
  <si>
    <t>FIAT UNO II 5Д 1988-2002 СТ БОК НЕП ЛВ/FIAT UNO 5Д 1983-1988 СТ БОК НЕП ЛВ</t>
  </si>
  <si>
    <t>6990112</t>
  </si>
  <si>
    <t>FIAT UNO II 3Д 1988-2002 СТ ПЕР ДВ ОП ЛВ ЗЛ+2ОТВ+ФИТ</t>
  </si>
  <si>
    <t>6990129</t>
  </si>
  <si>
    <t>FIAT UNO II 3Д 1988-2002 СТ ПЕР ДВ ОП ПР+2ОТВ+ФИТ</t>
  </si>
  <si>
    <t>6190090</t>
  </si>
  <si>
    <t>FIAT UNO II 1988-2002 СТ ПЕР ДВ ОП ПР +2ОТВ/FIAT UNO 5Д/FIORINO 1985-1988 СТ ПЕР ДВ ОП ПР+ФИТ</t>
  </si>
  <si>
    <t>6190091</t>
  </si>
  <si>
    <t>FIAT UNO II 1988-2002 СТ ЗАДН ДВ ОП ПР +2ОТВ/FIAT UNO 5Д 1985-1988 СТ ЗАДН ДВ ОП ПР+ФИТ</t>
  </si>
  <si>
    <t>6190092</t>
  </si>
  <si>
    <t>FIAT UNO II 5Д 1988-2002 СТ БОК НЕП ПР/FIAT UNO 5Д 1983-1988 СТ БОК ПР</t>
  </si>
  <si>
    <t>6990111</t>
  </si>
  <si>
    <t>FIAT UNO II 3Д 1988-2002 СТ ПЕР ДВ ОП ПР ЗЛ+2ОТВ+ФИТ</t>
  </si>
  <si>
    <t>6190093</t>
  </si>
  <si>
    <t>FIAT UNO II 1988-2002 СТ ПЕР ДВ ОП ПР ЗЛ+2ОТВ/FIAT UNO 5Д/FIORINO 1985-1988 СТ ПЕР ДВ ОП ПР ЗЛ+ФИТ</t>
  </si>
  <si>
    <t>6190094</t>
  </si>
  <si>
    <t>FIAT UNO II 1988-2002 СТ ЗАДН ДВ ОП ПР ЗЛ/FIAT UNO 1985-1988 СТ ЗАДН ДВ ОП ПР ЗЛ+ФИТ</t>
  </si>
  <si>
    <t>COUPE S2000 PINNINFARINA 1994-2001</t>
  </si>
  <si>
    <t>6961218</t>
  </si>
  <si>
    <t>FIAT 175 PINNINFARINA COUPE 1994-2001 СТ ВЕТР ЗЛ</t>
  </si>
  <si>
    <t>6100276</t>
  </si>
  <si>
    <t>FIAT 175 PINNINFARINA COUPE 1994-2001  МОЛД  ДЛЯ СТ ВЕТР</t>
  </si>
  <si>
    <t>6995524</t>
  </si>
  <si>
    <t>FIAT 175 PINNINFARINA COUPE 1994-2001 СТ ПЕР ДВ ОП ПР ЗЛ</t>
  </si>
  <si>
    <t>ULYSSE 1994-2002 /SCUDIO 1996-2002</t>
  </si>
  <si>
    <t>6190012</t>
  </si>
  <si>
    <t>1994-2002</t>
  </si>
  <si>
    <t>FIAT ULYSSE 1994-2002 /SCUDIO 1996-2002  СТ ВЕТР /CITROEN EVASION 1994- /PG JUMPY 1996-  СТ ВЕТР</t>
  </si>
  <si>
    <t>6190013</t>
  </si>
  <si>
    <t>FIAT ULYSSE 1994-2002 /SCUDIO 1996-2002  СТ ВЕТР ЗЛ/CITROEN EVASION 1994- /PG JUMPY 1996-  СТ ВЕТР ЗЛ</t>
  </si>
  <si>
    <t>6100056</t>
  </si>
  <si>
    <t>FIAT ULYSSE 1994-2002 /SCUDIO 1996-2002 МОЛД  ДЛЯ СТ ВЕТР</t>
  </si>
  <si>
    <t>6190014</t>
  </si>
  <si>
    <t>FIAT ULYSSE МИН 1994-2002 /SCUDIO 1996-2002 МИН СТ ЗАДН ЛВ/CITROEN JUMPY 1996-  СТ ЗАДН ЭО ЛВ</t>
  </si>
  <si>
    <t>6190015</t>
  </si>
  <si>
    <t>FIAT ULYSSE МИН 1994-2002 /SCUDIO 1996-2002 МИН СТ ЗАДН ЛВ Б/ЭО/CITROEN JUMPY 1996-  СТ ЗАДН ЛВ</t>
  </si>
  <si>
    <t>6190016</t>
  </si>
  <si>
    <t>FIAT ULYSSE МИН 1994-2002 /SCUDIO 1996-2002 МИН СТ ЗАДН ПР/CITROEN JUMPY 1996-  СТ ЗАДН ЭО ПР</t>
  </si>
  <si>
    <t>6190017</t>
  </si>
  <si>
    <t>FIAT ULYSSE МИН 1994-2002 /SCUDIO 1996-2002 МИН СТ ЗАДН ПР Б/ЭО/CITROEN JUMPY 1996-  СТ ЗАДН ПР</t>
  </si>
  <si>
    <t>6190019</t>
  </si>
  <si>
    <t>FIAT ULYSSE МИН 1994-2002 /SCUDIO 1996-2002 МИН СТ ЗАДН ЗЛ+СТОП/CITROEN EVASION 1994-  СТ ЗАДН ЭО ЗЛ+СТОП</t>
  </si>
  <si>
    <t>6190020</t>
  </si>
  <si>
    <t>FIAT ULYSSE МИН 1994-2002 /SCUDIO 1996-2002 МИН СТ ЗАДН ЗЛ ЛВ/CITROEN JUMPY 1996-  СТ ЗАДН ЭО ЛВ ЗЛ</t>
  </si>
  <si>
    <t>6190021</t>
  </si>
  <si>
    <t>FIAT ULYSSE МИН 1994-2002 /SCUDIO 1996-2002 МИН СТ ЗАДН ЗЛ ЛВ Б/ЭО/CITROEN JUMPY 1996-  СТ ЗАДН ЛВ ЗЛ</t>
  </si>
  <si>
    <t>6190022</t>
  </si>
  <si>
    <t>FIAT ULYSSE МИН 1994-2002 /SCUDIO 1996-2002 МИН СТ ЗАДН ЗЛ ПР/CITROEN JUMPY 1996-  СТ ЗАДН ЭО ПР ЗЛ</t>
  </si>
  <si>
    <t>6190023</t>
  </si>
  <si>
    <t>FIAT ULYSSE МИН 1994-2002 /SCUDIO 1996-2002 МИН СТ ЗАДН ЗЛ ПР Б/ЭО/CITROEN JUMPY 1996-  СТ ЗАДН ПР ЗЛ</t>
  </si>
  <si>
    <t>6190024</t>
  </si>
  <si>
    <t>FIAT ULYSSE 1994-2002 /SCUDIO 1996-2002  СТ ПЕР ДВ ОП ЛВ/CITROEN EVASION 1994- /JUMPY 1996- СТ ПЕР ДВ ОП ЛВ</t>
  </si>
  <si>
    <t>6190025</t>
  </si>
  <si>
    <t>FIAT ULYSSE 1994-2002 /SCUDIO 1996-2002  СТ ПЕР НЕП ЛВ/CITROEN EVASION 1994- /JUMPY 1996-  СТ ПЕР НЕП ЛВ</t>
  </si>
  <si>
    <t>6190030</t>
  </si>
  <si>
    <t>FIAT ULYSSE 1994-2002 /SCUDIO 1996-2002  СТ ПЕР ДВ НЕП ЛВ ЗЛ/CITROEN EVASION 1994- /JUMPY 1996- СТ ПЕР НЕП ЛВ ЗЛ</t>
  </si>
  <si>
    <t>6190032</t>
  </si>
  <si>
    <t>FIAT ULYSSE 1994-2002 /SCUDIO 1996-2002  СТ ЗАДН ДВ ОП ЛВ ЗЛ/CITROEN EVASION 1994-  СТ ЗАДН ДВ ОП ЛВ ЗЛ</t>
  </si>
  <si>
    <t>6190033</t>
  </si>
  <si>
    <t>FIAT ULYSSE 1994-2002 /SCUDIO 1996-2002  СТ ЗАДН НЕП ЛВ ЗЛ ОТКР/CITROEN EVASION 1994-  СТ БОК ПОД ЛВ ЗЛ ОТКР</t>
  </si>
  <si>
    <t>6190034</t>
  </si>
  <si>
    <t>FIAT ULYSSE 1994-2002 /SCUDIO 1996-2002  СТ ПЕР ДВ ОП ПР/CITROEN EVASION 1994- /JUMPY 1996- СТ ПЕР ДВ ОП ПР</t>
  </si>
  <si>
    <t>6190035</t>
  </si>
  <si>
    <t>FIAT ULYSSE 1994-2002 /SCUDIO 1996-2002  СТ ПЕР ДВ НЕП ПР /CITROEN EVASION 1994- /JUMPY 1996-  СТ ПЕР НЕП ПР</t>
  </si>
  <si>
    <t>6190039</t>
  </si>
  <si>
    <t>FIAT ULYSSE 1994-2002 /SCUDIO 1996-2002  СТ ПЕР ДВ НЕП ПР ЗЛ/CITROEN EVASION 1994- /JUMPY 1996-  СТ ПЕР НЕП ПР ЗЛ</t>
  </si>
  <si>
    <t>6190041</t>
  </si>
  <si>
    <t>FIAT ULYSSE 1994-2002 /SCUDIO 1996-2002  СТ ЗАДН ДВ ОП ПР ЗЛ/CITROEN EVASION 1994-  СТ ЗАДН ДВ ОП ПР ЗЛ</t>
  </si>
  <si>
    <t>6190042</t>
  </si>
  <si>
    <t>FIAT ULYSSE 1994-2002 /SCUDIO 1996-2002  СТ БОК НЕП ПР ЗЛ ОТКР/CITROEN EVASION 1994-  СТ БОК ПОД ПР ЗЛ ОТКР</t>
  </si>
  <si>
    <t>C-MAX/GRAND C-MAX 2010-</t>
  </si>
  <si>
    <t>6965647</t>
  </si>
  <si>
    <t>FORD C-MAX/GRAND C-MAX 2010-СТ ВЕТР ЗЛ+Д</t>
  </si>
  <si>
    <t>6965643</t>
  </si>
  <si>
    <t>FORD C-MAX/GRAND C-MAX 2010-СТ ВЕТР ЗЛ+V</t>
  </si>
  <si>
    <t>6965775</t>
  </si>
  <si>
    <t>FORD C-MAX 2010-СТ ВЕТР ЗЛ+ЭО+ДД+VIN+ДО</t>
  </si>
  <si>
    <t>6965645</t>
  </si>
  <si>
    <t>FORD C-MAX 2010-СТ ВЕТР ЗЛАКУСТ+ЭО+ДД+VI</t>
  </si>
  <si>
    <t>6965644</t>
  </si>
  <si>
    <t>FORD C-MAX 2010-СТ ВЕТР ЗЛАКУСТ+ЭО+VIN+Д</t>
  </si>
  <si>
    <t>CORTINA MK5 1981-1982</t>
  </si>
  <si>
    <t>6963444</t>
  </si>
  <si>
    <t>1981-1982</t>
  </si>
  <si>
    <t>FORD CORTINA MK5 1981-1982 СТ ВЕТР+КР</t>
  </si>
  <si>
    <t>COUGAR 1998-2001</t>
  </si>
  <si>
    <t>6963262</t>
  </si>
  <si>
    <t>FORD COUGAR 1998-2001  СТ ВЕТР ЗЛ ЭО+VIN</t>
  </si>
  <si>
    <t>6963287</t>
  </si>
  <si>
    <t>FORD COUGAR 1998-2001  СТ ВЕТР ЗЛ+VIN</t>
  </si>
  <si>
    <t>ECONOLINE 1992-1999</t>
  </si>
  <si>
    <t>6963847</t>
  </si>
  <si>
    <t>1992-1999</t>
  </si>
  <si>
    <t>FORD ECONOLINE 1992-1999 СТ ВЕТР ЗЛГЛ+VIN+УО</t>
  </si>
  <si>
    <t>ESCAPE JEEP 2001-</t>
  </si>
  <si>
    <t>6190930</t>
  </si>
  <si>
    <t>FORD ESCAPE JEEP 2001- СТ ВЕТР ЗЛ+VIN+УО/MAZDA TRIBUTE 2001-  СТ ВЕТР ЗЛ+VIN+УО</t>
  </si>
  <si>
    <t>ESCORT III 1980-1990</t>
  </si>
  <si>
    <t>6969115</t>
  </si>
  <si>
    <t>1980-1990</t>
  </si>
  <si>
    <t>FORD ESCORT III СД+УН+КБ/ORION 1980-1990 СТ ВЕТР БР+ИЗМ КР</t>
  </si>
  <si>
    <t>6969116</t>
  </si>
  <si>
    <t>FORD ESCORT III СД+УН+КБ/ORION 1980-1990 СТ ВЕТР БРГЛ</t>
  </si>
  <si>
    <t>6969113</t>
  </si>
  <si>
    <t>FORD ESCORT III СД+УН+КБ/ORION 1980-1990 СТ ВЕТР</t>
  </si>
  <si>
    <t>6969114</t>
  </si>
  <si>
    <t>FORD ESCORT III СД+УН+КБ/ORION 1980-1990 СТ ВЕТР ЗЛ+КР</t>
  </si>
  <si>
    <t>6969130</t>
  </si>
  <si>
    <t>FORD ESCORT III СД+УН+КБ/ORION 1980-1990 СТ ЗЛГЛ</t>
  </si>
  <si>
    <t>6969117</t>
  </si>
  <si>
    <t>FORD ESCORT III СД+УН+КБ/ORION 1980-1990 СТ ВЕТР ЗЛЗЛ+КР</t>
  </si>
  <si>
    <t>6101252</t>
  </si>
  <si>
    <t>FORD ESCORT III СД+УН+КБ/ORION 1980-1990 РЕЗ ПРОФ ДЛЯ СТ ВЕТР</t>
  </si>
  <si>
    <t>6998640</t>
  </si>
  <si>
    <t>FORD ESCORT III УН 1980-1990 СТ ЗАДН</t>
  </si>
  <si>
    <t>6998727</t>
  </si>
  <si>
    <t>FORD ESCORT III СД 1980-1990 СТ ЗАДН ЭО</t>
  </si>
  <si>
    <t>6998938</t>
  </si>
  <si>
    <t>FORD ESCORT III СД 1980-1990 СТ ЗАДН+АНТ</t>
  </si>
  <si>
    <t>6998939</t>
  </si>
  <si>
    <t>FORD ESCORT III СД 1980-1990 СТ ЗАДН ЭО ЗЛ+АНТ</t>
  </si>
  <si>
    <t>6996668</t>
  </si>
  <si>
    <t>FORD ESCORT III СД+УН+КБ/ORION 1980-1990 СТ ПЕР ДВ ОП ЛВ</t>
  </si>
  <si>
    <t>6996669</t>
  </si>
  <si>
    <t>FORD ESCORT III СД 3Д 1980-1990 СТ БОК ЛВ</t>
  </si>
  <si>
    <t>6996671</t>
  </si>
  <si>
    <t>6996672</t>
  </si>
  <si>
    <t>FORD ESCORT III СД+УН+КБ/ORION 1980-1990 СТ ЗАДН ДВ ОП ЛВ</t>
  </si>
  <si>
    <t>6993525</t>
  </si>
  <si>
    <t>FORD ESCORT III СД+УН+КБ/ORION 1980-1990 07/81 СТ БОК НЕП ЛВ+ИЗМ РАЗМ</t>
  </si>
  <si>
    <t>6996682</t>
  </si>
  <si>
    <t>FORD ESCORT III СД+УН+КБ/ORION 1980-1990 СТ ПЕР ДВ ОП ЛВ ЗЛ</t>
  </si>
  <si>
    <t>6996683</t>
  </si>
  <si>
    <t>FORD ESCORT III СД 3Д 1980-1990 СТ БОК НЕП ЛВ ЗЛ</t>
  </si>
  <si>
    <t>6999088</t>
  </si>
  <si>
    <t>FORD ESCORT III СД+УН+КБ/ORION 1980-1990  СТ ПЕР ДВ ОП ЛВ ЗЛ</t>
  </si>
  <si>
    <t>6999096</t>
  </si>
  <si>
    <t>FORD ESCORT III СД+УН+КБ/ORION 1980-1990 СТ ЗАДН ДВ ОП ЛВ ЗЛ</t>
  </si>
  <si>
    <t>6993527</t>
  </si>
  <si>
    <t>FORD ESCORT III СД+УН+КБ/ORION 1980-1990 СТ БОК НЕП ЛВ+ИЗМ РАЗМ</t>
  </si>
  <si>
    <t>6996676</t>
  </si>
  <si>
    <t>FORD ESCORT III СД+УН+КБ/ORION 1980-1990 СТ ПЕР ДВ ОП ПР</t>
  </si>
  <si>
    <t>6996677</t>
  </si>
  <si>
    <t>FORD ESCORT III СД 3Д 1980-1990 СТ БОК НЕП ПР</t>
  </si>
  <si>
    <t>6996679</t>
  </si>
  <si>
    <t>6996680</t>
  </si>
  <si>
    <t>FORD ESCORT III СД+УН+КБ/ORION 1980-1990 СТ ЗАДН ДВ ОП ПР</t>
  </si>
  <si>
    <t>6996681</t>
  </si>
  <si>
    <t>FORD ESCORT III СД 5Д 1980-1990 СТ БОК НЕП ПР</t>
  </si>
  <si>
    <t>6993526</t>
  </si>
  <si>
    <t>FORD ESCORT III СД+УН+КБ/ORION 1980-1990 07/81 СТ БОК НЕП ПР+ИЗМ РАЗМ</t>
  </si>
  <si>
    <t>6996686</t>
  </si>
  <si>
    <t>FORD ESCORT III СД+УН3Д 1980-1990 СТ ПЕР ДВ ОП ПР ЗЛ</t>
  </si>
  <si>
    <t>6999089</t>
  </si>
  <si>
    <t>FORD ESCORT III СД+УН5Д 1980-1990  СТ ПЕР ДВ ОП ПР ЗЛ</t>
  </si>
  <si>
    <t>6999097</t>
  </si>
  <si>
    <t>FORD ESCORT III СД+УН+КБ/ORION 1980-1990 СТ ЗАДН ДВ ОП ПР ЗЛ</t>
  </si>
  <si>
    <t>6996689</t>
  </si>
  <si>
    <t>FORD ESCORT III СД 5Д 1980-1990 СТ БОК ПР ЗЛ</t>
  </si>
  <si>
    <t>6993528</t>
  </si>
  <si>
    <t>FORD ESCORT III СД+УН+КБ/ORION 1980-1990 СТ БОК НЕП ПР+ИЗМ РАЗМ</t>
  </si>
  <si>
    <t>ESCORT IV MK4 1990-1998</t>
  </si>
  <si>
    <t>6969121</t>
  </si>
  <si>
    <t>FORD ESCORT IV СД+УН+КБ 1990-1994 СТ ВЕТР КР</t>
  </si>
  <si>
    <t>6969098</t>
  </si>
  <si>
    <t>FORD ESCORT IV СД+УН+КБ 1994-1998  СТ ВЕТР+КР+VIN</t>
  </si>
  <si>
    <t>6969122</t>
  </si>
  <si>
    <t>FORD ESCORT IV СД+УН+КБ 1990-1998  СТ ВЕТР ЗЛ</t>
  </si>
  <si>
    <t>6968108</t>
  </si>
  <si>
    <t>FORD ESCORT IV СД+УН+КБ 1990-1998  СТ ВЕТР ЗЛГЛ</t>
  </si>
  <si>
    <t>6969096</t>
  </si>
  <si>
    <t>FORD ESCORT IV СД+УН+КБ 1994-1998 СТ ВЕТР ЗЛГЛ+VIN</t>
  </si>
  <si>
    <t>6968107</t>
  </si>
  <si>
    <t>FORD ESCORT IV СД+УН+КБ 1990-1998  СТ ВЕТР ЗЛЗЛ</t>
  </si>
  <si>
    <t>6969097</t>
  </si>
  <si>
    <t>FORD ESCORT IV 1990-1998 СТ ВЕТР ЗЛЗЛ+VIN</t>
  </si>
  <si>
    <t>6963302</t>
  </si>
  <si>
    <t>FORD ESCORT IV СД+УН+КБ 1990-1998  СТ ВЕТР ЗЛ ЭО</t>
  </si>
  <si>
    <t>6963303</t>
  </si>
  <si>
    <t>FORD ESCORT IV СД+УН+КБ 1994-1998 СТ ВЕТР ЗЛ+ЭО+VIN</t>
  </si>
  <si>
    <t>6969099</t>
  </si>
  <si>
    <t>FORD ESCORT IV СД+УН+КБ 1994-1998 СТ ВЕТР ЗЛ+VIN</t>
  </si>
  <si>
    <t>6100067</t>
  </si>
  <si>
    <t>FORD ESCORT IV СД+УН+КБ 1994-1998 МОЛД  ДЛЯ СТ ВЕТР</t>
  </si>
  <si>
    <t>6102332</t>
  </si>
  <si>
    <t>FORD ESCORT IV СД+УН+КБ 1994-1998 МОЛД  ДЛЯ СТ ВЕТР ВЕРХ</t>
  </si>
  <si>
    <t>6998942</t>
  </si>
  <si>
    <t>FORD ESCORT IV УН 1990-1998  СТ ЗАДН ЭО</t>
  </si>
  <si>
    <t>6980285</t>
  </si>
  <si>
    <t>1990-1992</t>
  </si>
  <si>
    <t>FORD ESCORT IV ХБ 1990-1992 СТ ЗАДН ДВ</t>
  </si>
  <si>
    <t>6998943</t>
  </si>
  <si>
    <t>1993-1998</t>
  </si>
  <si>
    <t>FORD ESCORT IV ХБ 1993-1998 СТ ЗАДН ЭО+ИЗМ РАЗМ</t>
  </si>
  <si>
    <t>6998891</t>
  </si>
  <si>
    <t>FORD ESCORT IV МИН 1990-1998  СТ ЗАДН ЛВ Б/ЭО</t>
  </si>
  <si>
    <t>6998892</t>
  </si>
  <si>
    <t>FORD ESCORT IV МИН 1990-1998  СТ ЗАДН ПР Б/ЭО</t>
  </si>
  <si>
    <t>6998733</t>
  </si>
  <si>
    <t>FORD ESCORT IV УН 1990-08/1997 СТ ЗАДН ЭО ЗЛ</t>
  </si>
  <si>
    <t>6992951</t>
  </si>
  <si>
    <t>FORD ESCORT IV ХБ 1990-1992 СТ ЗАДН ДВ ЗЛ</t>
  </si>
  <si>
    <t>6998734</t>
  </si>
  <si>
    <t>FORD ESCORT IV ХБ 1993-08/1997 СТ ЗАДН ЭО ЗЛ+ИЗМ РАЗМ</t>
  </si>
  <si>
    <t>6998735</t>
  </si>
  <si>
    <t>FORD ESCORT IV ХБ 1990-08/1997  СТ ЗАДН ЭО ЗЛ+СТОП+ИЗМ РАЗМ</t>
  </si>
  <si>
    <t>6998736</t>
  </si>
  <si>
    <t>FORD ESCORT IV СД 1990-1998  СТ ЗАДН ЗЛ</t>
  </si>
  <si>
    <t>6100412</t>
  </si>
  <si>
    <t>FORD ESCORT IV ХБ 1990-1992 МОЛД  ДЛЯ СТ ЗАДН</t>
  </si>
  <si>
    <t>6996706</t>
  </si>
  <si>
    <t>FORD ESCORT IV УН 1990-1998  СТ ЗАДН ДВ ОП ЛВ</t>
  </si>
  <si>
    <t>6994408</t>
  </si>
  <si>
    <t>FORD ESCORT IV УН 1990-1998  СТ БОК ЛВ</t>
  </si>
  <si>
    <t>6994409</t>
  </si>
  <si>
    <t>FORD ESCORT IV 3Д ХБ 1990-1998  СТ ПЕР ДВ ОП ЛВ</t>
  </si>
  <si>
    <t>6999071</t>
  </si>
  <si>
    <t>FORD ESCORT IV 5Д ХБ+СД+УН+VAN 1990-1998 СТ ПЕР ДВ ОП ЛВ</t>
  </si>
  <si>
    <t>6994410</t>
  </si>
  <si>
    <t>FORD ESCORT IV 5Д ХБ+СД 1990-1998  СТ ЗАДН ДВ ОП ЛВ</t>
  </si>
  <si>
    <t>6996710</t>
  </si>
  <si>
    <t>FORD ESCORT IV УН 1990-1998  СТ ЗАДН ДВ ОП ЛВ ЗЛ</t>
  </si>
  <si>
    <t>6994414</t>
  </si>
  <si>
    <t>FORD ESCORT IV УН 1990-1998  СТ БОК ЛВ ЗЛ</t>
  </si>
  <si>
    <t>6994415</t>
  </si>
  <si>
    <t>FORD ESCORT IV 3Д ХБ 1990-1998  СТ ПЕР ДВ ОП ЛВ ЗЛ</t>
  </si>
  <si>
    <t>6996711</t>
  </si>
  <si>
    <t>FORD ESCORT IV ХБ 1990-1998  СТ БОК НЕП ЛВ ЗЛ</t>
  </si>
  <si>
    <t>6999073</t>
  </si>
  <si>
    <t>FORD ESCORT IV 5Д ХБ+СД+УН+VAN 1990-1998 СТ ПЕР ДВ ОП ЛВ ЗЛ</t>
  </si>
  <si>
    <t>6996712</t>
  </si>
  <si>
    <t>FORD ESCORT IV 5Д ХБ+СД 1990-1998 СТ ЗАДН ДВ ОП ЛВ ЗЛ</t>
  </si>
  <si>
    <t>6996708</t>
  </si>
  <si>
    <t>FORD ESCORT IV УН 1990-1998  СТ ЗАДН ДВ ОП ПР</t>
  </si>
  <si>
    <t>6994412</t>
  </si>
  <si>
    <t>FORD ESCORT IV ХБ 1990-1998  СТ ПЕР ДВ ОП ПР</t>
  </si>
  <si>
    <t>6999072</t>
  </si>
  <si>
    <t>FORD ESCORT IV 5Д ХБ+СД+УН+VAN 1990-1998 СТ ПЕР ДВ ОП ПР</t>
  </si>
  <si>
    <t>6994413</t>
  </si>
  <si>
    <t>FORD ESCORT IV 5Д ХБ+СД 1990-1998  СТ ЗАДН ДВ ОП ПР</t>
  </si>
  <si>
    <t>6996713</t>
  </si>
  <si>
    <t>FORD ESCORT IV УН 1990-1998  СТ ЗАДН ДВ ОП ПР ЗЛ</t>
  </si>
  <si>
    <t>6994416</t>
  </si>
  <si>
    <t>FORD ESCORT IV УН 1990-1998  СТ БОК ПР ЗЛ</t>
  </si>
  <si>
    <t>6994417</t>
  </si>
  <si>
    <t>FORD ESCORT IV 3Д ХБ 1990-1998  СТ ПЕР ДВ ОП ПР ЗЛ</t>
  </si>
  <si>
    <t>6996714</t>
  </si>
  <si>
    <t>FORD ESCORT IV ХБ 1990-1998  СТ БОК НЕП ПР ЗЛ</t>
  </si>
  <si>
    <t>6999074</t>
  </si>
  <si>
    <t>FORD ESCORT IV 5Д ХБ+СД+УН+VAN 1990-1998 СТ ПЕР ДВ ОП ПР ЗЛ</t>
  </si>
  <si>
    <t>6996715</t>
  </si>
  <si>
    <t>FORD ESCORT IV 5Д ХБ+СД 1990-1998 СТ ЗАДН ДВ ОП ПР ЗЛ</t>
  </si>
  <si>
    <t>EXPEDITION 5Д 1997-2002</t>
  </si>
  <si>
    <t>6963011</t>
  </si>
  <si>
    <t>FORD EXPEDITION 1997-2003 СТ ВЕТР ЗЛГЛ+VIN+ИНК</t>
  </si>
  <si>
    <t>6963014</t>
  </si>
  <si>
    <t>FORD EXPEDITION 2003-2006 СТ ВЕТР ЗЛГЛ+VIN</t>
  </si>
  <si>
    <t>6900501</t>
  </si>
  <si>
    <t>FORD EXPEDITION 1997-2003 СТ ПЕР ДВ ОП ЛВ ЗЛ+УО</t>
  </si>
  <si>
    <t>6900502</t>
  </si>
  <si>
    <t>FORD EXPEDITION 1997-2003 СТ ПЕР ДВ ОП ПР ЗЛ+УО</t>
  </si>
  <si>
    <t>6900499</t>
  </si>
  <si>
    <t>FORD EXPEDITION 2003-2006 СТ ПЕР ДВ ОП ПР ЗЛ</t>
  </si>
  <si>
    <t>EXPLORER 2006-</t>
  </si>
  <si>
    <t>6962975</t>
  </si>
  <si>
    <t>2006-2010</t>
  </si>
  <si>
    <t>FORD EXPLORER 2006- СТ ВЕТР ЗЛГЛ+УО/MERCURY MOUNTAINEER 2006- СТ ВЕТР ЗЛГЛ+УО</t>
  </si>
  <si>
    <t>EXPLORER 2002-</t>
  </si>
  <si>
    <t>6962974</t>
  </si>
  <si>
    <t>FORD EXPLORER 2002- СТ ВЕТР ЗЛГЛ+УО</t>
  </si>
  <si>
    <t>EXPLORER 1990-1994</t>
  </si>
  <si>
    <t>6963207</t>
  </si>
  <si>
    <t>FORD EXPLORER 1990-1994 СТ ВЕТР ЗЛГЛ+VIN+ИНК</t>
  </si>
  <si>
    <t>EXPLORER 1990-2001</t>
  </si>
  <si>
    <t>6963211</t>
  </si>
  <si>
    <t>1990-2001</t>
  </si>
  <si>
    <t>FORD EXPLORER 1990-2001  СТ ВЕТР ЗЛГЛ</t>
  </si>
  <si>
    <t>F SERIES F150 2/4D 2004-2007</t>
  </si>
  <si>
    <t>6963010</t>
  </si>
  <si>
    <t>FORD F SERIES F150 2/4D 2004-2007 СТ ВЕТР ЗЛ</t>
  </si>
  <si>
    <t>FIESTA I 1976-1981</t>
  </si>
  <si>
    <t>6969101</t>
  </si>
  <si>
    <t>1976-1981</t>
  </si>
  <si>
    <t>FORD FIESTA I 1976-1981 СТ ВЕТР</t>
  </si>
  <si>
    <t>6999051</t>
  </si>
  <si>
    <t>FORD FIESTA I 1976-1981 СТ ПЕР ДВ ОП ЛВ</t>
  </si>
  <si>
    <t>6993531</t>
  </si>
  <si>
    <t>FORD FIESTA I 1976-1981 СТ ФОРТ ПЕР ДВ ЛВ</t>
  </si>
  <si>
    <t>6999053</t>
  </si>
  <si>
    <t>FORD FIESTA I 1976-1981 СТ ПЕР ДВ ОП ЛВ ЗЛ</t>
  </si>
  <si>
    <t>6999052</t>
  </si>
  <si>
    <t>FORD FIESTA I 1976-1981 СТ ПЕР ДВ ОП ПР</t>
  </si>
  <si>
    <t>6993532</t>
  </si>
  <si>
    <t>FORD FIESTA I 1976-1981 СТ ФОРТ ПЕР ДВ ПР</t>
  </si>
  <si>
    <t>FIESTA II 1982-1989</t>
  </si>
  <si>
    <t>6969102</t>
  </si>
  <si>
    <t>1982-1989</t>
  </si>
  <si>
    <t>FORD FIESTA II 1982-1989 СТ ВЕТР</t>
  </si>
  <si>
    <t>6969103</t>
  </si>
  <si>
    <t>FORD FIESTA II 1982-1989 СТ ВЕТР ЗЛ</t>
  </si>
  <si>
    <t>6969112</t>
  </si>
  <si>
    <t>FORD FIESTA II 1982-1989 СТ ВЕТР ЗЛГЛ</t>
  </si>
  <si>
    <t>6100549</t>
  </si>
  <si>
    <t>FORD FIESTA II 1982-1989 РЕЗ ПРОФ ДЛЯ СТ ВЕТР</t>
  </si>
  <si>
    <t>6998887</t>
  </si>
  <si>
    <t>FORD FIESTA II ХБ 1982-1989 СТ ЗАДН</t>
  </si>
  <si>
    <t>6998642</t>
  </si>
  <si>
    <t>FORD FIESTA II ХБ 1982-1989 СТ ЗАДН ЗЛ</t>
  </si>
  <si>
    <t>FIESTA 1989-1995</t>
  </si>
  <si>
    <t>6969107</t>
  </si>
  <si>
    <t>1989-1995</t>
  </si>
  <si>
    <t>FORD FIESTA 1989-1995  СТ ВЕТР</t>
  </si>
  <si>
    <t>6969111</t>
  </si>
  <si>
    <t>FORD FIESTA 1989-1995  СТ ВЕТР ЗЛ</t>
  </si>
  <si>
    <t>6968105</t>
  </si>
  <si>
    <t>FORD FIESTA 1989-1995  СТ ВЕТР ЗЛГЛ</t>
  </si>
  <si>
    <t>6968106</t>
  </si>
  <si>
    <t>FORD FIESTA 1989-1995  СТ ВЕТР ЗЛЗЛ</t>
  </si>
  <si>
    <t>6100065</t>
  </si>
  <si>
    <t>FORD FIESTA 1989-1995 РЕЗ ПРОФ ДЛЯ СТ ВЕТР</t>
  </si>
  <si>
    <t>6993535</t>
  </si>
  <si>
    <t>FORD FIESTA ХБ 1989-1995  СТ ЗАДН</t>
  </si>
  <si>
    <t>6998889</t>
  </si>
  <si>
    <t>FORD FIESTA МИН COURIER 2Д 1989-1995  СТ ЗАДН ЭО ЛВ</t>
  </si>
  <si>
    <t>6998890</t>
  </si>
  <si>
    <t>FORD FIESTA МИН COURIER 2Д 1989-1995  СТ ЗАДН ЭО ПР</t>
  </si>
  <si>
    <t>6993536</t>
  </si>
  <si>
    <t>FORD FIESTA ХБ 1989-1995  СТ ЗАДН ЗЛ</t>
  </si>
  <si>
    <t>6100066</t>
  </si>
  <si>
    <t>FORD FIESTA 1989-1995 РЕЗ ПРОФ ДЛЯ СТ ЗАДН</t>
  </si>
  <si>
    <t>6999023</t>
  </si>
  <si>
    <t>FORD FIESTA 3Д+VAN 2Д 1989-1995 СТ ПЕР ДВ ОП ЛВ/FORD FIESTA IV 3Д 1995-2002  СТ ПЕР ДВ ОП ЛВ</t>
  </si>
  <si>
    <t>6996702</t>
  </si>
  <si>
    <t>FORD FIESTA 3Д 1989-1995  СТ БОК ЛВ</t>
  </si>
  <si>
    <t>6999009</t>
  </si>
  <si>
    <t>FORD FIESTA 5Д+COURIER VAN 1989-1995  СТ ПЕР ДВ ОП ЛВ/FORD FIESTA IV 5Д 1995-2002  СТ ПЕР ДВ ОП ЛВ</t>
  </si>
  <si>
    <t>6999062</t>
  </si>
  <si>
    <t>FORD FIESTA 5Д 1989-1995  СТ ЗАДН ДВ ОП ЛВ/FORD FIESTA IV 5Д 1995-2002  СТ ЗАДН ДВ ОП ЛВ</t>
  </si>
  <si>
    <t>6993521</t>
  </si>
  <si>
    <t>FORD FIESTA 5Д 1989-1995  СТ БОК НЕП ЛВ/FORD FIESTA IV 5Д 1995-2002  СТ ФОРТ ЗАДН НЕП ЛВ</t>
  </si>
  <si>
    <t>6999022</t>
  </si>
  <si>
    <t>FORD FIESTA 3Д+VAN 2D 1989-1995  СТ ПЕР ДВ ОП ЛВ ЗЛ/FORD FIESTA IV 3Д 1995-2002  СТ ПЕР ДВ ОП ЛВ ЗЛ</t>
  </si>
  <si>
    <t>6996704</t>
  </si>
  <si>
    <t>FORD FIESTA 3Д 1989-1995  СТ БОК ЛВ ЗЛ</t>
  </si>
  <si>
    <t>6994406</t>
  </si>
  <si>
    <t>FORD FIESTA 3Д RS TURBO 1989-1995 СТ БОК ПОДВ ЛВ ЗЛ</t>
  </si>
  <si>
    <t>6999012</t>
  </si>
  <si>
    <t>FORD FIESTA 5Д+COURIER VAN 1989-1995 СТ ПЕР ДВ ОП ЛВ ЗЛ/FORD FIESTA IV 5Д 1995-2002  СТ ПЕР ДВ ОП ЛВ ЗЛ</t>
  </si>
  <si>
    <t>6999064</t>
  </si>
  <si>
    <t>FORD FIESTA 5Д 1989-1995  СТ ЗАДН ДВ ОП ЛВ ЗЛ/FORD FIESTA IV 5Д 1995-2002  СТ ЗАДН ДВ ОП ЛВ ЗЛ</t>
  </si>
  <si>
    <t>6993523</t>
  </si>
  <si>
    <t>FORD FIESTA 5Д 1989-1995  СТ БОК НЕП ЛВ ЗЛ/FORD FIESTA IV 5Д 1995-2002  СТ ФОРТ ЗАДН НЕП ЛВ ЗЛ</t>
  </si>
  <si>
    <t>6999024</t>
  </si>
  <si>
    <t>FORD FIESTA 3Д+VAN 2D 1989-1995  СТ ПЕР ДВ ОП ПР/FORD FIESTA IV 3Д 1995-2002  СТ ПЕР ДВ ОП ПР</t>
  </si>
  <si>
    <t>6996703</t>
  </si>
  <si>
    <t>FORD FIESTA 3Д 1989-1995  СТ БОК ПР</t>
  </si>
  <si>
    <t>6999010</t>
  </si>
  <si>
    <t>FORD FIESTA 5Д+COURIER VAN 1989-1995  СТ ПЕР ДВ ОП ПР/FORD FIESTA IV 5Д 1995-2002  СТ ПЕР ДВ ОП ПР</t>
  </si>
  <si>
    <t>6999061</t>
  </si>
  <si>
    <t>FORD FIESTA 5Д 1989-1995  СТ ЗАДН ДВ ОП ПР/FORD FIESTA IV 5Д 1995-2002  СТ ЗАДН ДВ ОП ПР</t>
  </si>
  <si>
    <t>6993522</t>
  </si>
  <si>
    <t>FORD FIESTA 5Д 1989-1995  СТ БОК НЕП ПР/FORD FIESTA IV 5Д 1995-2002  СТ ФОРТ ЗАДН НЕП ПР</t>
  </si>
  <si>
    <t>6999021</t>
  </si>
  <si>
    <t>FORD FIESTA 3Д+VAN 2D 1989-1995  СТ ПЕР ДВ ОП ПР ЗЛ/FORD FIESTA IV 3Д 1995-2002  СТ ПЕР ДВ ОП ПР ЗЛ</t>
  </si>
  <si>
    <t>6996705</t>
  </si>
  <si>
    <t>FORD FIESTA 3Д 1989-1995  СТ БОК ПР ЗЛ</t>
  </si>
  <si>
    <t>6994407</t>
  </si>
  <si>
    <t>FORD FIESTA 3Д 1989-1995  СТ БОК ПОД ПР ЗЛ ОТКР</t>
  </si>
  <si>
    <t>6999011</t>
  </si>
  <si>
    <t>FORD FIESTA 5Д+COURIER VAN 1989-1995 СТ ПЕР ДВ ОП ПР ЗЛ/FORD FIESTA IV 5Д 1995-2002  СТ ПЕР ДВ ОП ПР ЗЛ</t>
  </si>
  <si>
    <t>6999063</t>
  </si>
  <si>
    <t>FORD FIESTA 5Д 1989-1995  СТ ЗАДН ДВ ОП ПР ЗЛ/FORD FIESTA IV 5Д 1995-2002  СТ ЗАДН ДВ ОП ПР ЗЛ</t>
  </si>
  <si>
    <t>6993524</t>
  </si>
  <si>
    <t>FORD FIESTA 5Д 1989-1995  СТ БОК НЕП ПР ЗЛ/FORD FIESTA IV 5Д 1995-2002  СТ ФОРТ ЗАДН НЕП ПР ЗЛ</t>
  </si>
  <si>
    <t>FIESTA II 1995-2002</t>
  </si>
  <si>
    <t>6968126</t>
  </si>
  <si>
    <t>FORD FIESTA II 3Д+5Д 1995-2002  СТ ВЕТР/MAZDA 121 3Д+5Д 1996-2002  СТ ВЕТР</t>
  </si>
  <si>
    <t>6961289</t>
  </si>
  <si>
    <t>2000-2002</t>
  </si>
  <si>
    <t>FORD FIESTA II 3Д+5Д 12/2000-2002  СТ ВЕТР/MAZDA 121 3Д+5Д 12/2000-2002  СТ ВЕТР</t>
  </si>
  <si>
    <t>6968127</t>
  </si>
  <si>
    <t>FORD FIESTA II 3Д+5Д 1995-2002  СТ ВЕТР ЗЛ/MAZDA 121 3Д+5Д 1996-2002  СТ ВЕТР ЗЛ</t>
  </si>
  <si>
    <t>6961290</t>
  </si>
  <si>
    <t>FORD FIESTA II 3Д+5Д 12/2000-2002  СТ ВЕТР ЗЛ/MAZDA 121 3Д+5Д 12/2000-2002  СТ ВЕТР ЗЛ</t>
  </si>
  <si>
    <t>6963783</t>
  </si>
  <si>
    <t>FORD FIESTA II 3Д+5Д 1995-2002  СТ ВЕТР ЗЛГЛ/MAZDA 121 3Д+5Д 1996-2002  СТ ВЕТР ЗЛГЛ</t>
  </si>
  <si>
    <t>6961570</t>
  </si>
  <si>
    <t>FORD FIESTA II 3Д+5Д 12/2000-2002  СТ ВЕТР ЗЛГЛ/MAZDA 121 3Д+5Д 2000-2002  СТ ВЕТР ГЛБЛ</t>
  </si>
  <si>
    <t>6963784</t>
  </si>
  <si>
    <t>FORD FIESTA II 3Д+5Д 1995-2002  СТ ВЕТР ЗЛЗЛ/MAZDA 121 3Д+5Д 1996-2002  СТ ВЕТР ЗЛЗЛ</t>
  </si>
  <si>
    <t>6963306</t>
  </si>
  <si>
    <t>FORD FIESTA II 3Д+5Д 2000-2002  СТ ВЕТР ЗЛ ЭО/MAZDA 121 3Д+5Д 1996-2002  СТ ВЕТР ЗЛ+ЭО</t>
  </si>
  <si>
    <t>6100070</t>
  </si>
  <si>
    <t>FORD FIESTA II 3Д+5Д 1995-2002  МОЛД  ДЛЯ СТ ВЕТР</t>
  </si>
  <si>
    <t>6998944</t>
  </si>
  <si>
    <t>FORD FIESTA II ХБ 3Д+5Д 1995-2002  СТ ЗАДН /MAZDA 121 3Д+5Д 1996-2002  СТ ЗАДН</t>
  </si>
  <si>
    <t>6900961</t>
  </si>
  <si>
    <t>FORD FIESTA II COURIER МИН 1995-2002 СТ ЗАДН ЛВ Б/ЭО</t>
  </si>
  <si>
    <t>6998945</t>
  </si>
  <si>
    <t>FORD FIESTA II 3Д+5Д ХБ 1995-2002  СТ ЗАДН ЗЛ /MAZDA 121 3Д+5Д 1996-2002  СТ ЗАДН ЗЛ</t>
  </si>
  <si>
    <t>6980005</t>
  </si>
  <si>
    <t>FORD FIESTA II 3Д+5Д ХБ 1995-2002 СТ ЗАДН ЗЛ+СТОП/MAZDA 121 3D+5D 1996-2002  СТ ЗАДН ЗЛ+СТОП</t>
  </si>
  <si>
    <t>6101019</t>
  </si>
  <si>
    <t>FORD FIESTA II 3Д+5Д 1995-2002    РЕЗ БЕЗ МОЛД ДЛЯ СТ ЗАДН</t>
  </si>
  <si>
    <t>6190116</t>
  </si>
  <si>
    <t>FORD FIESTA II 3Д 1995-2002  СТ ПЕР ДВ ОП ЛВ/FORD FIESTA III 3Д+VAN 2Д 1989-1995 СТ ПЕР ДВ ОП ЛВ</t>
  </si>
  <si>
    <t>6190117</t>
  </si>
  <si>
    <t>FORD FIESTA II 5Д 1995-2002  СТ ПЕР ДВ ОП ЛВ/FORD FIESTA III 5Д+COURIER VAN 1989-1995  СТ ПЕР ДВ ОП ЛВ</t>
  </si>
  <si>
    <t>6190118</t>
  </si>
  <si>
    <t>FORD FIESTA II 5Д 1995-2002  СТ ЗАДН ДВ ОП ЛВ/FORD FIESTA III 5Д 1989-1995  СТ ЗАДН ДВ ОП ЛВ</t>
  </si>
  <si>
    <t>6190119</t>
  </si>
  <si>
    <t>FORD FIESTA II 5Д 1995-2002  СТ ФОРТ ЗАДН НЕП ЛВ/FORD FIESTA III 5Д 1989-1995  СТ БОК НЕП ЛВ</t>
  </si>
  <si>
    <t>6190120</t>
  </si>
  <si>
    <t>FORD FIESTA II 3Д 1995-2002  СТ ПЕР ДВ ОП ЛВ ЗЛ/FORD FIESTA III 3Д+VAN 2D 1989-1995  СТ ПЕР ДВ ОП ЛВ ЗЛ</t>
  </si>
  <si>
    <t>6995665</t>
  </si>
  <si>
    <t>FORD FIESTA II 3Д 1995-2002  СТ БОК НЕП ЛВ ЗЛ/MAZDA 121 3D 1996- СТ БОК НЕП ЛВ ЗЛ</t>
  </si>
  <si>
    <t>6994422</t>
  </si>
  <si>
    <t>FORD FIESTA II 3Д 1995-2002  СТ БОК ПОД ЛВ ЗЛ ОТКР/MAZDA 121 3D 1996- СТ БОК ПОД ЛВ ЗЛ ОТКР</t>
  </si>
  <si>
    <t>6190121</t>
  </si>
  <si>
    <t>FORD FIESTA II 5Д 1995-2002  СТ ПЕР ДВ ОП ЛВ ЗЛ/FORD FIESTA III 5Д+COURIER VAN 1989-1995 СТ ПЕР ДВ ОП ЛВ ЗЛ</t>
  </si>
  <si>
    <t>6190122</t>
  </si>
  <si>
    <t>FORD FIESTA II 5Д 1995-2002  СТ ЗАДН ДВ ОП ЛВ ЗЛ/FORD FIESTA III 5Д 1989-1995  СТ ЗАДН ДВ ОП ЛВ ЗЛ</t>
  </si>
  <si>
    <t>6190123</t>
  </si>
  <si>
    <t>FORD FIESTA II 5Д 1995-2002  СТ ФОРТ ЗАДН НЕП ЛВ ЗЛ/FORD FIESTA III 5Д 1989-1995  СТ БОК НЕП ЛВ ЗЛ</t>
  </si>
  <si>
    <t>6190124</t>
  </si>
  <si>
    <t>FORD FIESTA II 3Д 1995-2002  СТ ПЕР ДВ ОП ПР/FORD FIESTA III 3Д+VAN 2D 1989-1995  СТ ПЕР ДВ ОП ПР</t>
  </si>
  <si>
    <t>6994421</t>
  </si>
  <si>
    <t>FORD FIESTA II 3Д 1995-2002  СТ БОК ПР/MAZDA 121 3D 1996- СТ БОК ПР</t>
  </si>
  <si>
    <t>6190125</t>
  </si>
  <si>
    <t>FORD FIESTA II 5Д 1995-2002  СТ ПЕР ДВ ОП ПР/FORD FIESTA III 5Д+COURIER VAN 1989-1995  СТ ПЕР ДВ ОП ПР</t>
  </si>
  <si>
    <t>6190126</t>
  </si>
  <si>
    <t>FORD FIESTA II 5Д 1995-2002  СТ ЗАДН ДВ ОП ПР/FORD FIESTA III 5Д 1989-1995  СТ ЗАДН ДВ ОП ПР</t>
  </si>
  <si>
    <t>6190127</t>
  </si>
  <si>
    <t>FORD FIESTA II 5Д 1995-2002  СТ ФОРТ ЗАДН НЕП ПР/FORD FIESTA III 5Д 1989-1995  СТ БОК НЕП ПР</t>
  </si>
  <si>
    <t>6190128</t>
  </si>
  <si>
    <t>FORD FIESTA II 3Д 1995-2002  СТ ПЕР ДВ ОП ПР ЗЛ/FORD FIESTA III 3Д+VAN 2D 1989-1995  СТ ПЕР ДВ ОП ПР ЗЛ</t>
  </si>
  <si>
    <t>6995666</t>
  </si>
  <si>
    <t>FORD FIESTA II 3Д 1995-2002  СТ БОК НЕП ПР ЗЛ/MAZDA 121 3D 1996- СТ БОК НЕП ПР ЗЛ</t>
  </si>
  <si>
    <t>6190129</t>
  </si>
  <si>
    <t>FORD FIESTA II 5Д 1995-2002  СТ ПЕР ДВ ОП ПР ЗЛ/FORD FIESTA III 5Д+COURIER VAN 1989-1995 СТ ПЕР ДВ ОП ПР ЗЛ</t>
  </si>
  <si>
    <t>6190130</t>
  </si>
  <si>
    <t>FORD FIESTA II 5Д 1995-2002  СТ ЗАДН ДВ ОП ПР ЗЛ/FORD FIESTA III 5Д 1989-1995  СТ ЗАДН ДВ ОП ПР ЗЛ</t>
  </si>
  <si>
    <t>6190131</t>
  </si>
  <si>
    <t>FORD FIESTA II 5Д 1995-2002  СТ ФОРТ ЗАДН НЕП ПР ЗЛ/FORD FIESTA III 5Д 1989-1995  СТ БОК НЕП ПР ЗЛ</t>
  </si>
  <si>
    <t>FIESTA III 2002-2008</t>
  </si>
  <si>
    <t>6961760</t>
  </si>
  <si>
    <t>2002-2008</t>
  </si>
  <si>
    <t>FORD FIESTA III 2002-2008  СТ ВЕТР ЗЛ+IIIIN+УО</t>
  </si>
  <si>
    <t>6960969</t>
  </si>
  <si>
    <t>FORD FIESTA III 2002-2008  СТ ВЕТР ЗЛ+VIN+УО</t>
  </si>
  <si>
    <t>6102098</t>
  </si>
  <si>
    <t>FORD FIESTA III 2002-2008 МОЛД  ДЛЯ СТ ВЕТР</t>
  </si>
  <si>
    <t>6992704</t>
  </si>
  <si>
    <t>FORD FIESTA III ХБ 5Д 2002-2008  СТ ЗАДН ЗЛ+УО</t>
  </si>
  <si>
    <t>6992717</t>
  </si>
  <si>
    <t>FORD FIESTA III ХБ 3Д 2002-2008  СТ ЗАДН ЗЛ+УО</t>
  </si>
  <si>
    <t>6993724</t>
  </si>
  <si>
    <t>FORD FIESTA III 2002-2008  СТ ПЕР ДВ ОП ЛВ ЗЛ</t>
  </si>
  <si>
    <t>6993061</t>
  </si>
  <si>
    <t>FORD FIESTA III 2002-2008  СТ ПЕР ДВ ОП ЛВ ЗЛ+УО</t>
  </si>
  <si>
    <t>6993725</t>
  </si>
  <si>
    <t>FORD FIESTA III 2002-2008  СТ ЗАДН ДВ ОП ЛВ ЗЛ</t>
  </si>
  <si>
    <t>6993726</t>
  </si>
  <si>
    <t>FORD FIESTA III 2002-2008  СТ БОК НЕП ЛВ ЗЛ+УО</t>
  </si>
  <si>
    <t>6993727</t>
  </si>
  <si>
    <t>FORD FIESTA III 2002-2008  СТ ПЕР ДВ ОП ПР ЗЛ</t>
  </si>
  <si>
    <t>6996400</t>
  </si>
  <si>
    <t>FORD FIESTA III 2002-2008  СТ БОК НЕП ПР ЗЛ+УО</t>
  </si>
  <si>
    <t>6993063</t>
  </si>
  <si>
    <t>FORD FIESTA III 2002-2008  СТ ПЕР ДВ ОП ПР ЗЛ+УО</t>
  </si>
  <si>
    <t>6993728</t>
  </si>
  <si>
    <t>FORD FIESTA III 2002-2008  СТ ЗАДН ДВ ОП ПР ЗЛ</t>
  </si>
  <si>
    <t>FIESTA IV 5Д ХБ 2008-</t>
  </si>
  <si>
    <t>6963056</t>
  </si>
  <si>
    <t>FORD FIESTA IV 2008- СТ ВЕТР ЗЛ+VIN+УО</t>
  </si>
  <si>
    <t>6963055</t>
  </si>
  <si>
    <t>FORD FIESTA 08-СТ ВЕТР ЗЛ+ДД+VIN+УО+ИЗМ КР</t>
  </si>
  <si>
    <t>6996427</t>
  </si>
  <si>
    <t>FORD FIESTA IV ХБ 5Д 2008- СТ ПЕР ДВ ОП ЛВ ЗЛ</t>
  </si>
  <si>
    <t>6996422</t>
  </si>
  <si>
    <t>FORD FIESTA IV 5Д ХБ 2008- СТ ЗАДН ДВ ОП ЛВ ЗЛ</t>
  </si>
  <si>
    <t>6996429</t>
  </si>
  <si>
    <t>FORD FIESTA IV ХБ 3Д 2008-  СТ ПЕР ДВ ОП ЛВ ЗЛ</t>
  </si>
  <si>
    <t>6996425</t>
  </si>
  <si>
    <t>FORD FIESTA IV ХБ 5Д 2008-  СТ ЗАДН ОП ЛВ СР</t>
  </si>
  <si>
    <t>6996426</t>
  </si>
  <si>
    <t>FORD FIESTA IV ХБ 5Д 2008- СТ ПЕР ДВ ОП ПР ЗЛ</t>
  </si>
  <si>
    <t>6996428</t>
  </si>
  <si>
    <t>FORD FIESTA IV ХБ 3Д 2008-  СТ ПЕР ДВ ОП ПР ЗЛ</t>
  </si>
  <si>
    <t>6996423</t>
  </si>
  <si>
    <t>FORD FIESTA IV 5Д ХБ 2008- СТ ЗАДН ДВ ОП ПР ЗЛ</t>
  </si>
  <si>
    <t>6996424</t>
  </si>
  <si>
    <t>FORD FIESTA IV ХБ 5Д 2008-  СТ ЗАДН ОП ПР СР</t>
  </si>
  <si>
    <t>FOCUS I 1998-2004</t>
  </si>
  <si>
    <t>6961036</t>
  </si>
  <si>
    <t>FORD FOCUS I ХБ+СД+УН 1998-2004 СТ ВЕТР ЗЛГЛ+VIN+УО</t>
  </si>
  <si>
    <t>6961037</t>
  </si>
  <si>
    <t>FORD FOCUS I ХБ+СД+УН 1998-2004 СТ ВЕТР ЗЛЗЛ+VIN+УО</t>
  </si>
  <si>
    <t>6960727</t>
  </si>
  <si>
    <t>FORD FOCUS I ХБ+СД+УН 1998-2004 СТ ВЕТР ЭО ЗЛ+VIN ФИТ</t>
  </si>
  <si>
    <t>6960734</t>
  </si>
  <si>
    <t>2001-2004</t>
  </si>
  <si>
    <t>FORD FOCUS I ХБ+СД+УН 2001-2004 СТ ВЕТР ЭО ЗЛ+VIN+УО</t>
  </si>
  <si>
    <t>6963310</t>
  </si>
  <si>
    <t>FORD FOCUS I 1998-2004 СТ ВЕТР ЗЛ+VIN+УО</t>
  </si>
  <si>
    <t>6961164</t>
  </si>
  <si>
    <t>FORD FOCUS I 3Д 1998-2004  СТ ВЕТР ЗЛ+VIN</t>
  </si>
  <si>
    <t>6100256</t>
  </si>
  <si>
    <t>FORD FOCUS I ХБ+СЕД+УН 1998-2004 МОЛД  ДЛЯ СТ ВЕТР С АЛЮМ ВСТАВКОЙ</t>
  </si>
  <si>
    <t>6998893</t>
  </si>
  <si>
    <t>FORD FOCUS I УН 1998-2004  СТ ЗАДН ДВ ЗЛ+СТОП</t>
  </si>
  <si>
    <t>6998894</t>
  </si>
  <si>
    <t>FORD FOCUS I ХБ 1998-2004  СТ ЗАДН ЗЛ+ФИТ</t>
  </si>
  <si>
    <t>6998895</t>
  </si>
  <si>
    <t>FORD FOCUS I СД 1998-2004  СТ ЗАДН ЭО ЗЛ+УО</t>
  </si>
  <si>
    <t>6995540</t>
  </si>
  <si>
    <t>FORD FOCUS I УН 1998-2004  СТ ЗАДН ДВ ОП ЛВ ЗЛ ФИТ</t>
  </si>
  <si>
    <t>6995541</t>
  </si>
  <si>
    <t>FORD FOCUS I УН 1998-2004  СТ БОК ЛВ ЗЛ</t>
  </si>
  <si>
    <t>6994297</t>
  </si>
  <si>
    <t>FORD FOCUS I 3Д ХБ 1998-2004 СТ ПЕР ДВ ОП ЛВ ЗЛ</t>
  </si>
  <si>
    <t>6994299</t>
  </si>
  <si>
    <t>FORD FOCUS I 3Д ХБ 1998-2004 СТ БОК ЛВ ЗЛ</t>
  </si>
  <si>
    <t>6995542</t>
  </si>
  <si>
    <t>FORD FOCUS I ХБ+СД+УН 1998-2004 СТ ПЕР ДВ ОП ЛВ ЗЛ</t>
  </si>
  <si>
    <t>6995543</t>
  </si>
  <si>
    <t>FORD FOCUS I ХБ+СД 1998-2004 СТ ЗАДН ДВ ОП ЛВ ЗЛ+ФИТ</t>
  </si>
  <si>
    <t>6995544</t>
  </si>
  <si>
    <t>FORD FOCUS I ХБ 1998-2004 СТ БОК НЕП ЛВ ЗЛ</t>
  </si>
  <si>
    <t>6995545</t>
  </si>
  <si>
    <t>FORD FOCUS I СД 1998-2004 СТ БОК ЛВ ЗЛ</t>
  </si>
  <si>
    <t>6995546</t>
  </si>
  <si>
    <t>FORD FOCUS I УН 1998-2004 СТ ЗАДН ДВ ОП ПР ЗЛ ФИТ</t>
  </si>
  <si>
    <t>6995547</t>
  </si>
  <si>
    <t>FORD FOCUS I УН 1998-2004 СТ БОК ПР ЗЛ</t>
  </si>
  <si>
    <t>6994298</t>
  </si>
  <si>
    <t>FORD FOCUS I 3Д ХБ 1998-2004 СТ ПЕР ДВ ОП ПР ЗЛ</t>
  </si>
  <si>
    <t>6994300</t>
  </si>
  <si>
    <t>FORD FOCUS I 3Д ХБ 1998-2004 СТ БОК ПР ЗЛ</t>
  </si>
  <si>
    <t>6995548</t>
  </si>
  <si>
    <t>FORD FOCUS I ХБ+СД+УН 1998-2004 СТ ПЕР ДВ ОП ПР ЗЛ</t>
  </si>
  <si>
    <t>6995549</t>
  </si>
  <si>
    <t>FORD FOCUS I ХБ+СД 1998-2004 СТ ЗАДН ДВ ОП ПР ЗЛ+ФИТ</t>
  </si>
  <si>
    <t>6995550</t>
  </si>
  <si>
    <t>FORD FOCUS I ХБ 1998-2004  СТ БОК НЕП ПР ЗЛ</t>
  </si>
  <si>
    <t>6995551</t>
  </si>
  <si>
    <t>FORD FOCUS I СД 1998-2004  СТ БОК ПР ЗЛ</t>
  </si>
  <si>
    <t>FOCUS II 2004-</t>
  </si>
  <si>
    <t>6961704</t>
  </si>
  <si>
    <t>FORD FOCUS II / ХБ/УН + СЕД 2004- СТ ВЕТР ЗЛ ЭО+ДД+VIN+УО</t>
  </si>
  <si>
    <t>6962383</t>
  </si>
  <si>
    <t>FORD FOCUS II ХБ/УН + СЕД 2004- + КБ 2007-  СТ ВЕТР ЗЛ ЭО+ДД+VIN+УО</t>
  </si>
  <si>
    <t>6961703</t>
  </si>
  <si>
    <t>FORD FOCUS II / ХБ/УН + СЕД 2004-  СТ ВЕТР ЗЛ ЭО+VIN+УО</t>
  </si>
  <si>
    <t>6962938</t>
  </si>
  <si>
    <t>FORD FOCUS II ХБ/УН + СЕД 2004- + КБ 2007-  СТ ВЕТР ЗЛ ЭО+VIN+УО</t>
  </si>
  <si>
    <t>6961447</t>
  </si>
  <si>
    <t>FORD FOCUS II ХБК/УН+СД 2004- СТ ВЕТР ЗЛ+ДД+VIN+УО</t>
  </si>
  <si>
    <t>6962218</t>
  </si>
  <si>
    <t>FORD FOCUS II ХБ/УН + СЕД 2004- + КБ 2007-  СТ ВЕТР ЗЛ+ДД+VIN+УО</t>
  </si>
  <si>
    <t>6961448</t>
  </si>
  <si>
    <t>FORD FOCUS II / ХБ/УН + СЕД 2004- СТ ВЕТР ЗЛ+VIN+УО</t>
  </si>
  <si>
    <t>6965863</t>
  </si>
  <si>
    <t>FORD FOCUS II 2004- СТ ВЕТР ЗЛ+VIN</t>
  </si>
  <si>
    <t>6962217</t>
  </si>
  <si>
    <t>FORD FOCUS II 2004-  СТ ВЕТР ЗЛ+ФИТ+VIN</t>
  </si>
  <si>
    <t>6101635</t>
  </si>
  <si>
    <t>FORD FOCUS 2004- МОЛД ДЛЯ СТ ВЕТР ВЕРХ</t>
  </si>
  <si>
    <t>6102783</t>
  </si>
  <si>
    <t>FORD FOCUS 2004-МОЛД ДЛЯ СТ ВЕТР НИЗ</t>
  </si>
  <si>
    <t>6996093</t>
  </si>
  <si>
    <t>FORD FOCUS II 5Д УН 2004-  СТ ЗАДН ДВ ЗЛ</t>
  </si>
  <si>
    <t>6997533</t>
  </si>
  <si>
    <t>FORD FOCUS II / ХБ 2004-  СТ ЗАДН ДВ ЗЛ</t>
  </si>
  <si>
    <t>6901177</t>
  </si>
  <si>
    <t>FORD FOCUS III ХБ 2004- СТ ЗАДН ЗЛ+ИЗМ РАЗМ</t>
  </si>
  <si>
    <t>6997741</t>
  </si>
  <si>
    <t>FORD FOCUS II 4Д СД 2004-  СТ ЗАДН ЗЛ+СТОП</t>
  </si>
  <si>
    <t>6996589</t>
  </si>
  <si>
    <t>FORD FOCUS II УН 2004-  СТ ЗАДН ДВ ОП ЛВ ЗЛ</t>
  </si>
  <si>
    <t>6993542</t>
  </si>
  <si>
    <t>FORD FOCUS II ХБ + СЕД 2004-  СТ ЗАДН ДВ ОП ЛВ ЗЛ</t>
  </si>
  <si>
    <t>6995111</t>
  </si>
  <si>
    <t>FORD FOCUS II УН 2004-  СТ БОК НЕП ЛВ ЗЛ+УО</t>
  </si>
  <si>
    <t>6996168</t>
  </si>
  <si>
    <t>FORD FOCUS II ХБ 2004-  СТ ПЕР ДВ ОП ЛВ ЗЛ</t>
  </si>
  <si>
    <t>6993540</t>
  </si>
  <si>
    <t>FORD FOCUS II ХБ + СЕД 2004-  СТ ПЕР ДВ ОП ЛВ ЗЛ</t>
  </si>
  <si>
    <t>6995109</t>
  </si>
  <si>
    <t>FORD FOCUS II ХБ 2004-  СТ БОК НЕП ЛВ ЗЛ+УО</t>
  </si>
  <si>
    <t>6996587</t>
  </si>
  <si>
    <t>6993544</t>
  </si>
  <si>
    <t>FORD FOCUS II ХБ 2004-  СТ БОК НЕП ЛВ ЗЛ</t>
  </si>
  <si>
    <t>6993546</t>
  </si>
  <si>
    <t>FORD FOCUS II СЕД 2004-  СТ БОК НЕП ЛВ ЗЛ</t>
  </si>
  <si>
    <t>6993872</t>
  </si>
  <si>
    <t>FORD FOCUS II УН 2004-  СТ ЗАДН ДВ ОП ПР ЗЛ</t>
  </si>
  <si>
    <t>6995110</t>
  </si>
  <si>
    <t>FORD FOCUS II УН 2004-  СТ БОК НЕП ПР ЗЛ+УО</t>
  </si>
  <si>
    <t>6993871</t>
  </si>
  <si>
    <t>FORD FOCUS II ХБ 2004-  СТ ПЕР ДВ ОП ПР ЗЛ</t>
  </si>
  <si>
    <t>6995108</t>
  </si>
  <si>
    <t>FORD FOCUS II ХБ 2004-  СТ БОК НЕП ПР ЗЛ+УО</t>
  </si>
  <si>
    <t>6993543</t>
  </si>
  <si>
    <t>FORD FOCUS II ХБ 2004-  СТ БОК НЕП ПР ЗЛ</t>
  </si>
  <si>
    <t>6993545</t>
  </si>
  <si>
    <t>FORD FOCUS II СЕД 2004-  СТ БОК НЕП ПР ЗЛ</t>
  </si>
  <si>
    <t>6993537</t>
  </si>
  <si>
    <t>FORD FOCUS II ХБ + СЕД 2004-  СТ ПЕР ДВ ОП ПР ЗЛ</t>
  </si>
  <si>
    <t>6993541</t>
  </si>
  <si>
    <t>FORD FOCUS II ХБ + СЕД 2004-  СТ ЗАДН ДВ ОП ПР ЗЛ</t>
  </si>
  <si>
    <t>6996588</t>
  </si>
  <si>
    <t>FORD FOCUS 2010-</t>
  </si>
  <si>
    <t>6964935</t>
  </si>
  <si>
    <t>FORD FOCUS 2010- СЕД+ХБ+УН СТ ВЕТР ЗЛ ДД ЭО+VIN+ДО</t>
  </si>
  <si>
    <t>6964934</t>
  </si>
  <si>
    <t>FORD FOCUS 2010- СЕД+ХБ+УН СТ ВЕТР ЗЛ ЭО+VIN+ДО</t>
  </si>
  <si>
    <t>6964933</t>
  </si>
  <si>
    <t>FORD FOCUS 2010- СЕД+ХБ+УН СТ ВЕРТ ЗЛ ДД+VIN+ДО</t>
  </si>
  <si>
    <t>6964932</t>
  </si>
  <si>
    <t>FORD FOCUS 2010- СЕД+ХБ+УН СТ ВЕТР ЗЛ+VIN+ДО</t>
  </si>
  <si>
    <t>6965739</t>
  </si>
  <si>
    <t>FORD FOCUS 2010-СТ ВЕТР ЗЛ+АКУСТ+ЭО+ДД+VIN+ДО</t>
  </si>
  <si>
    <t>6965740</t>
  </si>
  <si>
    <t>FORD FOCUS 2010-СТ ВЕТР ЗЛ+АКУСТ+ЭО+VIN+ДО</t>
  </si>
  <si>
    <t>6965741</t>
  </si>
  <si>
    <t>FORD FOCUS 2010-СТ ВЕТР ЗЛ+АКУСТ+ДД+VIN+ДО</t>
  </si>
  <si>
    <t>6965742</t>
  </si>
  <si>
    <t>FORD FOCUS 2010-СТ ВЕТР ЗЛ+АКУСТ+VIN+ДО</t>
  </si>
  <si>
    <t>6901514</t>
  </si>
  <si>
    <t>FORD FOCUS 2010- ХБ СТ ПЕР ДВ ОП ЛВ ЗЛ</t>
  </si>
  <si>
    <t>6901513</t>
  </si>
  <si>
    <t>FORD FOCUS 2010- ХБ СТ ПЕР ДВ ОП ПР ЗЛ</t>
  </si>
  <si>
    <t>FOCUS C-MAX 2003-</t>
  </si>
  <si>
    <t>6962939</t>
  </si>
  <si>
    <t>FORD FOCUS C MAX 2003-  СТ ВЕТР ЗЛСР+VIN+УО</t>
  </si>
  <si>
    <t>6961764</t>
  </si>
  <si>
    <t>FORD FOCUS C MAX 2003-  СТ ВЕТР ЗЛ ЭО+VIN+ДД+УО</t>
  </si>
  <si>
    <t>6961951</t>
  </si>
  <si>
    <t>FORD FOCUS C MAX 2005-  СТ ВЕТР ЗЛ ЭО+ДД+VIN+УО+ИЗМ КР</t>
  </si>
  <si>
    <t>6962405</t>
  </si>
  <si>
    <t>FORD FOCUS C MAX 2003-  СТ ВЕТР ЗЛ ЭО+УО</t>
  </si>
  <si>
    <t>6961817</t>
  </si>
  <si>
    <t>FORD FOCUS C MAX 2005-  СТ ВЕТР ЗЛ ЭО+VIN+УО</t>
  </si>
  <si>
    <t>6961349</t>
  </si>
  <si>
    <t>FORD FOCUS C MAX 2003-  СТ ВЕТР ЗЛ ДД+VIN+УО</t>
  </si>
  <si>
    <t>6962305</t>
  </si>
  <si>
    <t>FORD FOCUS C MAX 2005-  СТ ВЕТР ЗЛ+ДД+VIN+УО</t>
  </si>
  <si>
    <t>6961350</t>
  </si>
  <si>
    <t>FORD FOCUS C MAX 2003-  СТ ВЕТР ЗЛ+VIN+УО</t>
  </si>
  <si>
    <t>6961818</t>
  </si>
  <si>
    <t>FORD FOCUS C MAX 2005-  СТ ВЕТР ЗЛ+VIN+УО</t>
  </si>
  <si>
    <t>6962200</t>
  </si>
  <si>
    <t>FORD FOCUS C-MAX 03 СТ ВЕТР ЗЛГЛ+VIN+УО</t>
  </si>
  <si>
    <t>6101634</t>
  </si>
  <si>
    <t>FORD FOCUS C MAX 2003-  МОЛД  ДЛЯ СТ ВЕТР</t>
  </si>
  <si>
    <t>6996169</t>
  </si>
  <si>
    <t>FORD FOCUS C MAX МИН 2003-  СТ ЗАДН ТЗЛ+3ОТВ</t>
  </si>
  <si>
    <t>6996170</t>
  </si>
  <si>
    <t>FORD FOCUS C MAX МИН 2003-  СТ ЗАДН ЗЛ</t>
  </si>
  <si>
    <t>6993930</t>
  </si>
  <si>
    <t>FORD FOCUS C MAX 2003-  СТ ПЕР ДВ ОП ЛВ ЗЛ</t>
  </si>
  <si>
    <t>6900885</t>
  </si>
  <si>
    <t>6997580</t>
  </si>
  <si>
    <t>FORD FOCUS C MAX 2003-  СТ БОК ПЕР НЕП ЛВ+ИНК</t>
  </si>
  <si>
    <t>6993931</t>
  </si>
  <si>
    <t>FORD FOCUS C MAX 2003-  СТ ЗАДН ДВ ОП ЛВ ЗЛ</t>
  </si>
  <si>
    <t>6993932</t>
  </si>
  <si>
    <t>FORD FOCUS C MAX 2003-  СТ БОК НЕП ЛВ ЗЛ</t>
  </si>
  <si>
    <t>6900219</t>
  </si>
  <si>
    <t>FORD FOCUS C MAX 2003-  СТ ЗАДН ДВ ОП ПР ТЗЛ</t>
  </si>
  <si>
    <t>6993874</t>
  </si>
  <si>
    <t>FORD FOCUS C MAX 2003-  СТ ПЕР ДВ ОП ПР ЗЛ</t>
  </si>
  <si>
    <t>6900886</t>
  </si>
  <si>
    <t>6997581</t>
  </si>
  <si>
    <t>FORD FOCUS C MAX 2003-  СТ БОК ПЕР НЕП ПР+ИНК</t>
  </si>
  <si>
    <t>6993875</t>
  </si>
  <si>
    <t>FORD FOCUS C MAX 2003-  СТ ЗАДН ДВ ОП ПР ЗЛ</t>
  </si>
  <si>
    <t>6993933</t>
  </si>
  <si>
    <t>FORD FOCUS C MAX 2003-  СТ БОК НЕП ПР ЗЛ</t>
  </si>
  <si>
    <t>FUSION 2002-</t>
  </si>
  <si>
    <t>6962164</t>
  </si>
  <si>
    <t>2002-2012</t>
  </si>
  <si>
    <t>FORD FUSION 2002-  СТ ВЕТР ЗЛГЛ+VIN+УО</t>
  </si>
  <si>
    <t>6961762</t>
  </si>
  <si>
    <t>FORD FUSION 11/2005-  СТ ВЕТР ЗЛ ЭО+ДД+VIN+УО</t>
  </si>
  <si>
    <t>6961373</t>
  </si>
  <si>
    <t>FORD FUSION 2002-  СТ ВЕТР ЗЛ ЭО+VIN+УО</t>
  </si>
  <si>
    <t>6961763</t>
  </si>
  <si>
    <t>FORD FUSION 11/2005-  СТ ВЕТР ЗЛ+ДД+VIN+УО</t>
  </si>
  <si>
    <t>6960968</t>
  </si>
  <si>
    <t>FORD FUSION 2002-  СТ ВЕТР ЗЛ VIN+УО</t>
  </si>
  <si>
    <t>6101771</t>
  </si>
  <si>
    <t>FORD FUSION 2002-  МОЛД  ДЛЯ СТ ВЕТР ВЕРХ</t>
  </si>
  <si>
    <t>6980802</t>
  </si>
  <si>
    <t>FORD FUSION МИН 2002-  СТ ЗАДН ЗЛ+УО</t>
  </si>
  <si>
    <t>6995237</t>
  </si>
  <si>
    <t>FORD FUSION 2002-  СТ ПЕР ДВ ОП ЛВ ЗЛ</t>
  </si>
  <si>
    <t>6996403</t>
  </si>
  <si>
    <t>FORD FUSION 2002-  СТ ЗАДН ДВ ОП ЛВ ЗЛ</t>
  </si>
  <si>
    <t>6996463</t>
  </si>
  <si>
    <t>FORD FUSION до 2008- ФОРТ ЗАДН НЕП ЛВ ЗЛ</t>
  </si>
  <si>
    <t>6995238</t>
  </si>
  <si>
    <t>FORD FUSION 2002-  СТ ПЕР ДВ ОП ПР ЗЛ</t>
  </si>
  <si>
    <t>6993877</t>
  </si>
  <si>
    <t>FORD FUSION 2002-  СТ ЗАДН ДВ ОП ПР ЗЛ</t>
  </si>
  <si>
    <t>6996464</t>
  </si>
  <si>
    <t>FORD FUSION до 2008- ФОРТ ЗАДН НЕП ПР ЗЛ</t>
  </si>
  <si>
    <t>GALAXY I 1995-</t>
  </si>
  <si>
    <t>6968130</t>
  </si>
  <si>
    <t>1995-2006</t>
  </si>
  <si>
    <t>FORD GALAXY I 1995-2006  СТ ВЕТР ЗЛ/SEAT ALHAMBRA 1995-  СТ ВЕТР ЗЛ</t>
  </si>
  <si>
    <t>6961050</t>
  </si>
  <si>
    <t>FORD GALAXY I 1995-2006 05/1999 СТ ВЕТР ЗЛГЛ/SEAT ALHAMBRA 03/00 СТ ВЕТР ЗЛГЛ</t>
  </si>
  <si>
    <t>6961903</t>
  </si>
  <si>
    <t>FORD GALAXY I 03/2000-2006  СТ ВЕТР ЗЛГЛ+ЭО+VIN/SEAT ALHAMBRA 03/00 СТ ВЕТР ЗЛГЛ+ЭО+VIN</t>
  </si>
  <si>
    <t>6961048</t>
  </si>
  <si>
    <t>FORD GALAXY I 03/2000-2006 СТ ВЕТР ЗЛГЛ+VIN/SEAT ALHAMBRA 03/00  СТ ВЕТР ЗЛГЛ+VIN</t>
  </si>
  <si>
    <t>6963260</t>
  </si>
  <si>
    <t>FORD GALAXY I 1995-2006  СТ ВЕТР ЗЛЗЛ/VOLKSWAGEN SHARAN 95 05/99 СТ ВЕТР ЗЛЗЛ</t>
  </si>
  <si>
    <t>6961049</t>
  </si>
  <si>
    <t>FORD GALAXY I 03/2000-2006  СТ ВЕТР ЗЛЗЛ+VIN/SEAT ALHAMBRA 03/00  СТ ВЕТР ЗЛЗЛ+VIN</t>
  </si>
  <si>
    <t>6963261</t>
  </si>
  <si>
    <t>FORD GALAXY I 1995-2006 /2000 СТ ВЕТР  ЗЛ ЭО +VIN ИЗМ ШЕЛК/SEAT ALHAMBRA 05/99 03/00 СТ ВЕТР ЗЛ+ЭО+VIN</t>
  </si>
  <si>
    <t>6962371</t>
  </si>
  <si>
    <t>FORD GALAXY I 03/2000-2006  СТ ВЕТР ЗЛ ЭО+VIN/SEAT ALHAMBRA 03/00  СТ ВЕТР ЗЛ+ЭО+VIN</t>
  </si>
  <si>
    <t>6960931</t>
  </si>
  <si>
    <t>FORD GALAXY I 03/2000-2006  СТ ВЕТР ЗЛ+VIN/SEAT ALHAMBRA 03/00  СТ ВЕТР ЗЛ+VIN</t>
  </si>
  <si>
    <t>6961904</t>
  </si>
  <si>
    <t>FORD GALAXY I 11/2003-2006 СТ ВЕТР ЗЛ SOL+VIN+УО/SEAT ALHAMBRA 11/03 СТ ВЕТР ЗЛ+VIN+УО</t>
  </si>
  <si>
    <t>6100069</t>
  </si>
  <si>
    <t>FORD GALAXY I 1995-2006  МОЛД  ДЛЯ СТ ВЕТР ВЕРХ</t>
  </si>
  <si>
    <t>6998644</t>
  </si>
  <si>
    <t>FORD GALAXY I МИН 1995-2006  СТ ЗАДН ЭО ЗЛ/SEAT ALHAMBRA 95  СТ ЗАДН ЗЛ</t>
  </si>
  <si>
    <t>6998748</t>
  </si>
  <si>
    <t>FORD GALAXY I МИН 1995-2006  СТ ЗАДН ЗЛ+СТОП/SEAT ALHAMBRA 95 СТ ЗАДН ЗЛ+СТОП</t>
  </si>
  <si>
    <t>6900360</t>
  </si>
  <si>
    <t>FORD GALAXY I МИН 04/2000-2006  СТ ЗАДН ЗЛ+ИНК/VW SHARAN FROM CH 7M-2 011 001 04/2002-</t>
  </si>
  <si>
    <t>6101117</t>
  </si>
  <si>
    <t>FORD GALAXY I 1995-2006  МОЛД ДЛЯ СТ ЗАДН</t>
  </si>
  <si>
    <t>6995538</t>
  </si>
  <si>
    <t>FORD GALAXY I 1995-2006  СТ ПЕР ДВ ОП ЛВ ЗЛ/SEAT ALHAMBRA 95  СТ ПЕР ДВ ОП ЛВ ЗЛ</t>
  </si>
  <si>
    <t>6994152</t>
  </si>
  <si>
    <t>FORD GALAXY I 1995-2006  СТ ЗАДН ДВ ОП ЛВ ЗЛ/SEAT ALHAMBRA 95  СТ ЗАДН ДВ ОП ЛВ ЗЛ</t>
  </si>
  <si>
    <t>6995539</t>
  </si>
  <si>
    <t>FORD GALAXY I 1995-2006  СТ ПЕР ДВ ОП ПР ЗЛ/SEAT ALHAMBRA 95  СТ ПЕР ДВ ОП ПР ЗЛ</t>
  </si>
  <si>
    <t>6994157</t>
  </si>
  <si>
    <t>FORD GALAXY I 1995-2006  СТ ЗАДН ДВ ОП ПР ЗЛ/SEAT ALHAMBRA 95  СТ ЗАДН ДВ ОП ПР ЗЛ</t>
  </si>
  <si>
    <t>GALAXY II 2006-</t>
  </si>
  <si>
    <t>6962259</t>
  </si>
  <si>
    <t>FORD GALAXY II 2006- СТ ВЕТР ЗЛ ЭО+ДД+VIN+УО</t>
  </si>
  <si>
    <t>6962260</t>
  </si>
  <si>
    <t>FORD GALAXY II 2006- СТ ВЕТР ЗЛ ЭО+VIN+УО</t>
  </si>
  <si>
    <t>6961779</t>
  </si>
  <si>
    <t>FORD GALAXY II 2006- СТ ВЕТР ЗЛ+ДД+VIN+УО</t>
  </si>
  <si>
    <t>6961778</t>
  </si>
  <si>
    <t>FORD GALAXY II 2006- СТ ВЕТР ЗЛ+VIN+УО</t>
  </si>
  <si>
    <t>6900817</t>
  </si>
  <si>
    <t>FORD GALAXY II МИН 2006- СТ ЗАДН  ЗЛ+УО</t>
  </si>
  <si>
    <t>6900683</t>
  </si>
  <si>
    <t>FORD GALAXY II 2006- СТ ПЕР ДВ ОП ЛВ ЗЛ</t>
  </si>
  <si>
    <t>6900685</t>
  </si>
  <si>
    <t>FORD GALAXY II 2006- СТ ЗАДН ДВ ОП ЛВ ЗЛ</t>
  </si>
  <si>
    <t>6900686</t>
  </si>
  <si>
    <t>FORD GALAXY II 2006- СТ ЗАДН ДВ ОП ПР ЗЛ</t>
  </si>
  <si>
    <t>KA 1996-</t>
  </si>
  <si>
    <t>6968132</t>
  </si>
  <si>
    <t>FORD KA 10/1996-  СТ ВЕТР ЗЛ</t>
  </si>
  <si>
    <t>6961040</t>
  </si>
  <si>
    <t>FORD KA 10/1996-  СТ ВЕТР ЗЛГЛ</t>
  </si>
  <si>
    <t>6961041</t>
  </si>
  <si>
    <t>FORD KA 10/1996-  СТ ВЕТР ЗЛЗЛ</t>
  </si>
  <si>
    <t>6100071</t>
  </si>
  <si>
    <t>FORD KA 10/1996-  МОЛД  ДЛЯ СТ ВЕТР</t>
  </si>
  <si>
    <t>6998749</t>
  </si>
  <si>
    <t>FORD KA ХБ 1996-  СТ ЗАДН ЗЛ</t>
  </si>
  <si>
    <t>6998750</t>
  </si>
  <si>
    <t>FORD KA ХБ 1996-  СТ ЗАДН ЗЛ СТОП</t>
  </si>
  <si>
    <t>6994424</t>
  </si>
  <si>
    <t>FORD KA 1996-  СТ ПЕР ДВ ОП ЛВ ЗЛ ФИТ</t>
  </si>
  <si>
    <t>6994425</t>
  </si>
  <si>
    <t>FORD KA 1996-  СТ БОК ПОД ЛВ ЗЛ ОТКР ФИТ</t>
  </si>
  <si>
    <t>6994426</t>
  </si>
  <si>
    <t>FORD KA 1996-  СТ ПЕР ДВ ОП ПР ЗЛ ФИТ</t>
  </si>
  <si>
    <t>6994427</t>
  </si>
  <si>
    <t>FORD KA 1996-  СТ БОК ПОД ПР ЗЛ ОТКР ФИТ</t>
  </si>
  <si>
    <t>KA STREET 2002-</t>
  </si>
  <si>
    <t>6960536</t>
  </si>
  <si>
    <t>FORD STREET KA 2002- СТ ВЕТР ЭО ЗЛ+УО</t>
  </si>
  <si>
    <t>6960430</t>
  </si>
  <si>
    <t>FORD STREET KA 2003- СТ ВЕТР ЗЛ+УО</t>
  </si>
  <si>
    <t>6991764</t>
  </si>
  <si>
    <t>FORD STREET KA 2003- СТ ПЕР ДВ ОП ЛВ ЗЛ</t>
  </si>
  <si>
    <t>6991766</t>
  </si>
  <si>
    <t>FORD STREET KA 2003- СТ ПЕР ДВ ОП ПР ЗЛ</t>
  </si>
  <si>
    <t>KA 2008-</t>
  </si>
  <si>
    <t>6963199</t>
  </si>
  <si>
    <t>FORD KA 3Д ХБ 2008- СТ ВЕТР ЗЛ+ЭО+VIN+ИНК</t>
  </si>
  <si>
    <t>6964002</t>
  </si>
  <si>
    <t>FORD KA 3Д ХБ 2008- СТ ВЕТР ЗЛ+VIN+ИНК</t>
  </si>
  <si>
    <t>KUGA 2008-</t>
  </si>
  <si>
    <t>6963154</t>
  </si>
  <si>
    <t>FORD KUGA 2008- СТ ВЕТР ЗЛ+VIN+ДО</t>
  </si>
  <si>
    <t>6963152</t>
  </si>
  <si>
    <t>FORD KUGA 2008- СТ ВЕТР ГЛ+ЭО+ДД+VIN+УО+ИЗМ ДЕР ЗЕРК</t>
  </si>
  <si>
    <t>6963155</t>
  </si>
  <si>
    <t>FORD KUGA 2008- СТ ВЕТР ЗЛ+ЭО+VIN+УО</t>
  </si>
  <si>
    <t>6963156</t>
  </si>
  <si>
    <t>FORD KUGA 2008- СТ ВЕТР ЗЛ+ЭО+ДД+VIN+УО+ИЗМ КР</t>
  </si>
  <si>
    <t>6902822</t>
  </si>
  <si>
    <t>FORD KUGA 2008- СТ ЗАДН ЗЛ</t>
  </si>
  <si>
    <t>6900818</t>
  </si>
  <si>
    <t>FORD KUGA 2008- СТ ПЕР ДВ ОП ЛВ ЗЛ</t>
  </si>
  <si>
    <t>6900820</t>
  </si>
  <si>
    <t>FORD KUGA 2008- СТ ЗАДН ДВ ОП ЛВ  ЗЛ</t>
  </si>
  <si>
    <t>6900821</t>
  </si>
  <si>
    <t>FORD KUGA 2008- СТ ЗАДН ДВ ОП ЛВ  СР</t>
  </si>
  <si>
    <t>6900819</t>
  </si>
  <si>
    <t>FORD KUGA 2008- СТ ПЕР ДВ ОП ПР ЗЛ</t>
  </si>
  <si>
    <t>6900822</t>
  </si>
  <si>
    <t>FORD KUGA 2008- СТ ЗАДН ДВ ОП ПР ЗЛ</t>
  </si>
  <si>
    <t>6900823</t>
  </si>
  <si>
    <t>FORD KUGA 2008- СТ ЗАДН ДВ ОП ПР СР</t>
  </si>
  <si>
    <t>MAVERICK / TERRANO II 5T 1993-1999</t>
  </si>
  <si>
    <t>6190132</t>
  </si>
  <si>
    <t>FORD MAVERICK 3Д+5Д 1993-1999  СТ ВЕТР ЗЛ/NISSAN TERRANO MK2 3Д+5Д 93  СТ ВЕТР ЗЛ</t>
  </si>
  <si>
    <t>6190868</t>
  </si>
  <si>
    <t>FORD MAVERICK 3Д 1993-1999  СТ ВЕТР ЗЛ+ИЗМ Ш/NISSAN TERRANO MK2 3Д+5Д 93  СТ ВЕТР ЗЛ ШЕЛК ИЗМ</t>
  </si>
  <si>
    <t>6190133</t>
  </si>
  <si>
    <t>FORD MAVERICK 3Д+5Д 1993-1999  СТ ВЕТР ЗЛГЛ/NISSAN TERRANO MK2 3Д+5Д 93  СТ ВЕТР ЗЛГЛ</t>
  </si>
  <si>
    <t>6190869</t>
  </si>
  <si>
    <t>FORD MAVERICK 3Д 1993-1999  СТ ВЕТР ЗЛГЛ+ИЗМ Ш/NISSAN TERRANO MK2 3Д+5Д 93  СТ ВЕТР ЗЛГЛ  ШЕЛК ИЗМ</t>
  </si>
  <si>
    <t>6992937</t>
  </si>
  <si>
    <t>FORD MAVERICK 1993-1999  СТ ПЕР ДВ ОП ЛВ ЗЛ+УО</t>
  </si>
  <si>
    <t>6992939</t>
  </si>
  <si>
    <t>FORD MAVERICK 1993-1999  СТ ЗАДН ДВ ОП ЛВ ЗЛ+УО/NISSAN TERRANO MK2 5Д 93  СТ ЗАДН ДВ ОП ЛВ ЗЛ+УО</t>
  </si>
  <si>
    <t>6992938</t>
  </si>
  <si>
    <t>FORD MAVERICK 1993-1999  СТ ПЕР ДВ ОП ПР ЗЛ+УО</t>
  </si>
  <si>
    <t>6992940</t>
  </si>
  <si>
    <t>FORD MAVERICK 1993-1999  СТ ЗАДН ДВ ОП ПР ЗЛ+УО/NISSAN TERRANO MK2 93  СТ ЗАДН ДВ ОП ПР ЗЛ+УО</t>
  </si>
  <si>
    <t>MAVERICK RANGER 3Д/5Д (C212) 2000-</t>
  </si>
  <si>
    <t>6190237</t>
  </si>
  <si>
    <t>FORD MAVERICK 2000- СТ ВЕТР ЗЛГЛ+VIN+УО/MAZDA TRIBUTE 01  СТ ВЕТР ЗЛГЛ+VIN+УО</t>
  </si>
  <si>
    <t>6190913</t>
  </si>
  <si>
    <t>FORD MAVERICK 2000- СТ ВЕТР ЗЛ+VIN+УО/MAZDA TRIBUTE 01  СТ ВЕТР ЗЛ+VIN+УО</t>
  </si>
  <si>
    <t>6101569</t>
  </si>
  <si>
    <t>FORD MAVERICK 2000-  МОЛД  ДЛЯ СТ ВЕТР</t>
  </si>
  <si>
    <t>6900503</t>
  </si>
  <si>
    <t>FORD MAVERICK ВН 2000- СТ ЗАДН ЗЛ</t>
  </si>
  <si>
    <t>6900220</t>
  </si>
  <si>
    <t>FORD MAVERICK 2000- СТ ЗАДН ДВ ОП ПР ЗЛ/MAZDA TRIBUTE 01  СТ ЗАДН ДВ ОП ПР ЗЛ</t>
  </si>
  <si>
    <t>MONDEO II 1993-2001</t>
  </si>
  <si>
    <t>6963304</t>
  </si>
  <si>
    <t>FORD MONDEO II СД+ХБ+УН 1993-2001  СТ ВЕТР ЗЛГЛ +ЭО+VIN</t>
  </si>
  <si>
    <t>6968110</t>
  </si>
  <si>
    <t>FORD MONDEO II СД+ХБ+УН 1993-2001  СТ ВЕТР ЗЛГЛ+VIN</t>
  </si>
  <si>
    <t>6963305</t>
  </si>
  <si>
    <t>FORD MONDEO II СД+ХБ+УН 1993-2001 СТ ВЕТР ЗЛ+ЭО+VIN</t>
  </si>
  <si>
    <t>6968109</t>
  </si>
  <si>
    <t>FORD MONDEO II СД+ХБ+УН 1993-2001  СТ ВЕТР ЗЛ+VIN</t>
  </si>
  <si>
    <t>6100068</t>
  </si>
  <si>
    <t>FORD MONDEO II СД+ХБ+УН 1993-2001  МОЛД  ДЛЯ СТ ВЕТР ВЕРХ</t>
  </si>
  <si>
    <t>6998739</t>
  </si>
  <si>
    <t>FORD MONDEO II УН 1993-2001  СТ ЗАДН ЭО ЗЛ+ 1 ОТВ</t>
  </si>
  <si>
    <t>6998740</t>
  </si>
  <si>
    <t>FORD MONDEO II УН 1996-2001 СТ ЗАДН ЭО ЗЛ+СТОП+1ОТВ</t>
  </si>
  <si>
    <t>6998741</t>
  </si>
  <si>
    <t>FORD MONDEO II УН 1996-2001  СТ ЗАДН ЗЛ+СТОП+КЛЕММЫ</t>
  </si>
  <si>
    <t>6998742</t>
  </si>
  <si>
    <t>FORD MONDEO I УН 1993-1996 СТ ЗАДН ЗЛ+КЛЕММЫ</t>
  </si>
  <si>
    <t>6998745</t>
  </si>
  <si>
    <t>FORD MONDEO II СД 1993-2001  СТ ЗАДН ЗЛ</t>
  </si>
  <si>
    <t>6998746</t>
  </si>
  <si>
    <t>FORD MONDEO II СД 1993-2001  СТ ЗАДН ЗЛ ОТВ</t>
  </si>
  <si>
    <t>6998747</t>
  </si>
  <si>
    <t>FORD MONDEO II СД 1996-2001  СТ ЗАДН ЭО ЗЛ+СТОП</t>
  </si>
  <si>
    <t>6998643</t>
  </si>
  <si>
    <t>1994-1996</t>
  </si>
  <si>
    <t>FORD MONDEO I СД 1994-1996 СТ ЗАДН ЗЛ+СТОП ОТВ</t>
  </si>
  <si>
    <t>6999504</t>
  </si>
  <si>
    <t>FORD MONDEO II СД 1996-2001  СТ ЗАДН ЗЛ+СТОП ОТВ</t>
  </si>
  <si>
    <t>6995536</t>
  </si>
  <si>
    <t>FORD MONDEO II УН 08/1995-2001  СТ ЗАДН ДВ ОП ЛВ ЗЛ+УО</t>
  </si>
  <si>
    <t>6994418</t>
  </si>
  <si>
    <t>FORD MONDEO II УН 08/1994-2001  СТ БОК ЛВ ЗЛ</t>
  </si>
  <si>
    <t>6993539</t>
  </si>
  <si>
    <t>FORD MONDEO I СД+ХБ+УН 1993-08/1995 СТ ПЕР ДВ ОП ЛВ ЗЛ+ФИТ</t>
  </si>
  <si>
    <t>6993155</t>
  </si>
  <si>
    <t>FORD MONDEO II СД+ХБ+УН 08/1995-2001  СТ ПЕР ДВ ОП ЛВ ЗЛ+УО</t>
  </si>
  <si>
    <t>6995663</t>
  </si>
  <si>
    <t>FORD MONDEO I СД+ХБ 1993-08/1995 СТ ЗАДН ДВ ОП ЗЛ+ФИТ</t>
  </si>
  <si>
    <t>6993153</t>
  </si>
  <si>
    <t>FORD MONDEO II СД+ХБ 1995-2001 СТ ЗАДН ДВ ОП ЛВ ЗЛ+ФИТ</t>
  </si>
  <si>
    <t>6995537</t>
  </si>
  <si>
    <t>FORD MONDEO II УН 93 08/1995-2001 СТ ЗАДН ДВ ОП ПР ЗЛ ФИТ</t>
  </si>
  <si>
    <t>6994419</t>
  </si>
  <si>
    <t>FORD MONDEO II УН 08/1994-2001  СТ БОК ПР ЗЛ</t>
  </si>
  <si>
    <t>6993538</t>
  </si>
  <si>
    <t>FORD MONDEO I СД+ХБ+УН 1993-08/1995 СТ ПЕР ДВ ОП ПР+ФИТ</t>
  </si>
  <si>
    <t>6993156</t>
  </si>
  <si>
    <t>FORD MONDEO II СД+ХБ+УН0 8/1995-2001 СТ ПЕР ДВ ОП ПР+УО</t>
  </si>
  <si>
    <t>6995664</t>
  </si>
  <si>
    <t>FORD MONDEO I СД+ХБ 1993-08/1995 СТ ЗАДН ДВ ОП ПР ЗЛ+ФИТ</t>
  </si>
  <si>
    <t>6993154</t>
  </si>
  <si>
    <t>FORD MONDEO II СД+ХБ 1995-2001  СТ ЗАДН ДВ ОП ПР ЗЛ+ФИТ</t>
  </si>
  <si>
    <t>MONDEO III 2000-2007</t>
  </si>
  <si>
    <t>6961148</t>
  </si>
  <si>
    <t>FORD MONDEO III 2003-2007 СТ ВЕТР ЗЛ ЭО+ДД+VIN+УО</t>
  </si>
  <si>
    <t>6962552</t>
  </si>
  <si>
    <t>FORD MONDEO III СЕД +ХБ +УН 2006-2007  СТ ВЕТР ЗЛ ЭО+ДД+VIN+УО+ИЗМ ШЕЛК</t>
  </si>
  <si>
    <t>6961143</t>
  </si>
  <si>
    <t>FORD MONDEO III 2003-2007  СТ ВЕТР ЗЛ ЭО+VIN+УО</t>
  </si>
  <si>
    <t>6962551</t>
  </si>
  <si>
    <t>FORD MONDEO III СЕД +ХБ +УН 2006-2007  СТ ВЕТР ЗЛ ЭО+VIN+УО+ИЗМ КР</t>
  </si>
  <si>
    <t>6960729</t>
  </si>
  <si>
    <t>FORD MONDEO III СЕД +ХБ +УН 2000-2007 СТ ВЕТР ЗЛ ЭО+VIN+ИНК</t>
  </si>
  <si>
    <t>6961147</t>
  </si>
  <si>
    <t>FORD MONDEO III СЕД +ХБ +УН 2003-2007  СТ ВЕТР ЗЛ+VIN+УО</t>
  </si>
  <si>
    <t>6961451</t>
  </si>
  <si>
    <t>FORD MONDEO III 08/2004-2007  СТ ВЕТР ЗЛ+УО+VIN</t>
  </si>
  <si>
    <t>6960732</t>
  </si>
  <si>
    <t>FORD MONDEO III СЕД +ХБ +УН 2000-2007 СТ ВЕТР ЗЛ+VIN+ИНК</t>
  </si>
  <si>
    <t>6102129</t>
  </si>
  <si>
    <t>FORD MONDEO III СЕД +ХБ +УН 2000-2007  МОЛД  ДЛЯ СТ ВЕТР ЛВ</t>
  </si>
  <si>
    <t>6102130</t>
  </si>
  <si>
    <t>FORD MONDEO III СЕД +ХБ +УН 2000-2007  МОЛД  ДЛЯ СТ ВЕТР ПР</t>
  </si>
  <si>
    <t>6999503</t>
  </si>
  <si>
    <t>FORD MONDEO III ХБ 09/2003-2007  СТ ЗАДН ДВ ТЗЛ+АНТ+СТОП+ИЗМ РАЗМ</t>
  </si>
  <si>
    <t>6999502</t>
  </si>
  <si>
    <t>FORD MONDEO III СД 09/2003-2007  СТ ЗАДН ТЗЛ+АНТ+СТОП+ИЗМ РАЗМ</t>
  </si>
  <si>
    <t>6992761</t>
  </si>
  <si>
    <t>FORD MONDEO III УН 2000-2007  СТ ЗАДН ЗЛ+СТОП+УО</t>
  </si>
  <si>
    <t>6996179</t>
  </si>
  <si>
    <t>FORD MONDEO III ХБ 09/2003-2007  СТ ЗАДН ЗЕЛХАМ+АНТ+СТОП+ИЗМ РАЗМ</t>
  </si>
  <si>
    <t>6992762</t>
  </si>
  <si>
    <t>FORD MONDEO III ХБ 2000-2007  СТ ЗАДН ДВ ЗЛ+ИНК</t>
  </si>
  <si>
    <t>6999065</t>
  </si>
  <si>
    <t>FORD MONDEO III СД 09/2003-2007  СТ ЗАДН ЗЛ+АНТ+СТОП+ИЗМ РАЗМ</t>
  </si>
  <si>
    <t>6993722</t>
  </si>
  <si>
    <t>FORD MONDEO III УН 2000-2007  СТ ЗАДН ДВ ОП ЛВ ЗЛ</t>
  </si>
  <si>
    <t>6996180</t>
  </si>
  <si>
    <t>FORD MONDEO III УН 2000-2007  СТ БОК НЕП ЛВ ЗЛ</t>
  </si>
  <si>
    <t>6980096</t>
  </si>
  <si>
    <t>FORD MONDEO III УН 2000-2007  ФОРТ ЗАДН НЕП ЛВ ЗЛ+ИНК</t>
  </si>
  <si>
    <t>6993262</t>
  </si>
  <si>
    <t>FORD MONDEO III 2000-2007  СТ ПЕР ДВ ОП ЛВ ЗЛ</t>
  </si>
  <si>
    <t>6993265</t>
  </si>
  <si>
    <t>FORD MONDEO III 2000-2007  СТ ЗАДН ДВ ОП ЛВ ЗЛ</t>
  </si>
  <si>
    <t>6980092</t>
  </si>
  <si>
    <t>FORD MONDEO III СЕД +ХБ 2000-2007  СТ ФОРТ ЗАДН НЕП ЗЛ ЛВ+ИНК</t>
  </si>
  <si>
    <t>6993723</t>
  </si>
  <si>
    <t>FORD MONDEO III УН 2000-2007  СТ ЗАДН ДВ ОП ПР ЗЛ</t>
  </si>
  <si>
    <t>6996181</t>
  </si>
  <si>
    <t>FORD MONDEO III УН 2000-2007  СТ БОК НЕП ПР ЗЛ</t>
  </si>
  <si>
    <t>6900346</t>
  </si>
  <si>
    <t>FORD MONDEO III УН 2000-2007  СТ БОК НЕП ПР ЗЛ+АНТ</t>
  </si>
  <si>
    <t>6980097</t>
  </si>
  <si>
    <t>FORD MONDEO III УН 2000-2007  СТ ФОРТ ЗАДН НЕП ПР ЗЛ+ИНК</t>
  </si>
  <si>
    <t>6993263</t>
  </si>
  <si>
    <t>FORD MONDEO III ХБ 5Д 2000-2007  СТ ПЕР ДВ ОП ПР ЗЛ</t>
  </si>
  <si>
    <t>6993264</t>
  </si>
  <si>
    <t>FORD MONDEO III ХБ 5Д 2000-2007  СТ ЗАДН ДВ ОП ПР ЗЛ</t>
  </si>
  <si>
    <t>6980093</t>
  </si>
  <si>
    <t>FORD MONDEO III СЕД +ХБ 2000-2007  СТ ФОРТ ЗАДН НЕП ЗЛ ПР+ИНК</t>
  </si>
  <si>
    <t>MONDEO IV СЕД+ХБ+УН 2007-</t>
  </si>
  <si>
    <t>6962557</t>
  </si>
  <si>
    <t>FORD MONDEO IV СЕД+ХБ+УН 2007- СТ ВЕТР ЗЛ ЭО+ДД+VIN+УО</t>
  </si>
  <si>
    <t>6962465</t>
  </si>
  <si>
    <t>FORD MONDEO IV СЕД+ХБ+УН 2007- СТ ВЕТР ЗЛ ЭО+VIN+УО</t>
  </si>
  <si>
    <t>6962558</t>
  </si>
  <si>
    <t>FORD MONDEO IV СЕД+ХБ+УН 2007- СТ ВЕТР ЗЛ+ДД+VIN+УО</t>
  </si>
  <si>
    <t>6962466</t>
  </si>
  <si>
    <t>FORD MONDEO IV СЕД+ХБ+УН 2007- СТ ВЕТР ЗЛ+VIN+УО</t>
  </si>
  <si>
    <t>6962553</t>
  </si>
  <si>
    <t>FORD MONDEO 07 СТ ВЕТР ГЛ+ЭО+VIN+УО+ИЗМ</t>
  </si>
  <si>
    <t>6964949</t>
  </si>
  <si>
    <t>FORD MONDEO 07-СТ ВЕТР ГЛ АКУСТИК+ЭО+ДД</t>
  </si>
  <si>
    <t>6965518</t>
  </si>
  <si>
    <t>FORD MONDEO 07-СТ ВЕТР ПР ТЕПЛООТР АКУСТИК+ЭО+ДД+VIN+УО+ИЗМ КР</t>
  </si>
  <si>
    <t>6965064</t>
  </si>
  <si>
    <t>FORD MONDEO 09-СТ ВЕТР ЗЛ АКУСТИК+ЭО+ДД+VIN+УО+ИЗМ КР</t>
  </si>
  <si>
    <t>6901235</t>
  </si>
  <si>
    <t>FORD MONDEO IV СД 2007- СТ ЗАДН ЗЛ</t>
  </si>
  <si>
    <t>6900949</t>
  </si>
  <si>
    <t>FORD MONDEO IV ХБ 2007- СТ ПЕР ДВ ОП ПР ГЛ</t>
  </si>
  <si>
    <t>6900689</t>
  </si>
  <si>
    <t>FORD MONDEO IV СЕД 2007- СТ ПЕР ДВ ОП ЛВ ЗЛ</t>
  </si>
  <si>
    <t>6900691</t>
  </si>
  <si>
    <t>FORD MONDEO IV ХБ 4Д/5Д 2007- СТ ЗАДН ДВ ОП ЛВ ЗЛ</t>
  </si>
  <si>
    <t>6900690</t>
  </si>
  <si>
    <t>FORD MONDEO IV СЕД 2007- СТ ПЕР ДВ ОП ПР ЗЛ</t>
  </si>
  <si>
    <t>6900692</t>
  </si>
  <si>
    <t>FORD MONDEO IV ХБ 2007- СТ ЗАДН ДВ ОП ПР ЗЛ</t>
  </si>
  <si>
    <t>MUSTANG 1979-1993</t>
  </si>
  <si>
    <t>6962309</t>
  </si>
  <si>
    <t>1979-1993</t>
  </si>
  <si>
    <t>FORD MUSTANG 1979-1993 СТ ВЕТР ЗЛГЛ+VIN</t>
  </si>
  <si>
    <t>MUSTANG 1994-</t>
  </si>
  <si>
    <t>6962324</t>
  </si>
  <si>
    <t>1994-2004</t>
  </si>
  <si>
    <t>FORD MUSTANG 1994- СТ ВЕТР ЗЛГЛ+VIN+УО</t>
  </si>
  <si>
    <t>PROBE 1988-06/1991</t>
  </si>
  <si>
    <t>6190607</t>
  </si>
  <si>
    <t>1988-1991</t>
  </si>
  <si>
    <t>FORD PROBE 1988-06/1991 СТ ВЕТР ЗЛГЛ/FORD PROBE 1988-06/1991 СТ ВЕТР ЗЛГЛ</t>
  </si>
  <si>
    <t>PROBE (W1145) 1993-1997</t>
  </si>
  <si>
    <t>6963368</t>
  </si>
  <si>
    <t>FORD PROBE (W1145) 1993-1997  СТ ВЕТР ЗЛГЛ/FORD PROBE (W1145) 1993-1997  СТ ВЕТР ЗЛГЛ</t>
  </si>
  <si>
    <t>6190608</t>
  </si>
  <si>
    <t>6101127</t>
  </si>
  <si>
    <t>FORD PROBE (W1145) 1993-1997  МОЛД ДЛЯ СТ ВЕТР</t>
  </si>
  <si>
    <t>6963367</t>
  </si>
  <si>
    <t>PUMA COUPE 1997-2001</t>
  </si>
  <si>
    <t>6963307</t>
  </si>
  <si>
    <t>FORD PUMA КУП 1997-2001  СТ ВЕТР ЗЛ ЭО+ИНК</t>
  </si>
  <si>
    <t>6963308</t>
  </si>
  <si>
    <t>FORD PUMA КУП 1997-2001  СТ ВЕТР ЗЛ+ИНК</t>
  </si>
  <si>
    <t>6998751</t>
  </si>
  <si>
    <t>FORD PUMA КП 1997-2001  СТ ЗАДН ЗЛ+ИНК</t>
  </si>
  <si>
    <t>6994428</t>
  </si>
  <si>
    <t>FORD PUMA КУП 1997-2001  СТ ПЕР ДВ ОП ЛВ ЗЛ</t>
  </si>
  <si>
    <t>6994430</t>
  </si>
  <si>
    <t>FORD PUMA КУП 1997-2001  СТ ПЕР ДВ ОП ПР ЗЛ</t>
  </si>
  <si>
    <t>RANGER PU 1999-</t>
  </si>
  <si>
    <t>6190234</t>
  </si>
  <si>
    <t>1999-2007</t>
  </si>
  <si>
    <t>FORD RANGER PU 1999-  СТ ВЕТР ЗЛ/MAZDA B SER 2Д+4Д 1998-2006  СТ ВЕТР ЗЛ</t>
  </si>
  <si>
    <t>6190235</t>
  </si>
  <si>
    <t>FORD RANGER PU 1999-  СТ ПЕР ДВ ОП ЛВ ЗЛ/MAZDA B SER 2Д+4Д 1998-2006  СТ ПЕР ДВ ОП ЛВ ЗЛ</t>
  </si>
  <si>
    <t>6190236</t>
  </si>
  <si>
    <t>FORD RANGER PU 1999-  СТ ПЕР ДВ ОП ПР ЗЛ/MAZDA B SER 1998-2006  СТ ПЕР ДВ ОП ПР ЗЛ</t>
  </si>
  <si>
    <t>RANGER 2007-</t>
  </si>
  <si>
    <t>6962561</t>
  </si>
  <si>
    <t>FORD RANGER 2007- СТ ВЕТР ЗЛ/MAZDA BT50 PICK UP 2007-  СТ ВЕТР ЗЛ</t>
  </si>
  <si>
    <t>6900696</t>
  </si>
  <si>
    <t>FORD RANGER 2007- СТ ПЕР ДВ ОП ЛВ ЗЛ/MAZDA BT50 PICK-UP 2007-</t>
  </si>
  <si>
    <t>6900697</t>
  </si>
  <si>
    <t>FORD RANGER 2007- СТ ПЕР ДВ ОП ПР ЗЛ/MAZDA BT50 PICK-UP 2007-</t>
  </si>
  <si>
    <t>S MAX 2006-</t>
  </si>
  <si>
    <t>6961959</t>
  </si>
  <si>
    <t>FORD S MAX 2006-  СТ ВЕТР ЗЛ+ЭО+ДД+VIN+УО+ИЗМ КР</t>
  </si>
  <si>
    <t>6961960</t>
  </si>
  <si>
    <t>FORD S MAX 2006-  СТ ВЕТР ЗЛ ЭО+VIN+УО</t>
  </si>
  <si>
    <t>6961822</t>
  </si>
  <si>
    <t>FORD S MAX 2006-  СТ ВЕТР ЗЛ+ДД+VIN+УО</t>
  </si>
  <si>
    <t>6961823</t>
  </si>
  <si>
    <t>FORD S MAX 2006-  СТ ВЕТР ЗЛ+VIN+УО</t>
  </si>
  <si>
    <t>6996489</t>
  </si>
  <si>
    <t>FORD S MAX МИН 2006-  СТ ЗАДН ТЗЛ+УО</t>
  </si>
  <si>
    <t>6996490</t>
  </si>
  <si>
    <t>FORD S MAX МИН 2006-  СТ ЗАДН ЗЛ+УО</t>
  </si>
  <si>
    <t>6900138</t>
  </si>
  <si>
    <t>FORD S MAX 2006-  СТ ЗАДН ДВ ОП ЛВ ТЗЛ</t>
  </si>
  <si>
    <t>6999080</t>
  </si>
  <si>
    <t>FORD S MAX 2006-  СТ ПЕР ДВ ОП ЛВ ЗЛ</t>
  </si>
  <si>
    <t>6900139</t>
  </si>
  <si>
    <t>FORD S MAX 2006-  СТ ЗАДН ДВ ОП ЛВ ЗЛ</t>
  </si>
  <si>
    <t>6900221</t>
  </si>
  <si>
    <t>FORD S MAX 2006-  СТ ЗАДН ДВ ОП ПР ТЗЛ</t>
  </si>
  <si>
    <t>6999079</t>
  </si>
  <si>
    <t>FORD S MAX 2006-  СТ ПЕР ДВ ОП ПР ЗЛ</t>
  </si>
  <si>
    <t>6900700</t>
  </si>
  <si>
    <t>FORD S MAX 2006-  СТ ЗАДН ДВ ОП ПР ЗЛ</t>
  </si>
  <si>
    <t>SCORPIO 1985-1996</t>
  </si>
  <si>
    <t>6968102</t>
  </si>
  <si>
    <t>FORD SCORPIO 1985-1992 СТ ВЕТР</t>
  </si>
  <si>
    <t>6968120</t>
  </si>
  <si>
    <t>FORD SCORPIO 1985-1992 СТ ВЕТР ЗЛ</t>
  </si>
  <si>
    <t>6968121</t>
  </si>
  <si>
    <t>FORD SCORPIO 1985-1992 СТ ВЕТР ЗЛ КР ИЗМ 92</t>
  </si>
  <si>
    <t>6968101</t>
  </si>
  <si>
    <t>FORD SCORPIO 1985-1992 СТ ВЕТР ЗЛГЛ</t>
  </si>
  <si>
    <t>6962940</t>
  </si>
  <si>
    <t>FORD SCORPIO 1994-1996 СТ ВЕТР ЗЛГЛ+VIN</t>
  </si>
  <si>
    <t>6968103</t>
  </si>
  <si>
    <t>FORD SCORPIO 1985-1992 СТ ВЕТР ЗЛЗЛ</t>
  </si>
  <si>
    <t>6963299</t>
  </si>
  <si>
    <t>FORD SCORPIO 1985-1992 СТ ВЕТР ЗЛЗЛ ЭО</t>
  </si>
  <si>
    <t>6963300</t>
  </si>
  <si>
    <t>FORD SCORPIO 1985-1992 СТ ВЕТР ЗЛ ЭО</t>
  </si>
  <si>
    <t>6963301</t>
  </si>
  <si>
    <t>FORD SCORPIO 1994-1996 СТ ВЕТР  ЗЛ ЭО+VIN</t>
  </si>
  <si>
    <t>6968252</t>
  </si>
  <si>
    <t>FORD SCORPIO 1994-1996 СТ ВЕТР ЗЛ КР+VIN</t>
  </si>
  <si>
    <t>6100990</t>
  </si>
  <si>
    <t>FORD SCORPIO 1994-1996 МОЛД  ДЛЯ СТ ВЕТР ВЕРХ</t>
  </si>
  <si>
    <t>6998888</t>
  </si>
  <si>
    <t>FORD SCORPIO УН 1985-1992 СТ ЗАДН ЗЛ+АНТ+ИНК+КЛЕММЫ</t>
  </si>
  <si>
    <t>6998729</t>
  </si>
  <si>
    <t>FORD SCORPIO ХБ 1985-1992 СТ ЗАДН ЗЛ ЭО+АНТ</t>
  </si>
  <si>
    <t>6998730</t>
  </si>
  <si>
    <t>FORD SCORPIO СД 1985-1992 СТ ЗАДН ЗЛ+АНТ+ИНК</t>
  </si>
  <si>
    <t>6997901</t>
  </si>
  <si>
    <t>FORD SCORPIO ХБ+СЕД+УН 1985-1992 СТ ПЕР ДВ ОП ЛВ</t>
  </si>
  <si>
    <t>6997903</t>
  </si>
  <si>
    <t>FORD SCORPIO ХБ+СЕД+УН 1985-1992 СТ ПЕР ДВ ОП ЛВ ЗЛ</t>
  </si>
  <si>
    <t>6994398</t>
  </si>
  <si>
    <t>FORD SCORPIO ХБ+СЕД 1985-1992 СТ ЗАДН ДВ ОП ЛВ ЗЛ+УО</t>
  </si>
  <si>
    <t>6997902</t>
  </si>
  <si>
    <t>FORD SCORPIO ХБ+СЕД+УН 1985-1992 СТ ПЕР ДВ ОП ПР</t>
  </si>
  <si>
    <t>6997904</t>
  </si>
  <si>
    <t>FORD SCORPIO ХБ+СЕД+УН 1985-1992 СТ ПЕР ДВ ОП ПР ЗЛ</t>
  </si>
  <si>
    <t>6994401</t>
  </si>
  <si>
    <t>FORD SCORPIO ХБ+СЕД 1985-1992 СТ ЗАДН ДВ ОП ПР ЗЛ+УО</t>
  </si>
  <si>
    <t>SIERRA I 1982-1986</t>
  </si>
  <si>
    <t>6968124</t>
  </si>
  <si>
    <t>1982-1986</t>
  </si>
  <si>
    <t>FORD SIERRA I 1982-1986 СТ ВЕТР БРГЛ</t>
  </si>
  <si>
    <t>6968117</t>
  </si>
  <si>
    <t>FORD SIERRA I 1982-1986 СТ ВЕТР</t>
  </si>
  <si>
    <t>6101769</t>
  </si>
  <si>
    <t>FORD SIERRA I 1982-1986  УСТ КОМПЛ ДЛЯ СТ ВЕТР</t>
  </si>
  <si>
    <t>6100475</t>
  </si>
  <si>
    <t>FORD SIERRA I 1982-1986  МОЛД  ДЛЯ СТ ВЕТР</t>
  </si>
  <si>
    <t>6993500</t>
  </si>
  <si>
    <t>FORD SIERRA I ХБ 3Д+5Д 1982-1986 СТ ЗАДН</t>
  </si>
  <si>
    <t>6996690</t>
  </si>
  <si>
    <t>FORD SIERRA I ХБ +УН 1982-1986 СТ ПЕР ДВ ОП ЛВ БР</t>
  </si>
  <si>
    <t>6996694</t>
  </si>
  <si>
    <t>FORD SIERRA I ХБ +УН 1982-1986 СТ ПЕР ДВ ОП ЛВ</t>
  </si>
  <si>
    <t>6996695</t>
  </si>
  <si>
    <t>FORD SIERRA I ХБ 1982-1986 СТ ЗАДН ДВ ОП ЛВ</t>
  </si>
  <si>
    <t>6996696</t>
  </si>
  <si>
    <t>FORD SIERRA I ХБ +УН 1982-1986 СТ ПЕР ДВ ОП ПР</t>
  </si>
  <si>
    <t>SIERRA II 1986-1993</t>
  </si>
  <si>
    <t>6969119</t>
  </si>
  <si>
    <t>1986-1993</t>
  </si>
  <si>
    <t>FORD SIERRA II 1986-1993 СТ ВЕТР</t>
  </si>
  <si>
    <t>6969120</t>
  </si>
  <si>
    <t>FORD SIERRA II 1986-1993 СТ ВЕТР ЗЛ</t>
  </si>
  <si>
    <t>6968119</t>
  </si>
  <si>
    <t>FORD SIERRA II 1986-1993 СТ ВЕТР ЗЛГЛ</t>
  </si>
  <si>
    <t>6968125</t>
  </si>
  <si>
    <t>FORD SIERRA II 1986-1993 СТ ВЕТР ЗЛЗЛ</t>
  </si>
  <si>
    <t>6100476</t>
  </si>
  <si>
    <t>FORD SIERRA II 1986-1993 МОЛД  ДЛЯ СТ ВЕТР</t>
  </si>
  <si>
    <t>6993504</t>
  </si>
  <si>
    <t>FORD SIERRA II УН 1986-1993 СТ ЗАДН ЭО</t>
  </si>
  <si>
    <t>6998941</t>
  </si>
  <si>
    <t>FORD SIERRA II ХБ 1986-1993 СТ ЗАДН</t>
  </si>
  <si>
    <t>6993502</t>
  </si>
  <si>
    <t>FORD SIERRA II СД 1986-1993 СТ ЗАДН</t>
  </si>
  <si>
    <t>6998731</t>
  </si>
  <si>
    <t>FORD SIERRA II УН 1986-1993 СТ ЗАДН ЭО ЗЛ+АНТ</t>
  </si>
  <si>
    <t>6993501</t>
  </si>
  <si>
    <t>1986-1991</t>
  </si>
  <si>
    <t>FORD SIERRA II ХБ 1986-1991 СТ ЗАДН ЭО ЗЛ+АНТ</t>
  </si>
  <si>
    <t>6993503</t>
  </si>
  <si>
    <t>FORD SIERRA II СД 1986-1991 СТ ЗАДН ЭО ЗЛ+АНТ</t>
  </si>
  <si>
    <t>6996698</t>
  </si>
  <si>
    <t>FORD SIERRA II УН 1986-1993 СТ ФОРТ ЗАДН НЕП ЛВ</t>
  </si>
  <si>
    <t>6993505</t>
  </si>
  <si>
    <t>FORD SIERRA II ХБ+СЕД+УН 1986-1993 СТ ПЕР ДВ ОП ЛВ</t>
  </si>
  <si>
    <t>6993509</t>
  </si>
  <si>
    <t>FORD SIERRA II ХБ+СЕД 1986-1993 СТ ЗАДН ДВ ОП ЛВ</t>
  </si>
  <si>
    <t>6996699</t>
  </si>
  <si>
    <t>FORD SIERRA II УН 1986-1993 СТ ЗАДН ДВ ОП ЛВ ЗЛ</t>
  </si>
  <si>
    <t>6994404</t>
  </si>
  <si>
    <t>FORD SIERRA II УН 1986-1993 СТ ФОРТ ЗАДН НЕП ЛВ ЗЛ</t>
  </si>
  <si>
    <t>6993507</t>
  </si>
  <si>
    <t>FORD SIERRA II ХБ+СД+УН 1986-1993 СТ ПЕР ДВ ОП ЛВ ЗЛ</t>
  </si>
  <si>
    <t>6993511</t>
  </si>
  <si>
    <t>FORD SIERRA II ХБ 5Д 1986-1993 СТ ЗАДН ДВ ОП ЛВ ЗЛ</t>
  </si>
  <si>
    <t>6994403</t>
  </si>
  <si>
    <t>FORD SIERRA II УН 1986-1993 СТ ФОРТ ЗАДН НЕП ПР</t>
  </si>
  <si>
    <t>6993506</t>
  </si>
  <si>
    <t>FORD SIERRA II ХБ+СЕД+УН 1986-1993 СТ ПЕР ДВ ОП ПР</t>
  </si>
  <si>
    <t>6993510</t>
  </si>
  <si>
    <t>FORD SIERRA II ХБ+СЕД 1986-1993 СТ ЗАДН ДВ ОП ПР</t>
  </si>
  <si>
    <t>6996701</t>
  </si>
  <si>
    <t>FORD SIERRA II УН 1986-1993 СТ ЗАДН ДВ ОП ПР ЗЛ</t>
  </si>
  <si>
    <t>6994405</t>
  </si>
  <si>
    <t>FORD SIERRA II УН 1986-1993 СТ ФОРТ ЗАДН ПР ЗЛ</t>
  </si>
  <si>
    <t>6993508</t>
  </si>
  <si>
    <t>FORD SIERRA II ХБ+СЕД+УН 1986-1993 СТ ПЕР ДВ ОП ПР ЗЛ</t>
  </si>
  <si>
    <t>6993512</t>
  </si>
  <si>
    <t>FORD SIERRA II ХБ+СЕД 1986-1993 СТ ЗАДН ДВ ОП ПР ЗЛ</t>
  </si>
  <si>
    <t>TRANSIT 1965-1986</t>
  </si>
  <si>
    <t>6969201</t>
  </si>
  <si>
    <t>1965-1986</t>
  </si>
  <si>
    <t>FORD TRANSIT 60 190+A SER VAN 1965-1986 СТ ВЕТР</t>
  </si>
  <si>
    <t>TRANSIT 1986-2000</t>
  </si>
  <si>
    <t>6969512</t>
  </si>
  <si>
    <t>1986-2000</t>
  </si>
  <si>
    <t>FORD TRANSIT 1986-2000 СТ ВЕТР</t>
  </si>
  <si>
    <t>6963311</t>
  </si>
  <si>
    <t>FORD TRANSIT  1986-2000 СТ ВЕТР ЭО</t>
  </si>
  <si>
    <t>6969513</t>
  </si>
  <si>
    <t>FORD TRANSIT 1986-2000 СТ ВЕТР ЗЛ</t>
  </si>
  <si>
    <t>6969515</t>
  </si>
  <si>
    <t>FORD TRANSIT 1986-2000 СТ ВЕТР ЗЛГЛ</t>
  </si>
  <si>
    <t>6969514</t>
  </si>
  <si>
    <t>FORD TRANSIT 1986-2000 СТ ВЕТР ЗЛЗЛ</t>
  </si>
  <si>
    <t>6100077</t>
  </si>
  <si>
    <t>FORD TRANSIT 1986-2000  УСТ КОМПЛ ДЛЯ СТ ВЕТР</t>
  </si>
  <si>
    <t>6102334</t>
  </si>
  <si>
    <t>FORD TRANSIT 1986-2000  ЛВ/ПР НАБ СОЕД</t>
  </si>
  <si>
    <t>6102335</t>
  </si>
  <si>
    <t>FORD TRANSIT 1986-2000 МОЛД  ДЛЯ СТ ВЕТР</t>
  </si>
  <si>
    <t>6998752</t>
  </si>
  <si>
    <t>FORD TRANSIT МИН 1986-2000 СТ ЗАДН</t>
  </si>
  <si>
    <t>6998753</t>
  </si>
  <si>
    <t>FORD TRANSIT МИН 1986-2000 СТ ЗАДН ЛВ</t>
  </si>
  <si>
    <t>6997255</t>
  </si>
  <si>
    <t>FORD TRANSIT МИН 1994-2000 СТ ЗАДН ЛВ+ИЗМ РАЗМ</t>
  </si>
  <si>
    <t>6998754</t>
  </si>
  <si>
    <t>FORD TRANSIT МИН 1986-2000 СТ ЗАДН ПР</t>
  </si>
  <si>
    <t>6997257</t>
  </si>
  <si>
    <t>FORD TRANSIT МИН 1994-2000 СТ ЗАДН ПР+ИЗМ РАЗМ</t>
  </si>
  <si>
    <t>6998989</t>
  </si>
  <si>
    <t>FORD TRANSIT МИН 1986-2000 СТ ЗАДН ЭО</t>
  </si>
  <si>
    <t>6993515</t>
  </si>
  <si>
    <t>FORD TRANSIT 1986-2000 СТ ПЕР ДВ ОП ЛВ</t>
  </si>
  <si>
    <t>6993513</t>
  </si>
  <si>
    <t>FORD TRANSIT 1986-2000 СТ ФОРТ ПЕР ДВ ЛВ</t>
  </si>
  <si>
    <t>6996718</t>
  </si>
  <si>
    <t>FORD TRANSIT 1986-2000 СТ СР ЛВ</t>
  </si>
  <si>
    <t>6102333</t>
  </si>
  <si>
    <t>FORD TRANSIT 1986-2000  МОЛД СР БОК ЛВ</t>
  </si>
  <si>
    <t>6101772</t>
  </si>
  <si>
    <t>FORD TRANSIT 1986-2000  ЗАДН НЕП ЛВ МОЛД</t>
  </si>
  <si>
    <t>6996719</t>
  </si>
  <si>
    <t>FORD TRANSIT 1986-2000 СТ БОК ЛВ</t>
  </si>
  <si>
    <t>6996722</t>
  </si>
  <si>
    <t>FORD TRANSIT 1986-2000 СТ ПЕР ДВ ОП ЛВ ЗЛ</t>
  </si>
  <si>
    <t>6996723</t>
  </si>
  <si>
    <t>FORD TRANSIT 1986-2000 СТ ФОРТ ПЕР ДВ ЛВ ЗЛ</t>
  </si>
  <si>
    <t>6993516</t>
  </si>
  <si>
    <t>FORD TRANSIT 1986-2000 СТ ПЕР ДВ ОП ПР</t>
  </si>
  <si>
    <t>6993514</t>
  </si>
  <si>
    <t>6996720</t>
  </si>
  <si>
    <t>FORD TRANSIT 1986-2000 СТ СР ПР</t>
  </si>
  <si>
    <t>6900006</t>
  </si>
  <si>
    <t>FORD TRANSIT 1986-2000 СТ СР ПР+РАМКА</t>
  </si>
  <si>
    <t>6996721</t>
  </si>
  <si>
    <t>FORD TRANSIT 1986-2000 СТ БОК ПР</t>
  </si>
  <si>
    <t>6996724</t>
  </si>
  <si>
    <t>FORD TRANSIT 1986-2000 СТ ПЕР ДВ ОП ПР ЗЛ</t>
  </si>
  <si>
    <t>6996725</t>
  </si>
  <si>
    <t>FORD TRANSIT 1986-2000 СТ ФОРТ ПЕР ДВ НЕП ПР ЗЛ</t>
  </si>
  <si>
    <t>TRANSIT 2000-</t>
  </si>
  <si>
    <t>6960172</t>
  </si>
  <si>
    <t>FORD TRANSIT 2000-  СТ ВЕТР</t>
  </si>
  <si>
    <t>6961871</t>
  </si>
  <si>
    <t>FORD TRANSIT 2006-  СТ ВЕТР+VIN+ИЗМ ШЕЛК</t>
  </si>
  <si>
    <t>6961878</t>
  </si>
  <si>
    <t>FORD TRANSIT 2006-  СТ ВЕТР+VIN+ИЗМ КР+ИЗМ ШЕЛК</t>
  </si>
  <si>
    <t>6960179</t>
  </si>
  <si>
    <t>FORD TRANSIT 2000-  СТ ВЕТР ЗЛ</t>
  </si>
  <si>
    <t>6961963</t>
  </si>
  <si>
    <t>FORD TRANSIT 2000- СТ ВЕТР ЗЛГЛ</t>
  </si>
  <si>
    <t>6961912</t>
  </si>
  <si>
    <t>FORD TRANSIT 2000- СТ ВЕТР ЗЛ+ЭО</t>
  </si>
  <si>
    <t>6962891</t>
  </si>
  <si>
    <t>FORD TRANSIT 2006-  СТ ВЕТР ЗЛ ЭО+КР+ДД+VIN</t>
  </si>
  <si>
    <t>6961872</t>
  </si>
  <si>
    <t>FORD TRANSIT 2006-  СТ ВЕТР ЗЛ+VIN+ИЗМ ШЕЛК</t>
  </si>
  <si>
    <t>6961879</t>
  </si>
  <si>
    <t>FORD TRANSIT 2006-  СТ ВЕТР ЗЛ+VIN+ИЗМ КР</t>
  </si>
  <si>
    <t>6102153</t>
  </si>
  <si>
    <t>FORD TRANSIT 2000-  НАБ КЛИПС ДЛЯ СТ ВЕТР</t>
  </si>
  <si>
    <t>6101033</t>
  </si>
  <si>
    <t>FORD TRANSIT 2000-  УСТ КОМПЛ ДЛЯ СТ ВЕТР</t>
  </si>
  <si>
    <t>6100287</t>
  </si>
  <si>
    <t>FORD TRANSIT 2000-  МОЛД  ДЛЯ СТ ВЕТР ВЕРХ</t>
  </si>
  <si>
    <t>6995239</t>
  </si>
  <si>
    <t>FORD TRANSIT МИН V184 2000-  СТ ЗАДН ЗЛ ЛВ ЗЛ+1ОТВ</t>
  </si>
  <si>
    <t>6980053</t>
  </si>
  <si>
    <t>FORD TRANSIT МИН V184 2000-  СТ ЗАДН ЛВ ЗЛ Б/ЭО</t>
  </si>
  <si>
    <t>6980001</t>
  </si>
  <si>
    <t>FORD TRANSIT МИН V184 2000-  СТ ЗАДН ПР ЗЛ+VIN</t>
  </si>
  <si>
    <t>6995240</t>
  </si>
  <si>
    <t>FORD TRANSIT МИН V184 2000-  СТ ЗАДН ЗЛ ПР ЗЛ+1ОТВ</t>
  </si>
  <si>
    <t>6980014</t>
  </si>
  <si>
    <t>FORD TRANSIT МИН V184 2000-  СТ ЗАДН ЗЛ ПР Б/ЭО</t>
  </si>
  <si>
    <t>6980016</t>
  </si>
  <si>
    <t>FORD TRANSIT МИН V184 2000-  СТ ЗАДН ЗЛ ЛВ</t>
  </si>
  <si>
    <t>6993064</t>
  </si>
  <si>
    <t>FORD TRANSIT V184 2000- СТ ПЕР ДВ ОП ЛВ</t>
  </si>
  <si>
    <t>6993067</t>
  </si>
  <si>
    <t>FORD TRANSIT V184 2000- СТ ПЕР ДВ ОП ЛВ ЗЛ</t>
  </si>
  <si>
    <t>6993971</t>
  </si>
  <si>
    <t>FORD TRANSIT V184 2000-  СТ ФОРТ ПЕР НЕП ЛВ ЗЛ+ИНК</t>
  </si>
  <si>
    <t>6900073</t>
  </si>
  <si>
    <t>FORD TRANSIT V184 2000-  СТ СР ЛВ ЗЛ</t>
  </si>
  <si>
    <t>6900330</t>
  </si>
  <si>
    <t>FORD TRANSIT V184 2000-  СТ ЗАДН НЕП ЛВ ЗЛ</t>
  </si>
  <si>
    <t>6993084</t>
  </si>
  <si>
    <t>FORD TRANSIT V184 2000- СТ ПЕР ДВ ОП ПР</t>
  </si>
  <si>
    <t>6993085</t>
  </si>
  <si>
    <t>FORD TRANSIT V184 2000- СТ ПЕР ДВ ОП ПР ЗЛ</t>
  </si>
  <si>
    <t>6993972</t>
  </si>
  <si>
    <t>FORD TRANSIT V184 2000-  СТ ФОРТ ПЕР НЕП ПР ЗЛ+ИНК</t>
  </si>
  <si>
    <t>6900114</t>
  </si>
  <si>
    <t>FORD TRANSIT LWB /MWB V184 2000-  VAN 3Д СТ СР ПР ЗЛ</t>
  </si>
  <si>
    <t>6900347</t>
  </si>
  <si>
    <t>FORD TRANSIT LWB /MWB V184 2000-  VAN 3Д СТ ЗАДН ДВ НЕП ПР ЗЛ</t>
  </si>
  <si>
    <t>TRANSIT CONNECT 2002-</t>
  </si>
  <si>
    <t>6961966</t>
  </si>
  <si>
    <t>FORD TOURNEO CONNECT 2002- СТ ВЕТР ЗЛ ЭО+VIN</t>
  </si>
  <si>
    <t>6961965</t>
  </si>
  <si>
    <t>FORD TOURNEO CONNECT 2002- СТ ВЕТР ЗЛ ЭО+КР+VIN</t>
  </si>
  <si>
    <t>6961324</t>
  </si>
  <si>
    <t>FORD TOURNEO CONNECT 2002- СТ ВЕТР ЗЛ+VIN</t>
  </si>
  <si>
    <t>6961042</t>
  </si>
  <si>
    <t>FORD TOURNEO CONNECT 2002- СТ ВЕТР ЗЛ+VIN+ИЗМ КР</t>
  </si>
  <si>
    <t>6961964</t>
  </si>
  <si>
    <t>FORD TOURNEO CONNECT 2002- СТ ВЕТР ЗЛГЛ+VIN</t>
  </si>
  <si>
    <t>6101056</t>
  </si>
  <si>
    <t>FORD TOURNEO CONNECT 2002- МОЛД  ДЛЯ СТ ВЕТР ВЕРХ</t>
  </si>
  <si>
    <t>6995242</t>
  </si>
  <si>
    <t>FORD TOURNEO CONNECT МИН 2002- СТ ЗАДН ЗЛ ЛВ+1 ОТВ</t>
  </si>
  <si>
    <t>6995243</t>
  </si>
  <si>
    <t>FORD TOURNEO CONNECT МИН 2002- СТ ЗАДН ЗЛ ПР+1 ОТВ</t>
  </si>
  <si>
    <t>6997743</t>
  </si>
  <si>
    <t>FORD TOURNEO CONNECT МИН 2002- СТ ЗАДН ЗЛ</t>
  </si>
  <si>
    <t>6993281</t>
  </si>
  <si>
    <t>FORD TOURNEO CONNECT 2002- СТ ПЕР ДВ ОП ЛВ ЗЛ</t>
  </si>
  <si>
    <t>6995244</t>
  </si>
  <si>
    <t>FORD TOURNEO CONNECT 2002- СТ ФОРТ ПЕР НЕП ЛВ ЗЛ</t>
  </si>
  <si>
    <t>6993282</t>
  </si>
  <si>
    <t>FORD TOURNEO CONNECT 2002- СТ ПЕР ДВ ОП ПР ЗЛ</t>
  </si>
  <si>
    <t>6995245</t>
  </si>
  <si>
    <t>FORD TOURNEO CONNECT 2002- СТ ФОРТ ПЕР НЕП ПР ЗЛ</t>
  </si>
  <si>
    <t>WINDSTAR 1995-1998</t>
  </si>
  <si>
    <t>6950201</t>
  </si>
  <si>
    <t>1995-1998</t>
  </si>
  <si>
    <t>FORD WINDSTAR 1995-1998 СТ ВЕТР ЗЛГЛ+VIN+УО</t>
  </si>
  <si>
    <t>FREIGHTLINER</t>
  </si>
  <si>
    <t>CENTURY CLASS C112/120 1996-2005</t>
  </si>
  <si>
    <t>6962976</t>
  </si>
  <si>
    <t>1996-2005</t>
  </si>
  <si>
    <t>FREIGHTLINER CENTURY CLASS C112/120 1996-2005 05 СТ ВЕТР ЗЛ</t>
  </si>
  <si>
    <t>HONDA</t>
  </si>
  <si>
    <t>ACCORD AERODECK 1986-1990</t>
  </si>
  <si>
    <t>6963619</t>
  </si>
  <si>
    <t>1986-1990</t>
  </si>
  <si>
    <t>HONDA ACCORD AERODECK 1986-1990 СТ ВЕТР ГЛГЛ</t>
  </si>
  <si>
    <t>6999359</t>
  </si>
  <si>
    <t>1987-1990</t>
  </si>
  <si>
    <t>HONDA ACCORD AERODECK 1987-1990 СТ ПЕР ДВ ОП ЛВ ГЛ+УО</t>
  </si>
  <si>
    <t>ACCORD AERODECK 1993-1998</t>
  </si>
  <si>
    <t>6964104</t>
  </si>
  <si>
    <t>HONDA ACCORD AERODECK 1993-1998 СТ ВЕТР ЗЛГЛ</t>
  </si>
  <si>
    <t>6102338</t>
  </si>
  <si>
    <t>HONDA ACCORD AERODECK 1993-1998  УН ЛВ/ПР НАБ КЛИПС ДЛЯ СТ ВЕТР</t>
  </si>
  <si>
    <t>ACCORD СЕД 1982-1984</t>
  </si>
  <si>
    <t>6964134</t>
  </si>
  <si>
    <t>1982-1984</t>
  </si>
  <si>
    <t>HONDA ACCORD СЕД 1982-1984 СТ ВЕТР ГЛ</t>
  </si>
  <si>
    <t>ACCORD СЕД 1984-1990</t>
  </si>
  <si>
    <t>6963375</t>
  </si>
  <si>
    <t>1984-1990</t>
  </si>
  <si>
    <t>HONDA ACCORD СЕД 1984-1990 СТ ВЕТР ГЛ</t>
  </si>
  <si>
    <t>6900504</t>
  </si>
  <si>
    <t>HONDA ACCORD СЕД 1984-1990 СТ ПЕР ДВ ОП ЛВ ГЛ</t>
  </si>
  <si>
    <t>6999486</t>
  </si>
  <si>
    <t>HONDA ACCORD СЕД 1984-1990 СТ ЗАДН ДВ ОП ЛВ ГЛ/HONDA ACCORD SAL 82-84</t>
  </si>
  <si>
    <t>6999487</t>
  </si>
  <si>
    <t>HONDA ACCORD СЕД 1984-1990 СТ ПЕР ДВ ОП ПР ГЛ/HONDA ACCORD SAL 82-84</t>
  </si>
  <si>
    <t>6999488</t>
  </si>
  <si>
    <t>HONDA ACCORD СЕД 1984-1990 СТ ЗАДН ДВ ОП ПР ГЛ/HONDA ACCORD SAL 82-84</t>
  </si>
  <si>
    <t>ACCORD СЕД 1986-1989</t>
  </si>
  <si>
    <t>6969228</t>
  </si>
  <si>
    <t>HONDA ACCORD СЕД 1986-1989 СТ ВЕТР ГЛ</t>
  </si>
  <si>
    <t>6969227</t>
  </si>
  <si>
    <t>HONDA ACCORD СЕД 1986-1989 СТ ВЕТР ГЛГЛ</t>
  </si>
  <si>
    <t>6102507</t>
  </si>
  <si>
    <t>HONDA ACCORD СЕД 1986-1989 НАБ СОЕД ДЛЯ СТ ВЕТР</t>
  </si>
  <si>
    <t>6995667</t>
  </si>
  <si>
    <t>HONDA ACCORD СЕД 1986-1989 СТ ПЕР ДВ ОП ЛВ ГЛ+УО</t>
  </si>
  <si>
    <t>6999357</t>
  </si>
  <si>
    <t>HONDA ACCORD СЕД 1986-1989 СТ ЗАДН ДВ ОП ЛВ ГЛ+УО</t>
  </si>
  <si>
    <t>6900293</t>
  </si>
  <si>
    <t>HONDA ACCORD СЕД 1986-1989 СТ ФОРТ ЗАДН НЕП ЛВ ГЛ+УО</t>
  </si>
  <si>
    <t>6995668</t>
  </si>
  <si>
    <t>HONDA ACCORD СЕД 1986-1989 СТ ПЕР ДВ ОП ПР ГЛ+УО</t>
  </si>
  <si>
    <t>6999358</t>
  </si>
  <si>
    <t>HONDA ACCORD СЕД 1986-1989 СТ ЗАДН ДВ ОП ПР ГЛ+УО</t>
  </si>
  <si>
    <t>6900311</t>
  </si>
  <si>
    <t>HONDA ACCORD СЕД 1986-1989 СТ ФОРТ ЗАДН НЕП ПР ГЛ</t>
  </si>
  <si>
    <t>ACCORD ХБ AC SA5 1984-1992</t>
  </si>
  <si>
    <t>6963617</t>
  </si>
  <si>
    <t>1984-1992</t>
  </si>
  <si>
    <t>HONDA ACCORD 3Д 1984-1992 СТ ВЕТР ГЛ</t>
  </si>
  <si>
    <t>6999505</t>
  </si>
  <si>
    <t>HONDA ACCORD 3Д ХБ 1984-1992 СТ ЗАДН ДВ ГЛ</t>
  </si>
  <si>
    <t>ACCORD СЕД/УН 1989-1993</t>
  </si>
  <si>
    <t>6963452</t>
  </si>
  <si>
    <t>1989-1993</t>
  </si>
  <si>
    <t>HONDA ACCORD СЕД+УН 1989-1993 СТ ВЕТР ГЛ</t>
  </si>
  <si>
    <t>6963378</t>
  </si>
  <si>
    <t>HONDA ACCORD СЕД+УН 1989-1993 СТ ВЕТР ГЛГЛ</t>
  </si>
  <si>
    <t>6963379</t>
  </si>
  <si>
    <t>HONDA ACCORD СЕД+УН 1989-1993 СТ ВЕТР ЗЛГЛ</t>
  </si>
  <si>
    <t>6101021</t>
  </si>
  <si>
    <t>HONDA ACCORD СЕД+УН 1989-1993  НАБ КЛИПС ДЛЯ СТ ВЕТР</t>
  </si>
  <si>
    <t>6101008</t>
  </si>
  <si>
    <t>HONDA ACCORD СЕД+УН 1989-1993 НАБ СОЕД</t>
  </si>
  <si>
    <t>6998851</t>
  </si>
  <si>
    <t>HONDA ACCORD СД 1989-1993 СТ ЗАДН ГЛ</t>
  </si>
  <si>
    <t>6995679</t>
  </si>
  <si>
    <t>HONDA ACCORD СЕД+УН 1989-1993 СТ ПЕР ДВ ОП ЛВ ГЛ+ФИТ</t>
  </si>
  <si>
    <t>6999361</t>
  </si>
  <si>
    <t>HONDA ACCORD СЕД 1989-1993 СТ ЗАДН ДВ ОП ЛВ ГЛ+УО</t>
  </si>
  <si>
    <t>6999363</t>
  </si>
  <si>
    <t>HONDA ACCORD СЕД+УН 1989-1993  СТ ПЕР ДВ ОП ЛВ ЗЛ+УО</t>
  </si>
  <si>
    <t>6995680</t>
  </si>
  <si>
    <t>HONDA ACCORD СЕД+УН 1989-1993 СТ ПЕР ДВ ОП ПР ГЛ+ФИТ</t>
  </si>
  <si>
    <t>6999362</t>
  </si>
  <si>
    <t>HONDA ACCORD СЕД 1989-1993 СТ ЗАДН ДВ ОП ПР ГЛ+УО</t>
  </si>
  <si>
    <t>ACCORD СЕД 1993-09.1998</t>
  </si>
  <si>
    <t>6190423</t>
  </si>
  <si>
    <t>HONDA ACCORD СЕД 1993-1998  СТ ВЕТР ЗЛ/ROVER 600 1993-1993  СТ ВЕТР ЗЛ</t>
  </si>
  <si>
    <t>6190424</t>
  </si>
  <si>
    <t>HONDA ACCORD СЕД 1993-1998  СТ ВЕТР ЗЛГЛ/ROVER 600 1993-1998  СТ ВЕТР ЗЛГЛ</t>
  </si>
  <si>
    <t>6190425</t>
  </si>
  <si>
    <t>HONDA ACCORD СЕД 1993-1998  СТ ВЕТР ЗЛЗЛ/ROVER 600 1993-1993  СТ ВЕТР ЗЛЗЛ</t>
  </si>
  <si>
    <t>6998755</t>
  </si>
  <si>
    <t>HONDA ACCORD СД 1993-1998 СТ ЗАДН ЗЛ</t>
  </si>
  <si>
    <t>6995687</t>
  </si>
  <si>
    <t>HONDA ACCORD СЕД 1993-1998  СТ ПЕР ДВ ОП ЛВ ЗЛ+УО/ROVER 600 93  СТ ПЕР ДВ ОП ЛВ ЗЛ+ФИТ</t>
  </si>
  <si>
    <t>6995688</t>
  </si>
  <si>
    <t>HONDA ACCORD СЕД 1993-1998  СТ ЗАДН ДВ ОП ЛВ ЗЛ+УО</t>
  </si>
  <si>
    <t>6994699</t>
  </si>
  <si>
    <t>HONDA ACCORD СЕД 1993-1998  СТ БОК НЕП ЛВ ЗЛ+ИНК</t>
  </si>
  <si>
    <t>6995689</t>
  </si>
  <si>
    <t>HONDA ACCORD СЕД 1993-1998  СТ ПЕР ДВ ОП ПР ЗЛ+УО/ROVER 600 93  СТ ПЕР ДВ ОП ПР ЗЛ+ФИТ</t>
  </si>
  <si>
    <t>6995690</t>
  </si>
  <si>
    <t>HONDA ACCORD СЕД 1993-1998  СТ ЗАДН ДВ ОП ПР ЗЛ+УО</t>
  </si>
  <si>
    <t>6995320</t>
  </si>
  <si>
    <t>HONDA ACCORD СЕД 1993-1998  СТ БОК НЕП ПР ЗЛ+ИНК</t>
  </si>
  <si>
    <t>ACCORD СЕД 1998-2002</t>
  </si>
  <si>
    <t>6963195</t>
  </si>
  <si>
    <t>HONDA ACCORD СЕД 1998-2002  СТ ВЕТР ЗЛЗЛ+VIN</t>
  </si>
  <si>
    <t>6961419</t>
  </si>
  <si>
    <t>HONDA ACCORD СЕД 1998-2002  СТ ВЕТР ЗЛ+VIN</t>
  </si>
  <si>
    <t>6100967</t>
  </si>
  <si>
    <t>HONDA ACCORD СЕД 1998-2002  МОЛД  ДЛЯ СТ ВЕТР</t>
  </si>
  <si>
    <t>6994765</t>
  </si>
  <si>
    <t>HONDA ACCORD СД 1998-2002  СТ ЗАДН ЗЛ</t>
  </si>
  <si>
    <t>6992764</t>
  </si>
  <si>
    <t>HONDA ACCORD СЕД 1998-2002 +5Д 1999-2002  СТ ПЕР ДВ ОП ЛВ ЗЛ+УО</t>
  </si>
  <si>
    <t>6994766</t>
  </si>
  <si>
    <t>HONDA ACCORD 5Д 1999-2002 СЕД 4Д СТ ЗАДН ОП ЛВ ЗЛ+УО</t>
  </si>
  <si>
    <t>6992765</t>
  </si>
  <si>
    <t>HONDA ACCORD СЕД 1998-2002 +5Д 1999-2002  СТ ПЕР ДВ ОП ПР ЗЛ+УО</t>
  </si>
  <si>
    <t>6994767</t>
  </si>
  <si>
    <t>HONDA ACCORD 5Д 1999-2002 СЕД 4Д СТ ЗАДН ОП ПР ЗЛ+УО</t>
  </si>
  <si>
    <t>ACCORD СЕД/УН 2002-2008</t>
  </si>
  <si>
    <t>6961178</t>
  </si>
  <si>
    <t>HONDA ACCORD ПРРУЛЬ 2002-2008 СТ ВЕТР ЗЛГЛ+ДД+VIN</t>
  </si>
  <si>
    <t>6964830</t>
  </si>
  <si>
    <t>HONDA ACCORD ЛВРУЛЬ 2002-2008  СТ ВЕТР ЗЛГЛ+ДД+VIN</t>
  </si>
  <si>
    <t>6962563</t>
  </si>
  <si>
    <t>HONDA ACCORD 4Д СЕД 2006-2008 СТ ВЕТР ЗЛГЛ+ДД+VIN+ИЗМ ШЕЛК</t>
  </si>
  <si>
    <t>6960996</t>
  </si>
  <si>
    <t>HONDA ACCORD СЕД/УН 2002-2008 СТ ВЕТР ЗЛГЛ+VIN</t>
  </si>
  <si>
    <t>6100981</t>
  </si>
  <si>
    <t>HONDA ACCORD СЕД/УН 2002-2008 МОЛД  ДЛЯ СТ ВЕТР ВЕРХ</t>
  </si>
  <si>
    <t>6996466</t>
  </si>
  <si>
    <t>HONDA ACCORD 4Д СД 2002-2008  СТ ЗАДН ЗЛ+АНТ</t>
  </si>
  <si>
    <t>6900141</t>
  </si>
  <si>
    <t>HONDA ACCORD УН 2002-2008  СТ ЗАДН ДВ ОП ЛВ ЗЛ+УО</t>
  </si>
  <si>
    <t>6996186</t>
  </si>
  <si>
    <t>HONDA ACCORD СЕД/УН 2002-2008  СТ ПЕР ДВ ОП ЛВ ЗЛ+УО</t>
  </si>
  <si>
    <t>6900140</t>
  </si>
  <si>
    <t>HONDA ACCORD СЕД 2002-2008  СТ ЗАДН ДВ ОП ЛВ ЗЛ+УО</t>
  </si>
  <si>
    <t>6995246</t>
  </si>
  <si>
    <t>HONDA ACCORD СЕД 2002-2008  СТ ФОРТ ЗАДН НЕП ЛВ ЗЛ</t>
  </si>
  <si>
    <t>6900222</t>
  </si>
  <si>
    <t>HONDA ACCORD УН 2002-2008  СТ ЗАДН ДВ ОП ПР ЗЛ+УО</t>
  </si>
  <si>
    <t>6993822</t>
  </si>
  <si>
    <t>HONDA ACCORD СЕД/УН 2002-2008  СТ ПЕР ДВ ОП ПР ЗЛ+УО</t>
  </si>
  <si>
    <t>6993823</t>
  </si>
  <si>
    <t>HONDA ACCORD СЕД 2002-2008  СТ ЗАДН ДВ ОП ПР ЗЛ+УО</t>
  </si>
  <si>
    <t>6993824</t>
  </si>
  <si>
    <t>HONDA ACCORD СЕД 2002-2008  СТ ФОРТ ЗАДН НЕП ПР ЗЛ</t>
  </si>
  <si>
    <t>ACCORD 2008-</t>
  </si>
  <si>
    <t>6964025</t>
  </si>
  <si>
    <t>HONDA ACCORD 2008- СТ ВЕТР ЗЛГЛ+VIN</t>
  </si>
  <si>
    <t>6964008</t>
  </si>
  <si>
    <t>HONDA ACCORD 2008- СТ ВЕТР ЗЛГЛ+VIN+ДД+ИЗМ ДЕР ЗЕРК</t>
  </si>
  <si>
    <t>ACURA MDX 2000-2006</t>
  </si>
  <si>
    <t>6963012</t>
  </si>
  <si>
    <t>HONDA ACURA MDX 2000-2006  СТ ВЕТР ЗЛГЛ+УО</t>
  </si>
  <si>
    <t>CIVIC CRX COUPE 1984-1988</t>
  </si>
  <si>
    <t>6963374</t>
  </si>
  <si>
    <t>1984-1988</t>
  </si>
  <si>
    <t>HONDA CIVIC CRX 1984-1988 СТ ВЕТР ГЛ</t>
  </si>
  <si>
    <t>6963551</t>
  </si>
  <si>
    <t>HONDA CIVIC CRX 1984-1988 СТ ВЕТР ГЛГЛ</t>
  </si>
  <si>
    <t>6102968</t>
  </si>
  <si>
    <t>HONDA CIVIC CRX 10/83-08/87 Клипса</t>
  </si>
  <si>
    <t>6900036</t>
  </si>
  <si>
    <t>HONDA CIVIC CRX 1984-1988 СТ ПЕР ДВ ОП ПР ГЛ</t>
  </si>
  <si>
    <t>CIVIC SHUTTLE I 1984-1988</t>
  </si>
  <si>
    <t>6963616</t>
  </si>
  <si>
    <t>HONDA CIVIC /SHUTTLE I 1984-1988 СТ ВЕТР ГЛ</t>
  </si>
  <si>
    <t>CIVIC 3Д 1984-1987</t>
  </si>
  <si>
    <t>6963373</t>
  </si>
  <si>
    <t>1984-1987</t>
  </si>
  <si>
    <t>HONDA CIVIC 1984-1987 СТ ВЕТР ГЛ</t>
  </si>
  <si>
    <t>6100482</t>
  </si>
  <si>
    <t>HONDA CIVIC 1984-1987 НАБ КЛИПС ДЛЯ СТ ВЕТР</t>
  </si>
  <si>
    <t>6999353</t>
  </si>
  <si>
    <t>HONDA CIVIC 1984-1987 СТ ПЕР ДВ ОП ЛВ ГЛ+ФИТ</t>
  </si>
  <si>
    <t>CIVIC 4D SAL 1984-1989</t>
  </si>
  <si>
    <t>6963738</t>
  </si>
  <si>
    <t>1984-1989</t>
  </si>
  <si>
    <t>HONDA CIVIC 4Д СЕД 1984-1989 СТ ВЕТР ГЛ</t>
  </si>
  <si>
    <t>CIVIC SHUTTLE II 1988-1990</t>
  </si>
  <si>
    <t>6963451</t>
  </si>
  <si>
    <t>1988-1990</t>
  </si>
  <si>
    <t>HONDA CIVIC SHUTTLE II 1988-1990 СТ ВЕТР ГЛ</t>
  </si>
  <si>
    <t>6995676</t>
  </si>
  <si>
    <t>HONDA CIVIC SHUTTLE II 1988-1990 СТ ПЕР ДВ ОП ПР ГЛ+УО</t>
  </si>
  <si>
    <t>CIVIC 3Д 1987-1991</t>
  </si>
  <si>
    <t>6969225</t>
  </si>
  <si>
    <t>1987-1991</t>
  </si>
  <si>
    <t>HONDA CIVIC 3Д 1987-1991 СТ ВЕТР ГЛ</t>
  </si>
  <si>
    <t>6969226</t>
  </si>
  <si>
    <t>HONDA CIVIC 3Д 1987-1991 СТ ВЕТР ГЛГЛ</t>
  </si>
  <si>
    <t>6100406</t>
  </si>
  <si>
    <t>HONDA CIVIC 3Д 1987-1991 МОЛД  ДЛЯ СТ ЗАДН</t>
  </si>
  <si>
    <t>6998849</t>
  </si>
  <si>
    <t>HONDA CIVIC 3Д ХБ 1987-1991 СТ ЗАДН ГЛ</t>
  </si>
  <si>
    <t>6993900</t>
  </si>
  <si>
    <t>HONDA CIVIC 3Д 1987-1991 СТ ПЕР ДВ ОП ЛВ ГЛ+ФИТ</t>
  </si>
  <si>
    <t>6993901</t>
  </si>
  <si>
    <t>HONDA CIVIC 3Д 1987-1991 СТ ПЕР ДВ ОП ПР ГЛ+ФИТ</t>
  </si>
  <si>
    <t>6996729</t>
  </si>
  <si>
    <t>HONDA CIVIC 3Д 1987-1991 СТ БОК НЕП ПР ГЛ ОТКР</t>
  </si>
  <si>
    <t>CIVIC CRX COUPE 1988-1992</t>
  </si>
  <si>
    <t>6963620</t>
  </si>
  <si>
    <t>1988-1992</t>
  </si>
  <si>
    <t>HONDA CIVIC CRX КП 1988-1992 СТ ВЕТР ГЛ</t>
  </si>
  <si>
    <t>6963621</t>
  </si>
  <si>
    <t>HONDA CIVIC CRX КП 1988-1992 СТ ВЕТР ГЛГЛ</t>
  </si>
  <si>
    <t>6995673</t>
  </si>
  <si>
    <t>HONDA CIVIC CRX КП 1988-1992 СТ ПЕР ДВ ОП ЛВ ГЛ+УО</t>
  </si>
  <si>
    <t>CIVIC 4D СЕД 1990-09.1991</t>
  </si>
  <si>
    <t>6963376</t>
  </si>
  <si>
    <t>HONDA CIVIC СЕД 1990-1992 СТ ВЕТР ГЛ</t>
  </si>
  <si>
    <t>6963377</t>
  </si>
  <si>
    <t>HONDA CIVIC СЕД 1990-1992 СТ ВЕТР ГЛГЛ</t>
  </si>
  <si>
    <t>6998947</t>
  </si>
  <si>
    <t>HONDA CIVIC СД 1990-1992 СТ ЗАДН ГЛ</t>
  </si>
  <si>
    <t>6997912</t>
  </si>
  <si>
    <t>HONDA CIVIC СЕД 1990-1992 СТ ПЕР ДВ ОП ЛВ ГЛ</t>
  </si>
  <si>
    <t>6997913</t>
  </si>
  <si>
    <t>HONDA CIVIC СЕД 1990-1992 СТ ЗАДН ДВ ОП ЛВ ГЛ</t>
  </si>
  <si>
    <t>6997914</t>
  </si>
  <si>
    <t>HONDA CIVIC СЕД 1990-1992 СТ ПЕР ДВ ОП ПР ГЛ</t>
  </si>
  <si>
    <t>6997915</t>
  </si>
  <si>
    <t>HONDA CIVIC СЕД 1990-1992 СТ ЗАДН ДВ ОП ПР ГЛ</t>
  </si>
  <si>
    <t>CIVIC 4D СЕД 1991-10.1995</t>
  </si>
  <si>
    <t>6969213</t>
  </si>
  <si>
    <t>HONDA CIVIC СЕД 1991-1995 СТ ВЕТР ГЛ</t>
  </si>
  <si>
    <t>6969214</t>
  </si>
  <si>
    <t>HONDA CIVIC СЕД 1991-1995 СТ ВЕТР ГЛГЛ</t>
  </si>
  <si>
    <t>6969946</t>
  </si>
  <si>
    <t>HONDA CIVIC СЕД 1991-1995 СТ ВЕТР ЗЛ</t>
  </si>
  <si>
    <t>6969215</t>
  </si>
  <si>
    <t>HONDA CIVIC СЕД 1991-1995 СТ ВЕТР ЗЛГЛ</t>
  </si>
  <si>
    <t>6101082</t>
  </si>
  <si>
    <t>HONDA CIVIC СЕД 1991-1995 НАБ КЛИПС ДЛЯ СТ ВЕТР</t>
  </si>
  <si>
    <t>6997296</t>
  </si>
  <si>
    <t>HONDA CIVIC СД 1991-1995 СТ ЗАДН ЗЛ</t>
  </si>
  <si>
    <t>6995681</t>
  </si>
  <si>
    <t>HONDA CIVIC СЕД 1991-1995 СТ ПЕР ДВ ОП ЛВ ГЛ+УО</t>
  </si>
  <si>
    <t>6995682</t>
  </si>
  <si>
    <t>HONDA CIVIC СЕД 1991-1995 СТ ПЕР ДВ ОП ПР ГЛ+УО</t>
  </si>
  <si>
    <t>CIVIC 3Д 1991-10.1995</t>
  </si>
  <si>
    <t>6969229</t>
  </si>
  <si>
    <t>1991-1996</t>
  </si>
  <si>
    <t>HONDA CIVIC 3Д ХБ 1991-1996 СТ ВЕТР ГЛ</t>
  </si>
  <si>
    <t>6969230</t>
  </si>
  <si>
    <t>HONDA CIVIC 3Д ХБ 1991-1996 СТ ВЕТР ГЛГЛ</t>
  </si>
  <si>
    <t>6969947</t>
  </si>
  <si>
    <t>HONDA CIVIC 3Д ХБ 1991-1996 СТ ВЕТР ЗЛ</t>
  </si>
  <si>
    <t>6101195</t>
  </si>
  <si>
    <t>HONDA CIVIC 3Д ХБ 1991-1996  НАБ КЛИПС ДЛЯ СТ ВЕТР</t>
  </si>
  <si>
    <t>6102509</t>
  </si>
  <si>
    <t>HONDA CIVIC 3Д ХБ 1991-1996  НАБ СОЕД ДЛЯ СТ ВЕТР</t>
  </si>
  <si>
    <t>6100083</t>
  </si>
  <si>
    <t>HONDA CIVIC 3Д ХБ 1991-1996  МОЛД  ДЛЯ СТ ВЕТР ВЕРХ</t>
  </si>
  <si>
    <t>6998852</t>
  </si>
  <si>
    <t>HONDA CIVIC 3Д ХБ 1991-1996 СТ ЗАДН ГЛ</t>
  </si>
  <si>
    <t>6993904</t>
  </si>
  <si>
    <t>HONDA CIVIC 3Д ХБ 1991-1996 СТ ПЕР ДВ ОП ЛВ ГЛ+ФИТ</t>
  </si>
  <si>
    <t>6993905</t>
  </si>
  <si>
    <t>HONDA CIVIC 3Д ХБ 1991-1996 СТ ПЕР ДВ ОП ПР ГЛ+ФИТ</t>
  </si>
  <si>
    <t>6995358</t>
  </si>
  <si>
    <t>HONDA CIVIC 3Д ХБ 1991-1996 СТ БОК ПР ГЛ</t>
  </si>
  <si>
    <t>CIVIC COUPE SR8 1994-10.1995</t>
  </si>
  <si>
    <t>6963553</t>
  </si>
  <si>
    <t>HONDA CIVIC КУП SR8 1994-1996  СТ ВЕТР ЗЛ</t>
  </si>
  <si>
    <t>6961090</t>
  </si>
  <si>
    <t>HONDA CIVIC КУП SR8 1994-1996  СТ ВЕТР ЗЛГЛ</t>
  </si>
  <si>
    <t>6993902</t>
  </si>
  <si>
    <t>HONDA CIVIC КУП SR8 1994-1996  СТ ПЕР ДВ ОП ЛВ ЗЛ+УО</t>
  </si>
  <si>
    <t>6993903</t>
  </si>
  <si>
    <t>HONDA CIVIC КУП SR8 1994-1996  СТ ПЕР ДВ ОП ПР ЗЛ+УО</t>
  </si>
  <si>
    <t>CIVIC SHUTTLE III 1995-</t>
  </si>
  <si>
    <t>6963623</t>
  </si>
  <si>
    <t>HONDA CIVIC SHUTTLE III 1995-2002 СТ ВЕТР ЗЛ</t>
  </si>
  <si>
    <t>6101135</t>
  </si>
  <si>
    <t>HONDA CIVIC SHUTTLE III 01/1998-2002 МОЛД  ДЛЯ СТ ВЕТР</t>
  </si>
  <si>
    <t>6101379</t>
  </si>
  <si>
    <t>HONDA CIVIC SHUTTLE III 1995-1997 МОЛД ДЛЯ СТ ВЕТР ВЕРХ</t>
  </si>
  <si>
    <t>6999949</t>
  </si>
  <si>
    <t>HONDA CIVIC SHUTTLE III 1995-2002  СТ ПЕР ДВ ОП ЛВ ЗЛ+ФИТ</t>
  </si>
  <si>
    <t>6900040</t>
  </si>
  <si>
    <t>HONDA CIVIC SHUTTLE III 1995-2002  СТ ПЕР ДВ ОП ПР ЗЛ+ФИТ</t>
  </si>
  <si>
    <t>CIVIC 3Д 10.1995-2001</t>
  </si>
  <si>
    <t>6969360</t>
  </si>
  <si>
    <t>HONDA CIVIC 3Д ХБ 1996-2001 СТ ВЕТР ЗЛ</t>
  </si>
  <si>
    <t>6960998</t>
  </si>
  <si>
    <t>HONDA CIVIC 3Д ХБ 1996-2001 СТ ВЕТР ЗЛГЛ</t>
  </si>
  <si>
    <t>6969361</t>
  </si>
  <si>
    <t>HONDA CIVIC 3Д ХБ 1996-2001 СТ ВЕТР ЗЛЗЛ</t>
  </si>
  <si>
    <t>6100404</t>
  </si>
  <si>
    <t>HONDA CIVIC 3Д ХБ 1996-2001 МОЛД  ДЛЯ СТ ВЕТР</t>
  </si>
  <si>
    <t>6995691</t>
  </si>
  <si>
    <t>HONDA CIVIC 3Д ХБ+КП 1996-2001 СТ ПЕР ДВ ОП ЛВ ЗЛ+ФИТ</t>
  </si>
  <si>
    <t>6995692</t>
  </si>
  <si>
    <t>HONDA CIVIC 3Д ХБ 1996-2001  СТ БОК ЛВ ЗЛ</t>
  </si>
  <si>
    <t>6995693</t>
  </si>
  <si>
    <t>HONDA CIVIC 3Д ХБ+КП 1996-2001  СТ ПЕР ДВ ОП ПР ЗЛ+ФИТ</t>
  </si>
  <si>
    <t>6995694</t>
  </si>
  <si>
    <t>HONDA CIVIC 3Д ХБ 1996-2001  СТ БОК ПР ЗЛ</t>
  </si>
  <si>
    <t>CIVIC 4D СЕД 1996-2001</t>
  </si>
  <si>
    <t>6969362</t>
  </si>
  <si>
    <t>HONDA CIVIC 4D СЕД 1996-2001  СТ ВЕТР ЗЛ</t>
  </si>
  <si>
    <t>6969363</t>
  </si>
  <si>
    <t>HONDA CIVIC 4D СЕД 1996-2001  СТ ВЕТР ЗЛЗЛ</t>
  </si>
  <si>
    <t>6101134</t>
  </si>
  <si>
    <t>HONDA CIVIC 4Д СЕД 1996-2001  МОЛД  ДЛЯ СТ ВЕТР</t>
  </si>
  <si>
    <t>6998854</t>
  </si>
  <si>
    <t>HONDA CIVIC 4Д СД 1996-2001  СТ ЗАДН ЗЛ</t>
  </si>
  <si>
    <t>6995695</t>
  </si>
  <si>
    <t>HONDA CIVIC СЕД 1996-2001  СТ ПЕР ДВ ОП ЛВ ЗЛ+УО</t>
  </si>
  <si>
    <t>6995696</t>
  </si>
  <si>
    <t>HONDA CIVIC 4D СЕД 1996-2001  СТ ЗАДН ДВ ОП ЛВ ЗЛ+ФИТ</t>
  </si>
  <si>
    <t>6995697</t>
  </si>
  <si>
    <t>HONDA CIVIC СЕД 1996-2001  СТ ПЕР ДВ ОП ПР ЗЛ+УО</t>
  </si>
  <si>
    <t>6995698</t>
  </si>
  <si>
    <t>HONDA CIVIC 4D СЕД 1996-2001  СТ ЗАДН ДВ ОП ПР ЗЛ+ФИТ</t>
  </si>
  <si>
    <t>CIVIC 5Д HBK 1995-/EST 1998- 02.2001</t>
  </si>
  <si>
    <t>6969220</t>
  </si>
  <si>
    <t>HONDA CIVIC 5Д ХБ 1995-2001 СТ ВЕТР ЗЛЗЛ+VIN+ФИТ/ROVER 400 ХБ 1995 / СЕД 1996  СТ ВЕТР ЗЛЗЛ+VIN+УО</t>
  </si>
  <si>
    <t>6969219</t>
  </si>
  <si>
    <t>HONDA CIVIC 5Д ХБ 1995-2001 СТ ВЕТР ЗЛ+VIN+ФИТ/ROVER 400 ХБ 1995 / СЕД 1996  СТ ВЕТР ЗЛ+VIN+УО</t>
  </si>
  <si>
    <t>6101177</t>
  </si>
  <si>
    <t>HONDA CIVIC 5Д ХБ 1995-2001  НАБ КЛИПС ДЛЯ СТ ВЕТР</t>
  </si>
  <si>
    <t>6100591</t>
  </si>
  <si>
    <t>HONDA CIVIC 5Д ХБ 1995-2001  МОЛД  ДЛЯ СТ ВЕТР ВЕРХ</t>
  </si>
  <si>
    <t>6995971</t>
  </si>
  <si>
    <t>HONDA CIVIC УН 1998-2001  СТ ЗАДН ДВ ЗЛ</t>
  </si>
  <si>
    <t>6994760</t>
  </si>
  <si>
    <t>HONDA CIVIC 5Д ХБ 1995-2001  СТ ЗАДН ЗЛ</t>
  </si>
  <si>
    <t>6998853</t>
  </si>
  <si>
    <t>HONDA CIVIC 5Д ХБ 1995-2001  СТ ЗАДН ДВ ЗЛ+СТОП</t>
  </si>
  <si>
    <t>6994761</t>
  </si>
  <si>
    <t>HONDA CIVIC ХБ 1995-2001 /УН 1998-2001  СТ ПЕР ДВ ОП ЛВ ЗЛ+УО</t>
  </si>
  <si>
    <t>6994762</t>
  </si>
  <si>
    <t>HONDA CIVIC ХБ 1995-2001 /УН 1998-2001  СТ ЗАДН ДВ ОП ЛВ ЗЛ+УО</t>
  </si>
  <si>
    <t>6994798</t>
  </si>
  <si>
    <t>HONDA CIVIC 5Д ХБ 1995-2001 СТ ЗАДН ДВ НЕП ЛВ ЗЛ+ИНК/ROVER 400 95 СТ ФОРТ ЗАДН ЛВ ЗЛ+ИНК</t>
  </si>
  <si>
    <t>6994763</t>
  </si>
  <si>
    <t>HONDA CIVIC ХБ 1995-2001 /УН 1998-2001  СТ ПЕР ДВ ОП ПР ЗЛ+УО</t>
  </si>
  <si>
    <t>6994764</t>
  </si>
  <si>
    <t>HONDA CIVIC ХБ 1995-2001 /УН 1998-2001  СТ ЗАДН ДВ ОП ПР ЗЛ+УО</t>
  </si>
  <si>
    <t>6994800</t>
  </si>
  <si>
    <t>HONDA CIVIC 5Д ХБ 1995-2001 СТ ЗАДН ДВ НЕП ПР ЗЛ+ИНК/ROVER 400 95 СТ ФОРТ ЗАДН ПР ЗЛ+ИНК</t>
  </si>
  <si>
    <t>CIVIC 3Д 2001-2005</t>
  </si>
  <si>
    <t>6960452</t>
  </si>
  <si>
    <t>HONDA CIVIC 3Д 2001-2005  СТ ВЕТР ЗЛ</t>
  </si>
  <si>
    <t>6960229</t>
  </si>
  <si>
    <t>HONDA CIVIC 3Д 2001-2005  СТ ВЕТР ЗЛ+VIN</t>
  </si>
  <si>
    <t>6960790</t>
  </si>
  <si>
    <t>HONDA CIVIC ХБ 2001-2005  СТ ВЕТР ЗЛ+VIN</t>
  </si>
  <si>
    <t>6100592</t>
  </si>
  <si>
    <t>HONDA CIVIC ХБ 2001-2005  МОЛД  ДЛЯ СТ ВЕТР ВЕРХ</t>
  </si>
  <si>
    <t>6999942</t>
  </si>
  <si>
    <t>HONDA CIVIC ХБ 2001-2005  СТ ПЕР ДВ ОП ЛВ ЗЛ+УО</t>
  </si>
  <si>
    <t>6900034</t>
  </si>
  <si>
    <t>HONDA CIVIC ХБ 2001-2005  СТ ПЕР ДВ ОП ПР ЗЛ+УО</t>
  </si>
  <si>
    <t>CIVIC КУП 2001-2005</t>
  </si>
  <si>
    <t>6962090</t>
  </si>
  <si>
    <t>HONDA CIVIC КУП 2001-2005 СТ ВЕТР ЗЛ+VIN</t>
  </si>
  <si>
    <t>6102159</t>
  </si>
  <si>
    <t>HONDA CIVIC КУП 2001-2005 МОЛД  ДЛЯ СТ ВЕТР ВЕРХ</t>
  </si>
  <si>
    <t>6999945</t>
  </si>
  <si>
    <t>HONDA CIVIC КУП 2001-2005 СТ ПЕР ДВ ОП ЛВ ЗЛ+УО</t>
  </si>
  <si>
    <t>6900037</t>
  </si>
  <si>
    <t>HONDA CIVIC КУП 2001-2005 СТ ПЕР ДВ ОП ПР ЗЛ+УО</t>
  </si>
  <si>
    <t>CIVIC 4Д СЕД 2001-2005</t>
  </si>
  <si>
    <t>6962941</t>
  </si>
  <si>
    <t>HONDA CIVIC СЕД 2001-2005  СТ ВЕТР ЗЛГЛ+VIN</t>
  </si>
  <si>
    <t>6950066</t>
  </si>
  <si>
    <t>HONDA CIVIC СЕД 2001-2005  СТ ВЕТР ЗЛ+VIN</t>
  </si>
  <si>
    <t>6101232</t>
  </si>
  <si>
    <t>HONDA CIVIC СЕД 2001-2005  МОЛД  ДЛЯ СТ ВЕТР ВЕРХ</t>
  </si>
  <si>
    <t>6900701</t>
  </si>
  <si>
    <t>HONDA CIVIC СЕД 2001-2005 СТ ПЕР ДВ ОП ЛВ ЗЛ+УО</t>
  </si>
  <si>
    <t>6900143</t>
  </si>
  <si>
    <t>HONDA CIVIC СЕД 2001-2005 СТ ЗАДН ДВ ОП ЛВ ЗЛ+УО</t>
  </si>
  <si>
    <t>6995247</t>
  </si>
  <si>
    <t>HONDA CIVIC СЕД 2001-2005 СТ ФОРТ ЗАДН ЛВ ЗЛ</t>
  </si>
  <si>
    <t>6900702</t>
  </si>
  <si>
    <t>HONDA CIVIC СЕД 2001-2005 СТ ПЕР ДВ ОП ПР ЗЛ+УО</t>
  </si>
  <si>
    <t>6900224</t>
  </si>
  <si>
    <t>HONDA CIVIC СЕД 2001-2005 СТ ЗАДН ОП ПР ЗЛ+УО</t>
  </si>
  <si>
    <t>6995248</t>
  </si>
  <si>
    <t>HONDA CIVIC СЕД 2001-2005 СТ ФОРТ ЗАДН ПР ЗЛ</t>
  </si>
  <si>
    <t>CIVIC 5Д 2001-2005</t>
  </si>
  <si>
    <t>6960241</t>
  </si>
  <si>
    <t>HONDA CIVIC 5Д 2001-2005  СТ ВЕТР ЗЛЗЛ+VIN</t>
  </si>
  <si>
    <t>6960230</t>
  </si>
  <si>
    <t>HONDA CIVIC 5Д 2001-2005  СТ ВЕТР ЗЛ+VIN</t>
  </si>
  <si>
    <t>6960789</t>
  </si>
  <si>
    <t>2004-2005</t>
  </si>
  <si>
    <t>HONDA CIVIC 5Д 2004-2005  СТ ВЕТР ЗЛ+VIN+ИЗМ КР</t>
  </si>
  <si>
    <t>6100593</t>
  </si>
  <si>
    <t>HONDA CIVIC 5Д 2001-2005  МОЛД  ДЛЯ СТ ВЕТР ВЕРХ</t>
  </si>
  <si>
    <t>6999943</t>
  </si>
  <si>
    <t>HONDA CIVIC 2001-2005  СТ ПЕР ДВ ОП ЛВ ЗЛ+УО</t>
  </si>
  <si>
    <t>6900142</t>
  </si>
  <si>
    <t>HONDA CIVIC 2001-2005  СТ ЗАДН ДВ ОП ЛВ ЗЛ+УО</t>
  </si>
  <si>
    <t>6990864</t>
  </si>
  <si>
    <t>HONDA CIVIC 5Д 2001-2005  СТ БОК НЕП ЛВ ЗЛ</t>
  </si>
  <si>
    <t>6900035</t>
  </si>
  <si>
    <t>HONDA CIVIC 2001-2005  СТ ПЕР ДВ ОП ПР ЗЛ+УО</t>
  </si>
  <si>
    <t>6900223</t>
  </si>
  <si>
    <t>HONDA CIVIC 2001-2005  СТ ЗАДН ДВ ОП ПР ЗЛ+УО</t>
  </si>
  <si>
    <t>6990863</t>
  </si>
  <si>
    <t>HONDA CIVIC 5Д 2001-2005  СТ БОК НЕП ПР ЗЛ</t>
  </si>
  <si>
    <t>CIVIC VIII 5Д 2005-</t>
  </si>
  <si>
    <t>6961526</t>
  </si>
  <si>
    <t>2005-2009</t>
  </si>
  <si>
    <t>HONDA CIVIC VIII ХБ 2005-  СТ ВЕТР ЗЛ+ДД+VIN+ИЗМ ШЕЛК</t>
  </si>
  <si>
    <t>6961525</t>
  </si>
  <si>
    <t>HONDA CIVIC VIII ХБ 2005-  СТ ВЕТР ЗЛ+VIN</t>
  </si>
  <si>
    <t>6964677</t>
  </si>
  <si>
    <t>HONDA CIVIC VIII 3Д+5Д 2005- СТ ВЕТР ЗЛГЛ+VIN</t>
  </si>
  <si>
    <t>6964817</t>
  </si>
  <si>
    <t>HONDA CIVIC  VIII ХБ 2005-  СТ ВЕТР ЗЛ+ДД+VIN+УО</t>
  </si>
  <si>
    <t>6964818</t>
  </si>
  <si>
    <t>6102026</t>
  </si>
  <si>
    <t>HONDA CIVIC VIII 5Д 2005- ХБ МОЛД  ДЛЯ СТ ВЕТР ВЕРХ</t>
  </si>
  <si>
    <t>6901871</t>
  </si>
  <si>
    <t>HONDA CIVIC ХБ 05-СТ ЗАДН ЗЛ ВЕРХ+АНТ+ИЗМ ШЕЛК+GPS</t>
  </si>
  <si>
    <t>6996493</t>
  </si>
  <si>
    <t>HONDA CIVIC VIII ХБ 2005-  СТ ЗАДН ДВ ЗЛ+GPS+УО+АНТ+УО+ВЕРХ</t>
  </si>
  <si>
    <t>6900505</t>
  </si>
  <si>
    <t>HONDA CIVIC VIII 5Д ХБ 2005- СТ ЗАДН ЗЛ+АНТ+УО+ВЕРХ</t>
  </si>
  <si>
    <t>6996492</t>
  </si>
  <si>
    <t>HONDA CIVIC VIII ХБ 2005-  СТ ЗАДН ДВ ЗЛ+АНТ+УО+ВЕРХ</t>
  </si>
  <si>
    <t>6993362</t>
  </si>
  <si>
    <t>HONDA CIVIC VIII 5Д ХБ 2005- СТ ПЕР ДВ ОП ЛВ ЗЛ+УО+ИЗМ</t>
  </si>
  <si>
    <t>6993837</t>
  </si>
  <si>
    <t>6993364</t>
  </si>
  <si>
    <t>HONDA CIVIC VIII 5Д ХБ 2005- СТ ЗАДН ДВ ОП ЛВ ЗЛ+УО</t>
  </si>
  <si>
    <t>6993361</t>
  </si>
  <si>
    <t>HONDA CIVIC VIII 5Д ХБ 2005- СТ ПЕР ДВ ОП ПР ЗЛ+УО+ИЗМ</t>
  </si>
  <si>
    <t>6993836</t>
  </si>
  <si>
    <t>6993363</t>
  </si>
  <si>
    <t>HONDA CIVIC VIII 5Д ХБ 2005- СТ ЗАДН ДВ ОП ПР ЗЛ+УО+ИЗМ</t>
  </si>
  <si>
    <t>CIVIC HYBRID 4Д СЕД 2006-</t>
  </si>
  <si>
    <t>6962797</t>
  </si>
  <si>
    <t>2006-2009</t>
  </si>
  <si>
    <t>HONDA CIVIC HYBRID СЕД 2006-  СТ ВЕТР ЗЛ+VIN</t>
  </si>
  <si>
    <t>CONCERTO SJ14+SJ15 1990-1995</t>
  </si>
  <si>
    <t>6190419</t>
  </si>
  <si>
    <t>1990-1995</t>
  </si>
  <si>
    <t>HONDA CONCERTO SJ14+SJ15 1990-1995  СТ ВЕТР ГЛГЛ/ROVER 200/400 СД+ХБ+КБ 89  СТ ВЕТР ГЛГЛ</t>
  </si>
  <si>
    <t>6190421</t>
  </si>
  <si>
    <t>HONDA CONCERTO SJ14+SJ15 1990-1995  СТ ВЕТР ЗЛГЛ/ROVER 200/400 СД+ХБ+КБ 89  СТ ВЕТР ЗЛГЛ</t>
  </si>
  <si>
    <t>6100980</t>
  </si>
  <si>
    <t>HONDA CONCERTO SJ14+SJ15 1990-1995  НАБ СОЕД</t>
  </si>
  <si>
    <t>6100084</t>
  </si>
  <si>
    <t>HONDA CONCERTO SJ14+SJ15 1990-1995  МОЛД  ДЛЯ СТ ВЕТР ВЕРХ</t>
  </si>
  <si>
    <t>CR-V 1997-2002</t>
  </si>
  <si>
    <t>6961420</t>
  </si>
  <si>
    <t>HONDA CR-V 4X4 1997-2002  СТ ВЕТР ЗЛ</t>
  </si>
  <si>
    <t>6963233</t>
  </si>
  <si>
    <t>HONDA CR-V 4X4 1997-2002  СТ ВЕТР ЗЛГЛ</t>
  </si>
  <si>
    <t>6960699</t>
  </si>
  <si>
    <t>HONDA CR-V 4X4 1997-2002  СТ ВЕТР ЗЛЗЛ</t>
  </si>
  <si>
    <t>6962942</t>
  </si>
  <si>
    <t>HONDA CR-V 4X4 1997-2002  СТ ВЕТР ЗЛСР</t>
  </si>
  <si>
    <t>6102339</t>
  </si>
  <si>
    <t>HONDA CR-V 4X4 1997-2002  НАБ СОЕД ДЛЯ СТ ВЕТР</t>
  </si>
  <si>
    <t>6100086</t>
  </si>
  <si>
    <t>HONDA CR-V 4X4 1997-2002  МОЛД  ДЛЯ СТ ВЕТР</t>
  </si>
  <si>
    <t>6995699</t>
  </si>
  <si>
    <t>HONDA CR-V 4X4 1997-2002  СТ ПЕР ДВ ОП ЛВ ЗЛ+ФИТ</t>
  </si>
  <si>
    <t>6995700</t>
  </si>
  <si>
    <t>HONDA CR-V 4X4 1997-2002  СТ ЗАДН ДВ ОП ЛВ ЗЛ+ФИТ</t>
  </si>
  <si>
    <t>6995701</t>
  </si>
  <si>
    <t>HONDA CR-V 4X4 1997-2002  СТ БОК НЕП ЛВ ЗЛ</t>
  </si>
  <si>
    <t>6995702</t>
  </si>
  <si>
    <t>HONDA CR-V 4X4 1997-2002  СТ ПЕР ДВ ОП ПР ЗЛ+ФИТ</t>
  </si>
  <si>
    <t>6995703</t>
  </si>
  <si>
    <t>HONDA CR-V 4X4 1997-2002  СТ ЗАДН ДВ ОП ПР ЗЛ+УО</t>
  </si>
  <si>
    <t>6995704</t>
  </si>
  <si>
    <t>HONDA CR-V 4X4 1997-2002  СТ БОК НЕП ПР ЗЛ</t>
  </si>
  <si>
    <t>CR-V 2002-2006</t>
  </si>
  <si>
    <t>6964832</t>
  </si>
  <si>
    <t>HONDA CR-V 2002-2006  СТ ВЕТР ЗЛГЛ+VIN</t>
  </si>
  <si>
    <t>6961011</t>
  </si>
  <si>
    <t>HONDA CR-V 2002-2006  СТ ВЕТР ЗЛ+VIN</t>
  </si>
  <si>
    <t>6961967</t>
  </si>
  <si>
    <t>HONDA CR-V 2002-2006  СТ ВЕТР ЗЛ+VIN+ИЗМ+КР</t>
  </si>
  <si>
    <t>6963013</t>
  </si>
  <si>
    <t>HONDA CR-V 2002-2006  СТ ВЕТР ЗЛ+VIN+УО</t>
  </si>
  <si>
    <t>6964816</t>
  </si>
  <si>
    <t>2005-2007</t>
  </si>
  <si>
    <t>HONDA CR-V 2005-2007  СТ ВЕТР ЗЛГЛ+VIN+ИЗМ КР</t>
  </si>
  <si>
    <t>6101066</t>
  </si>
  <si>
    <t>HONDA CR V 2002-2006 МОЛД  ДЛЯ СТ ВЕТР ВЕРХ</t>
  </si>
  <si>
    <t>6992796</t>
  </si>
  <si>
    <t>HONDA CR-V ВН 2002-2006  СТ ЗАДН ЗЛ+СТОП+ОТКР+УО</t>
  </si>
  <si>
    <t>6993209</t>
  </si>
  <si>
    <t>HONDA CR V 2002-2006  СТ ПЕР ДВ ОП ЛВ ЗЛ+УО</t>
  </si>
  <si>
    <t>6980098</t>
  </si>
  <si>
    <t>HONDA CR V 2002-2006  СТ ЗАДН ДВ ОП ЛВ ЗЛ+УО</t>
  </si>
  <si>
    <t>6991645</t>
  </si>
  <si>
    <t>HONDA CR V 2002-2006  СТ ФОРТ ЗАДН НЕП ЛВ ЗЛ</t>
  </si>
  <si>
    <t>6993210</t>
  </si>
  <si>
    <t>HONDA CR V 2002-2006  СТ ПЕР ДВ ОП ПР ЗЛ+УО</t>
  </si>
  <si>
    <t>6980099</t>
  </si>
  <si>
    <t>HONDA CR V 2002-2006  СТ ЗАДН ДВ ОП ПР ЗЛ+УО</t>
  </si>
  <si>
    <t>6991644</t>
  </si>
  <si>
    <t>HONDA CR V 2002-2006  СТ ФОРТ ЗАДН НЕП ПР ЗЛ</t>
  </si>
  <si>
    <t>CR-V 2007-</t>
  </si>
  <si>
    <t>6962567</t>
  </si>
  <si>
    <t>2007-2012</t>
  </si>
  <si>
    <t>HONDA CR-V 2007-  СТ ВЕТР ЗЛ АКУСТИК+ДД+VIN</t>
  </si>
  <si>
    <t>6964651</t>
  </si>
  <si>
    <t>HONDA CR-V 2007-  СТ ВЕТР ЗЛ+ДД+VIN</t>
  </si>
  <si>
    <t>6962568</t>
  </si>
  <si>
    <t>HONDA CR-V 2007-  СТ ВЕТР ЗЛ+VIN</t>
  </si>
  <si>
    <t>6962471</t>
  </si>
  <si>
    <t>HONDA CR-V 2007-  СТ ВЕТР ЗЛ+VIN+УО</t>
  </si>
  <si>
    <t>6964652</t>
  </si>
  <si>
    <t>6102312</t>
  </si>
  <si>
    <t>HONDA CR V 2007- МОЛД ДЛЯ СТ ВЕТР</t>
  </si>
  <si>
    <t>6994731</t>
  </si>
  <si>
    <t>HONDA CR-V ВН 2007-  СТ ЗАДН ЗЛ+АНТ+СТОП</t>
  </si>
  <si>
    <t>6994730</t>
  </si>
  <si>
    <t>HONDA CR-V ВН 2007-  СТ ЗАДН ЗЛ+АНТ+СТОП+ИЗМ АНТ</t>
  </si>
  <si>
    <t>6993766</t>
  </si>
  <si>
    <t>HONDA CR-V ВН 2007-  СТ ЗАДН ЗЛ+СТОП</t>
  </si>
  <si>
    <t>6994728</t>
  </si>
  <si>
    <t>HONDA CR-V ВН 2007-  СТ ЗАДН СР PR+СТОП+АНТ</t>
  </si>
  <si>
    <t>6994729</t>
  </si>
  <si>
    <t>HONDA CR-V ВН 2007-  СТ ЗАДН СР PR+СТОП+АНТ+ИЗМ АНТ</t>
  </si>
  <si>
    <t>6993767</t>
  </si>
  <si>
    <t>HONDA CR-V ВН 2007-  СТ ЗАДН СР PR+СТОП</t>
  </si>
  <si>
    <t>6994720</t>
  </si>
  <si>
    <t>HONDA CR V 2007-  СТ ПЕР ДВ ОП ЛВ ЗЛ+УО+ИЗМ</t>
  </si>
  <si>
    <t>6995130</t>
  </si>
  <si>
    <t>6993771</t>
  </si>
  <si>
    <t>HONDA CR V 2007-  СТ ЗАДН ДВ ОП ЛВ ЗЛ+УО</t>
  </si>
  <si>
    <t>6993773</t>
  </si>
  <si>
    <t>HONDA CR V 2007-  СТ БОК НЕП ЛВ ЗЛ</t>
  </si>
  <si>
    <t>6993777</t>
  </si>
  <si>
    <t>HONDA CR V 2007-  СТ ЗАДН ДВ ОП ЛВ СР PR+УО</t>
  </si>
  <si>
    <t>6993775</t>
  </si>
  <si>
    <t>HONDA CR V 2007-  СТ БОК НЕП ЛВ СР PR</t>
  </si>
  <si>
    <t>6994719</t>
  </si>
  <si>
    <t>HONDA CR V 2007-  СТ ПЕР ДВ ОП ПР ЗЛ+УО+ИЗМ</t>
  </si>
  <si>
    <t>6995128</t>
  </si>
  <si>
    <t>6993770</t>
  </si>
  <si>
    <t>HONDA CR V 2007-  СТ ЗАДН ДВ ОП ПР ЗЛ+УО</t>
  </si>
  <si>
    <t>6993772</t>
  </si>
  <si>
    <t>HONDA CR V 2007-  СТ БОК НЕП ПР ЗЛ</t>
  </si>
  <si>
    <t>6993776</t>
  </si>
  <si>
    <t>HONDA CR V 2007-  СТ ЗАДН ДВ ОП ПР СР PR+УО</t>
  </si>
  <si>
    <t>6993774</t>
  </si>
  <si>
    <t>HONDA CR V 2007-  СТ БОК НЕП ПР СР</t>
  </si>
  <si>
    <t>CRX TARGA 1992-1999</t>
  </si>
  <si>
    <t>6963552</t>
  </si>
  <si>
    <t>HONDA CRX TARGA 1992-1999  СТ ВЕТР ГЛ</t>
  </si>
  <si>
    <t>6963868</t>
  </si>
  <si>
    <t>HONDA CRX TARGA 1992-1999  СТ ВЕТР ЗЛ</t>
  </si>
  <si>
    <t>6100965</t>
  </si>
  <si>
    <t>HONDA CRX TARGA 1992-1999  НАБ КЛИПС ДЛЯ СТ ВЕТР</t>
  </si>
  <si>
    <t>6100085</t>
  </si>
  <si>
    <t>HONDA CRX TARGA 1992-1999  МОЛД  ДЛЯ СТ ВЕТР ВЕРХ</t>
  </si>
  <si>
    <t>ELEMENT 2003-</t>
  </si>
  <si>
    <t>6962963</t>
  </si>
  <si>
    <t>2007-2011</t>
  </si>
  <si>
    <t>HONDA ELEMENT 2003- СТ ВЕТР ЗЛ / HONDA CITY 4D СЕД 2007-  СТ ВЕТР ЗЛ</t>
  </si>
  <si>
    <t>6963015</t>
  </si>
  <si>
    <t>2003-2011</t>
  </si>
  <si>
    <t>HONDA ELEMENT 2003- СТ ВЕТР ЗЛ</t>
  </si>
  <si>
    <t>FR-V 5Д LHD 2004-</t>
  </si>
  <si>
    <t>6962261</t>
  </si>
  <si>
    <t>2004-2009</t>
  </si>
  <si>
    <t>HONDA FR-V 5Д 2004-  СТ ВЕТР ЗЛ+ДД+VIN</t>
  </si>
  <si>
    <t>6961300</t>
  </si>
  <si>
    <t>2007-2009</t>
  </si>
  <si>
    <t>HONDA FR-V 5Д 2007-  СТ ВЕТР ЗЛ+VIN</t>
  </si>
  <si>
    <t>6102027</t>
  </si>
  <si>
    <t>HONDA FR-V 5Д 2004-  VAN МОЛД  ДЛЯ СТ ВЕТР ВЕРХ</t>
  </si>
  <si>
    <t>6900704</t>
  </si>
  <si>
    <t>HONDA FR-V 5Д 2007-  СТ ПЕР ДВ ОП ПР ЗЛ+УО</t>
  </si>
  <si>
    <t>HR-V 1999-2005</t>
  </si>
  <si>
    <t>6950291</t>
  </si>
  <si>
    <t>HONDA HR-V 5Д 1999-2005  СТ ВЕТР ЗЛГЛ+КР+VIN</t>
  </si>
  <si>
    <t>6960667</t>
  </si>
  <si>
    <t>HONDA HR-V 5Д 1999-2005  СТ ВЕТР ЗЛ+VIN</t>
  </si>
  <si>
    <t>6960666</t>
  </si>
  <si>
    <t>HONDA HR-V 5Д 1999-2005  СТ ВЕТР+VIN</t>
  </si>
  <si>
    <t>6100087</t>
  </si>
  <si>
    <t>HONDA HR-V 1999-2005 МОЛД  ДЛЯ СТ ВЕТР</t>
  </si>
  <si>
    <t>6992465</t>
  </si>
  <si>
    <t>HONDA HR-V 3Д 1999-2005  СТ ПЕР ДВ ОП ЛВ ЗЛ+УО</t>
  </si>
  <si>
    <t>6991706</t>
  </si>
  <si>
    <t>HONDA HR-V 3Д 1999-2005  СТ БОК ЛВ ЗЛ</t>
  </si>
  <si>
    <t>6999946</t>
  </si>
  <si>
    <t>HONDA HR-V 1999-2005  СТ ПЕР ДВ ОП ЛВ ЗЛ+ФИТ</t>
  </si>
  <si>
    <t>6900144</t>
  </si>
  <si>
    <t>HONDA HR-V 1999-2005  СТ ЗАДН ДВ ОП ЛВ ЗЛ+ФИТ</t>
  </si>
  <si>
    <t>6992466</t>
  </si>
  <si>
    <t>HONDA HR-V 3Д 1999-2005  СТ ПЕР ДВ ОП ПР ЗЛ+УО</t>
  </si>
  <si>
    <t>6992409</t>
  </si>
  <si>
    <t>HONDA HR-V 3Д 1999-2005  СТ БОК ПР ЗЛ</t>
  </si>
  <si>
    <t>6900038</t>
  </si>
  <si>
    <t>HONDA HR-V 1999-2005  СТ ПЕР ДВ ОП ПР ЗЛ+ФИТ</t>
  </si>
  <si>
    <t>6900225</t>
  </si>
  <si>
    <t>HONDA HR-V 1999-2005  СТ ЗАДН ДВ ОП ПР ЗЛ+ФИТ</t>
  </si>
  <si>
    <t>INTEGRA 5Д ХБ+4Д СЕД 1985-1990</t>
  </si>
  <si>
    <t>6963618</t>
  </si>
  <si>
    <t>1985-1990</t>
  </si>
  <si>
    <t>HONDA INTEGRA 5Д ХБK+4D СЕД 1985-1990 СТ ВЕТР ГЛ</t>
  </si>
  <si>
    <t>INTEGRA 1998-2002</t>
  </si>
  <si>
    <t>6950168</t>
  </si>
  <si>
    <t>HONDA INTEGRA 1998-2002  СТ ВЕТР ЗЛ</t>
  </si>
  <si>
    <t>JAZZ/CITY 1984-1987</t>
  </si>
  <si>
    <t>6963737</t>
  </si>
  <si>
    <t>HONDA JAZZ/CITY 1984-1987 СТ ВЕТР ГЛ</t>
  </si>
  <si>
    <t>JAZZ 2002-2008</t>
  </si>
  <si>
    <t>6964834</t>
  </si>
  <si>
    <t>HONDA JAZZ 2002-2008  СТ ВЕТР ЗЛЗЛ+VIN</t>
  </si>
  <si>
    <t>6960745</t>
  </si>
  <si>
    <t>HONDA JAZZ 2002-2008  СТ ВЕТР ЗЛ+VIN</t>
  </si>
  <si>
    <t>6100594</t>
  </si>
  <si>
    <t>HONDA JAZZ 2002-2008  МОЛД  ДЛЯ СТ ВЕТР ВЕРХ</t>
  </si>
  <si>
    <t>6996465</t>
  </si>
  <si>
    <t>HONDA JAZZ ХБ 2002-2008  СТ ЗАДН ДВ ЗЛ+СТОП</t>
  </si>
  <si>
    <t>6993815</t>
  </si>
  <si>
    <t>HONDA JAZZ 2002-2008  СТ ПЕР ДВ ОП ЛВ ЗЛ+ФИТ</t>
  </si>
  <si>
    <t>6997598</t>
  </si>
  <si>
    <t>HONDA JAZZ 2002-2008  СТ ЗАДН ДВ ОП ЛВ ЗЛ+ФИТ</t>
  </si>
  <si>
    <t>6995249</t>
  </si>
  <si>
    <t>HONDA JAZZ 2002-2008  СТ БОК НЕП ЛВ ЗЛ</t>
  </si>
  <si>
    <t>6993814</t>
  </si>
  <si>
    <t>HONDA JAZZ 2002-2008  СТ ПЕР ДВ ОП ПР ЗЛ+ФИТ</t>
  </si>
  <si>
    <t>6997599</t>
  </si>
  <si>
    <t>HONDA JAZZ 2002-2008  СТ ЗАДН ДВ ОП ПР ЗЛ+ФИТ</t>
  </si>
  <si>
    <t>6995250</t>
  </si>
  <si>
    <t>HONDA JAZZ 2002-2008  СТ БОК НЕП ПР ЗЛ</t>
  </si>
  <si>
    <t>JAZZ 2008-</t>
  </si>
  <si>
    <t>6964714</t>
  </si>
  <si>
    <t>HONDA JAZZ 08-СТ ВЕТР ЗЛ+ДД+VIN</t>
  </si>
  <si>
    <t>6964712</t>
  </si>
  <si>
    <t>HONDA JAZZ 08-СТ ВЕТР PK+VIN</t>
  </si>
  <si>
    <t>LEGEND СЕД 1996-2001</t>
  </si>
  <si>
    <t>6963554</t>
  </si>
  <si>
    <t>HONDA LEGEND СЕД 1996-2001  СТ ВЕТР ЗЛГЛ</t>
  </si>
  <si>
    <t>6999947</t>
  </si>
  <si>
    <t>HONDA LEGEND СЕД 1996-2001  СТ ПЕР ДВ ОП ЛВ ЗЛ+УО</t>
  </si>
  <si>
    <t>6900145</t>
  </si>
  <si>
    <t>HONDA LEGEND СЕД 1996-2001  СТ ЗАДН ДВ ОП ЛВ ЗЛ+УО</t>
  </si>
  <si>
    <t>6900226</t>
  </si>
  <si>
    <t>HONDA LEGEND СЕД 1996-2001  СТ ЗАДН ДВ ОП ПР ЗЛ+УО</t>
  </si>
  <si>
    <t>LEGEND LHD 2007-</t>
  </si>
  <si>
    <t>6962571</t>
  </si>
  <si>
    <t>HONDA LEGEND LHD 2007-  СТ ВЕТР ЗЛГЛ+ДД+УО</t>
  </si>
  <si>
    <t>LOGO 1999-2001</t>
  </si>
  <si>
    <t>6960668</t>
  </si>
  <si>
    <t>HONDA LOGO 1999-2001  СТ ВЕТР ЗЛ+VIN</t>
  </si>
  <si>
    <t>6101777</t>
  </si>
  <si>
    <t>HONDA LOGO 1999-2001  МОЛД  ДЛЯ СТ ВЕТР</t>
  </si>
  <si>
    <t>6980291</t>
  </si>
  <si>
    <t>HONDA LOGO ХБ 1999-2001  СТ ЗАДН ЗЛ+СТОП</t>
  </si>
  <si>
    <t>6980444</t>
  </si>
  <si>
    <t>HONDA LOGO 1999-2001  СТ ПЕР ДВ ОП ЛВ ЗЛ+ФИТ</t>
  </si>
  <si>
    <t>6980445</t>
  </si>
  <si>
    <t>HONDA LOGO 1999-2001  СТ ПЕР ДВ ОП ПР ЗЛ+ФИТ</t>
  </si>
  <si>
    <t>ODYSSEY 1999-2004</t>
  </si>
  <si>
    <t>6963016</t>
  </si>
  <si>
    <t>HONDA ODYSSEY MINI VAN 1999-2004 СТ ВЕТР ЗЛГЛ</t>
  </si>
  <si>
    <t>PILOT 2008-</t>
  </si>
  <si>
    <t>6964912</t>
  </si>
  <si>
    <t>HONDA PILOT 2008- СТ ВЕТР ЗЛ</t>
  </si>
  <si>
    <t>PRELUDE II 1983-1987</t>
  </si>
  <si>
    <t>6963736</t>
  </si>
  <si>
    <t>HONDA PRELUDE II 1983-1987 СТ ВЕТР ГЛ</t>
  </si>
  <si>
    <t>6996959</t>
  </si>
  <si>
    <t>HONDA PRELUDE II 1983-1987 СТ ПЕР ДВ ОП ЛВ ГЛ+УО</t>
  </si>
  <si>
    <t>6996960</t>
  </si>
  <si>
    <t>HONDA PRELUDE II 1983-1987 СТ ПЕР ДВ ОП ПР ГЛ+УО</t>
  </si>
  <si>
    <t>PRELUDE III 1987-1992</t>
  </si>
  <si>
    <t>6963739</t>
  </si>
  <si>
    <t>1987-1992</t>
  </si>
  <si>
    <t>HONDA PRELUDE III КУП 1987-1992 СТ ВЕТР ГЛ</t>
  </si>
  <si>
    <t>6963740</t>
  </si>
  <si>
    <t>HONDA PRELUDE III КУП 1987-1992 СТ ВЕТР ГЛГЛ</t>
  </si>
  <si>
    <t>6102508</t>
  </si>
  <si>
    <t>HONDA PRELUDE III КУП 1987-1992 НАБ СОЕД ДЛЯ СТ ВЕТР</t>
  </si>
  <si>
    <t>6995669</t>
  </si>
  <si>
    <t>HONDA PRELUDE III КУП 1987-1992 СТ ПЕР ДВ ОП ЛВ ГЛ+УО</t>
  </si>
  <si>
    <t>6995671</t>
  </si>
  <si>
    <t>HONDA PRELUDE III КУП 1987-1992 СТ ПЕР ДВ ОП ПР ГЛ+УО</t>
  </si>
  <si>
    <t>PRELUDE IV 02.1992-01.1997</t>
  </si>
  <si>
    <t>6963380</t>
  </si>
  <si>
    <t>1992-1997</t>
  </si>
  <si>
    <t>HONDA PRELUDE IV КУП 1992-1997 СТ ВЕТР ГЛ</t>
  </si>
  <si>
    <t>6963741</t>
  </si>
  <si>
    <t>HONDA PRELUDE IV КУП 1992-1997 СТ ВЕТР ГЛГЛ</t>
  </si>
  <si>
    <t>6992956</t>
  </si>
  <si>
    <t>HONDA PRELUDE IV КУП 1992-1997 СТ ВЕТР ЗЛ</t>
  </si>
  <si>
    <t>6100976</t>
  </si>
  <si>
    <t>HONDA PRELUDE IV КУП 1992-1997  НАБ КЛИПС ДЛЯ СТ ВЕТР ВЕРХ</t>
  </si>
  <si>
    <t>6100405</t>
  </si>
  <si>
    <t>HONDA PRELUDE IV КУП 1992-1997  МОЛД  ДЛЯ СТ ВЕТР</t>
  </si>
  <si>
    <t>6995683</t>
  </si>
  <si>
    <t>HONDA PRELUDE IV КУП 1992-1997 СТ ПЕР ДВ ОП ЛВ ГЛ+ФИТ</t>
  </si>
  <si>
    <t>6995685</t>
  </si>
  <si>
    <t>HONDA PRELUDE IV КУП 1992-1997 СТ ПЕР ДВ ОП ПР ГЛ+ФИТ</t>
  </si>
  <si>
    <t>PRELUDE V 1997-2006</t>
  </si>
  <si>
    <t>6963555</t>
  </si>
  <si>
    <t>HONDA PRELUDE V 1997-2006  СТ ВЕТР ЗЛ</t>
  </si>
  <si>
    <t>6963227</t>
  </si>
  <si>
    <t>HONDA PRELUDE V 1997-2006  СТ ВЕТР ЗЛГЛ</t>
  </si>
  <si>
    <t>6100402</t>
  </si>
  <si>
    <t>HONDA PRELUDE V 1997-2006  МОЛД  ДЛЯ СТ ВЕТР</t>
  </si>
  <si>
    <t>6999948</t>
  </si>
  <si>
    <t>HONDA PRELUDE V 1997-2006  СТ ПЕР ДВ ОП ЛВ ЗЛ+ФИТ</t>
  </si>
  <si>
    <t>6900039</t>
  </si>
  <si>
    <t>HONDA PRELUDE V 1997-2006  СТ ПЕР ДВ ОП ПР ЗЛ+ФИТ</t>
  </si>
  <si>
    <t>S2000 1999-</t>
  </si>
  <si>
    <t>6962573</t>
  </si>
  <si>
    <t>1999-2009</t>
  </si>
  <si>
    <t>HONDA S2000 1999-  СТ ВЕТР ЗЛ+VIN</t>
  </si>
  <si>
    <t>STREAM 2001-2005</t>
  </si>
  <si>
    <t>6960669</t>
  </si>
  <si>
    <t>HONDA STREAM ЛВРУЛЬ 2001-2005  СТ ВЕТР ЗЛ+VIN</t>
  </si>
  <si>
    <t>6100596</t>
  </si>
  <si>
    <t>HONDA STREAM ЛВРУЛЬ 2001-2005  МОЛД  ДЛЯ СТ ВЕТР ВЕРХ</t>
  </si>
  <si>
    <t>6997554</t>
  </si>
  <si>
    <t>HONDA STREAM ЛВРУЛЬ МИН 2001-2005  СТ ЗАДН ЗЛ+VIN/HONDA STREAM RHD 2001- СТ ЗАДН ЗЛ+VIN</t>
  </si>
  <si>
    <t>6999950</t>
  </si>
  <si>
    <t>HONDA STREAM ЛВРУЛЬ 2001-2005  СТ ПЕР ДВ ОП ЛВ ЗЛ+УО/HONDA STREAM RHD 2001- СТ ПЕР ДВ ОП ЛВ ЗЛ+УО</t>
  </si>
  <si>
    <t>6900147</t>
  </si>
  <si>
    <t>HONDA STREAM ЛВРУЛЬ 2001-2005  СТ ЗАДН ДВ ОП ЛВ ЗЛ+УО/HONDA STREAM RHD 2001- СТ ЗАДН ДВ ОП ЛВ ЗЛ+УО</t>
  </si>
  <si>
    <t>6995251</t>
  </si>
  <si>
    <t>HONDA STREAM ЛВРУЛЬ 2001-2005  СТ БОК НЕП ЛВ ЗЛ/HONDA STREAM ПРРУЛЬ 2001-  СТ БОК НЕП ЛВ ЗЛ</t>
  </si>
  <si>
    <t>6900041</t>
  </si>
  <si>
    <t>HONDA STREAM ЛВРУЛЬ 2001-2005  СТ ПЕР ДВ ОП ПР ЗЛ+УО/HONDA STREAM RHD 2001- СТ ПЕР ДВ ОП ПР ЗЛ+УО</t>
  </si>
  <si>
    <t>6900227</t>
  </si>
  <si>
    <t>HONDA STREAM ЛВРУЛЬ 2001-2005  СТ ЗАДН ДВ ОП ПР ЗЛ+УО/HONDA STREAM RHD 2001- СТ ЗАДН ДВ ОП ПР ЗЛ+УО</t>
  </si>
  <si>
    <t>6995252</t>
  </si>
  <si>
    <t>HONDA STREAM ЛВРУЛЬ 2001-2005  СТ БОК НЕП ПР ЗЛ/HONDA STREAM ПРРУЛЬ 2001-  СТ БОК НЕП ПР ЗЛ</t>
  </si>
  <si>
    <t>STREAM RHD 2001-</t>
  </si>
  <si>
    <t>6950350</t>
  </si>
  <si>
    <t>HONDA STREAM ПРРУЛЬ 2001-  СТ ВЕТР ЗЛ+VIN</t>
  </si>
  <si>
    <t>6190193</t>
  </si>
  <si>
    <t>HONDA STREAM ПРРУЛЬ 2001-  СТ БОК НЕП ЛВ ЗЛ/HONDA STREAM ЛВРУЛЬ 2001-2005  СТ БОК НЕП ЛВ ЗЛ</t>
  </si>
  <si>
    <t>6190194</t>
  </si>
  <si>
    <t>HONDA STREAM ПРРУЛЬ 2001-  СТ БОК НЕП ПР ЗЛ/HONDA STREAM ЛВРУЛЬ 2001-2005  СТ БОК НЕП ПР ЗЛ</t>
  </si>
  <si>
    <t>HUMMER</t>
  </si>
  <si>
    <t>HUMMER H2 2004-</t>
  </si>
  <si>
    <t>6962919</t>
  </si>
  <si>
    <t>HUMMER H2 2004-  СТ ВЕТР ЗЛ+VIN+УО</t>
  </si>
  <si>
    <t>6962158</t>
  </si>
  <si>
    <t>HUMMER H2 2004-  СТ ВЕТР ЗЛ+УО</t>
  </si>
  <si>
    <t>6999506</t>
  </si>
  <si>
    <t>HUMMER H2 ВН 2004-  СТ ЗАДН ЗЛ+УО</t>
  </si>
  <si>
    <t>6900510</t>
  </si>
  <si>
    <t>HUMMER H2 2004-  СТ ПЕР ДВ ОП ЛВ ЗЛ</t>
  </si>
  <si>
    <t>6900513</t>
  </si>
  <si>
    <t>HUMMER H2 2004-  СТ ЗАДН ДВ ОП ЛВ ЗЛ</t>
  </si>
  <si>
    <t>6900512</t>
  </si>
  <si>
    <t>HUMMER H2 2004-  СТ ПЕР ДВ ОП ПР ЗЛ</t>
  </si>
  <si>
    <t>HUMMER H3 2005-</t>
  </si>
  <si>
    <t>6962221</t>
  </si>
  <si>
    <t>HUMMER H3 2005-  СТ ВЕТР ЗЛГЛ+УО</t>
  </si>
  <si>
    <t>6900511</t>
  </si>
  <si>
    <t>HUMMER H3 ВН 2005-  СТ ЗАДН ЗЛ PR+УО</t>
  </si>
  <si>
    <t>6900500</t>
  </si>
  <si>
    <t>HUMMER H3 2005-  СТ ПЕР ДВ ОП ЛВ ЗЛ</t>
  </si>
  <si>
    <t>6900508</t>
  </si>
  <si>
    <t>HUMMER H3 2005-  СТ ПЕР ДВ ОП ПР ЗЛ</t>
  </si>
  <si>
    <t>6900509</t>
  </si>
  <si>
    <t>HUMMER H3 2005-  СТ ЗАДН ДВ ОП ПР ЗЛ</t>
  </si>
  <si>
    <t>HYUNDAI</t>
  </si>
  <si>
    <t>ACCENT I SAL 4D+HBK 5Д 1994-1999</t>
  </si>
  <si>
    <t>6964515</t>
  </si>
  <si>
    <t>HYUNDAI ACCENT I СД+ХБ 1996-1999  СТ ВЕТР ЗЛГЛ</t>
  </si>
  <si>
    <t>6961422</t>
  </si>
  <si>
    <t>6960671</t>
  </si>
  <si>
    <t>HYUNDAI ACCENT I СД+ХБ 1994-1999  СТ ВЕТР ЗЛГЛ</t>
  </si>
  <si>
    <t>6101192</t>
  </si>
  <si>
    <t>HYUNDAI ACCENT I СД+ХБ 1994-1999  МОЛД  ДЛЯ СТ ВЕТР ЧЕРН</t>
  </si>
  <si>
    <t>6993241</t>
  </si>
  <si>
    <t>HYUNDAI ACCENT I 3Д+5Д ХБ 1994-1999  СТ ЗАДН ОТВ</t>
  </si>
  <si>
    <t>6992468</t>
  </si>
  <si>
    <t>HYUNDAI ACCENT I 3Д+5Д ХБ 1994-1999  СТ ЗАДН ЗЛ ОТВ</t>
  </si>
  <si>
    <t>6980297</t>
  </si>
  <si>
    <t>HYUNDAI ACCENT I 3Д+5Д СД 1994-1999  СТ ЗАДН ЗЛ</t>
  </si>
  <si>
    <t>6994437</t>
  </si>
  <si>
    <t>HYUNDAI ACCENT I 5Д 1994-1999  СТ ЗАДН ОП ЛВ ЗЛ+УО</t>
  </si>
  <si>
    <t>6994438</t>
  </si>
  <si>
    <t>HYUNDAI ACCENT I 5Д 1994-1999 СТ БОК НЕП ЛВ ЗЛ</t>
  </si>
  <si>
    <t>6900042</t>
  </si>
  <si>
    <t>HYUNDAI ACCENT I 5Д 1994-1999 СТ ПЕР ДВ ОП ПР+УО</t>
  </si>
  <si>
    <t>6996189</t>
  </si>
  <si>
    <t>HYUNDAI ACCENT I 3Д 1994-1999  СТ ПЕР ДВ ОП ПР ЗЛ+ФИТ</t>
  </si>
  <si>
    <t>6994169</t>
  </si>
  <si>
    <t>HYUNDAI ACCENT I 5Д 1994-1999  СТ ПЕР ДВ ОП ПР ЗЛ+УО</t>
  </si>
  <si>
    <t>6994439</t>
  </si>
  <si>
    <t>HYUNDAI ACCENT I 5Д 1994-1999  СТ ЗАДН ДВ ОП ПР ЗЛ+УО</t>
  </si>
  <si>
    <t>6994440</t>
  </si>
  <si>
    <t>HYUNDAI ACCENT I 5Д 1994-1999 СТ БОК НЕП ПР ЗЛ</t>
  </si>
  <si>
    <t>ACCENT II LC 2000-2006</t>
  </si>
  <si>
    <t>6961377</t>
  </si>
  <si>
    <t>HYUNDAI ACCENT II 3Д+4Д+5Д 2000-2006  СТ ВЕТР+КР</t>
  </si>
  <si>
    <t>6960670</t>
  </si>
  <si>
    <t>HYUNDAI ACCENT II 3Д+4Д+5Д 2000-2006 СТ ВЕТР ЗЛГЛ</t>
  </si>
  <si>
    <t>6100597</t>
  </si>
  <si>
    <t>HYUNDAI ACCENT II 3Д+4Д+5Д 2000-2006 МОЛД  ДЛЯ СТ ВЕТР</t>
  </si>
  <si>
    <t>6980302</t>
  </si>
  <si>
    <t>HYUNDAI ACCENT II 3Д+5Д ХБ 2000-2006  СТ ЗАДН ЗЛ+УО</t>
  </si>
  <si>
    <t>6980003</t>
  </si>
  <si>
    <t>HYUNDAI ACCENT II ХБ 2000-2006  СТ ЗАДН ЗЛ ОТВ+УО</t>
  </si>
  <si>
    <t>6980035</t>
  </si>
  <si>
    <t>HYUNDAI ACCENT II 4Д СД 2000-2006  СТ ЗАДН ЗЛ</t>
  </si>
  <si>
    <t>6900148</t>
  </si>
  <si>
    <t>HYUNDAI ACCENT II + 2000-2006  СТ ЗАДН ДВ ОП ЛВ</t>
  </si>
  <si>
    <t>6900294</t>
  </si>
  <si>
    <t>HYUNDAI ACCENT II + 2000-2006  СТ ФОРТ ЗАДН НЕП ЛВ</t>
  </si>
  <si>
    <t>6993093</t>
  </si>
  <si>
    <t>HYUNDAI ACCENT II 3Д 2000-2006  СТ ПЕР ДВ ОП ЛВ ЗЛ</t>
  </si>
  <si>
    <t>6993109</t>
  </si>
  <si>
    <t>HYUNDAI ACCENT II 4D+5Д 2000-2006  СТ ПЕР ДВ ОП ЛВ ЗЛ</t>
  </si>
  <si>
    <t>6995253</t>
  </si>
  <si>
    <t>HYUNDAI ACCENT II + 2000-2006  СТ ЗАДН ДВ ОП ЛВ ЗЛ</t>
  </si>
  <si>
    <t>6995255</t>
  </si>
  <si>
    <t>HYUNDAI ACCENT II + 2000-2006  СТ ФОРТ ЗАДН НЕП ЛВ ЗЛ</t>
  </si>
  <si>
    <t>6993819</t>
  </si>
  <si>
    <t>HYUNDAI ACCENT II + 2000-2006  СТ ПЕР ДВ ОП ПР</t>
  </si>
  <si>
    <t>6993820</t>
  </si>
  <si>
    <t>HYUNDAI ACCENT II + 2000-2006  СТ ЗАДН ДВ ОП ПР</t>
  </si>
  <si>
    <t>6993108</t>
  </si>
  <si>
    <t>HYUNDAI ACCENT II 3Д 2000-2006  СТ ПЕР ДВ ОП ПР ЗЛ</t>
  </si>
  <si>
    <t>6993110</t>
  </si>
  <si>
    <t>HYUNDAI ACCENT II 4D+5Д 2000-2006  ПЕР ДВ ОП ПР ЗЛ</t>
  </si>
  <si>
    <t>6995254</t>
  </si>
  <si>
    <t>HYUNDAI ACCENT II + 2000-2006  СТ ЗАДН ДВ ОП ПР ЗЛ</t>
  </si>
  <si>
    <t>6995256</t>
  </si>
  <si>
    <t>HYUNDAI ACCENT II + 2000-2006  СТ ФОРТ ЗАДН НЕП ПР ЗЛ</t>
  </si>
  <si>
    <t>ATOS 1998-2002</t>
  </si>
  <si>
    <t>6963628</t>
  </si>
  <si>
    <t>HYUNDAI ATOS 1998-2002 СТ ВЕТР</t>
  </si>
  <si>
    <t>6963313</t>
  </si>
  <si>
    <t>HYUNDAI ATOS 1998-2002 СТ ВЕТР СЗЛ</t>
  </si>
  <si>
    <t>6100095</t>
  </si>
  <si>
    <t>HYUNDAI ATOS 1998-2002 МОЛД  ДЛЯ СТ ВЕТР</t>
  </si>
  <si>
    <t>ATOS PRIME 2000-2002</t>
  </si>
  <si>
    <t>6960672</t>
  </si>
  <si>
    <t>HYUNDAI ATOS PRIME 2000-2002 СТ ВЕТР СЗЛГЛ</t>
  </si>
  <si>
    <t>6993266</t>
  </si>
  <si>
    <t>HYUNDAI ATOS 2000-2002  СТ ПЕР ДВ ОП ЛВ СЗЛ</t>
  </si>
  <si>
    <t>6992620</t>
  </si>
  <si>
    <t>HYUNDAI ATOS PRIME/AMICA 2000-2002 СТ ЗАДН ДВ НЕП ЛВ СЗЛ</t>
  </si>
  <si>
    <t>6993267</t>
  </si>
  <si>
    <t>HYUNDAI ATOS 2000-2002  СТ ПЕР ДВ ОП ПР СЗЛ</t>
  </si>
  <si>
    <t>6992621</t>
  </si>
  <si>
    <t>HYUNDAI ATOS PRIME/AMICA 2000-2002 СТ ЗАДН ДВ НЕП ПР СЗЛ</t>
  </si>
  <si>
    <t>ELANTRA 2000-2006</t>
  </si>
  <si>
    <t>6964655</t>
  </si>
  <si>
    <t>HYUNDAI ELANTRA СЕД+ ХБ 2000-2006  СТ ВЕТР ЗЛ</t>
  </si>
  <si>
    <t>6964656</t>
  </si>
  <si>
    <t>HYUNDAI ELANTRA СЕД+ ХБ 2000-2006  СТ ВЕТР ЗЛГЛ</t>
  </si>
  <si>
    <t>6100970</t>
  </si>
  <si>
    <t>HYUNDAI ELANTRA СЕД+ ХБ 2000-2006 МОЛД  ДЛЯ СТ ВЕТР ВЕРХ</t>
  </si>
  <si>
    <t>6980013</t>
  </si>
  <si>
    <t>HYUNDAI ELANTRA ХБ 2000-2006  СТ ЗАДН ЗЛ+СТОП+УО</t>
  </si>
  <si>
    <t>6980015</t>
  </si>
  <si>
    <t>HYUNDAI ELANTRA СД 2000-2006 СТ ЗАДН ЗЛ+УО</t>
  </si>
  <si>
    <t>6993150</t>
  </si>
  <si>
    <t>HYUNDAI ELANTRA СЕД+ ХБ 2000-2006 СТ ПЕР ДВ ОП ЛВ ЗЛ+УО</t>
  </si>
  <si>
    <t>6980453</t>
  </si>
  <si>
    <t>HYUNDAI ELANTRA ХБ 2000-2006 СТ ЗАДН ДВ ОП ЛВ ЗЛ+УО</t>
  </si>
  <si>
    <t>6900149</t>
  </si>
  <si>
    <t>HYUNDAI ELANTRA СЕД 2000-2006  СТ ЗАДН ДВ ОП ЛВ ЗЛ+УО</t>
  </si>
  <si>
    <t>6980454</t>
  </si>
  <si>
    <t>HYUNDAI ELANTRA СЕД 2000-2006 СТ ЗАДН ДВ НЕП ЛВ ЗЛ</t>
  </si>
  <si>
    <t>6993151</t>
  </si>
  <si>
    <t>HYUNDAI ELANTRA ХБ 2000-2006 СТ ПЕР ДВ ОП ПР ЗЛ+УО</t>
  </si>
  <si>
    <t>6980455</t>
  </si>
  <si>
    <t>HYUNDAI ELANTRA ХБ 2000-2006 СТ ЗАДН ДВ ОП ПР ЗЛ+УО</t>
  </si>
  <si>
    <t>6900228</t>
  </si>
  <si>
    <t>HYUNDAI ELANTRA СЕД 2000-2006 СТ ЗАДН ДВ ОП ПР ЗЛ+УО</t>
  </si>
  <si>
    <t>6980456</t>
  </si>
  <si>
    <t>HYUNDAI ELANTRA СЕД 2000-2006 СТ ФОРТ ЗАДН НЕП ПР ЗЛ</t>
  </si>
  <si>
    <t>ELANTRA 2007-</t>
  </si>
  <si>
    <t>Q063102</t>
  </si>
  <si>
    <t>HYUNDAI ELANTRA 2007-  СТ ВЕТР ЗЛГЛ</t>
  </si>
  <si>
    <t>6963102</t>
  </si>
  <si>
    <t>GALLOPER 1999-</t>
  </si>
  <si>
    <t>6190296</t>
  </si>
  <si>
    <t>HYUNDAI GALLOPER 3Д 1999-  СТ ВЕТР ГЛ/MITSUBISHI SHOGUN 1983-1991 СТ ВЕТР ГЛ</t>
  </si>
  <si>
    <t>6190297</t>
  </si>
  <si>
    <t>HYUNDAI GALLOPER 3Д 1999-  СТ ВЕТР ГЛГЛ/MITSUBISHI SHOGUN 1983-1991 СТ ВЕТР ГЛГЛ</t>
  </si>
  <si>
    <t>6963478</t>
  </si>
  <si>
    <t>HYUNDAI GALLOPER 3Д 1999-  СТ ВЕТР ЗЛГЛ</t>
  </si>
  <si>
    <t>6992410</t>
  </si>
  <si>
    <t>HYUNDAI GALLOPER 3Д ВН 1999-  СТ ЗАДН ЗЛ</t>
  </si>
  <si>
    <t>GETZ 3Д/5Д 2002-</t>
  </si>
  <si>
    <t>6960816</t>
  </si>
  <si>
    <t>2002-2011</t>
  </si>
  <si>
    <t>HYUNDAI GETZ 3Д/5Д 2002- СТ ВЕТР ЗЛГЛ</t>
  </si>
  <si>
    <t>6101570</t>
  </si>
  <si>
    <t>HYUNDAI GETZ 3Д/5Д 2002-  МОЛД  ДЛЯ СТ ВЕТР</t>
  </si>
  <si>
    <t>6997555</t>
  </si>
  <si>
    <t>HYUNDAI GETZ ХБ 2002-  СТ ЗАДН ЗЛ+УО</t>
  </si>
  <si>
    <t>6996467</t>
  </si>
  <si>
    <t>HYUNDAI GETZ ХБ 2002-  СТ ЗАДН ЗЛ+УО+ИЗМ ОТВ</t>
  </si>
  <si>
    <t>6996192</t>
  </si>
  <si>
    <t>HYUNDAI GETZ 3Д 2002-  СТ ПЕР ДВ ОП ЛВ ЗЛ+УО</t>
  </si>
  <si>
    <t>6900331</t>
  </si>
  <si>
    <t>HYUNDAI GETZ 3Д 2002-  СТ БОК НЕП ЛВ ЗЛ+ИНК</t>
  </si>
  <si>
    <t>6996194</t>
  </si>
  <si>
    <t>HYUNDAI GETZ 5Д 2002-  СТ ПЕР ДВ ОП ЛВ ЗЛ+УО</t>
  </si>
  <si>
    <t>6997613</t>
  </si>
  <si>
    <t>HYUNDAI GETZ 5Д 2002-  СТ ЗАДН ДВ ОП ЛВ ЗЛ+УО</t>
  </si>
  <si>
    <t>6993242</t>
  </si>
  <si>
    <t>HYUNDAI GETZ 5Д 2002-  СТ ЗАДН ДВ НЕП ЛВ ЗЛ</t>
  </si>
  <si>
    <t>6996193</t>
  </si>
  <si>
    <t>HYUNDAI GETZ 3Д 2002-  СТ ПЕР ДВ ОП ПР ЗЛ+УО</t>
  </si>
  <si>
    <t>6900348</t>
  </si>
  <si>
    <t>HYUNDAI GETZ 3Д 2002-  СТ БОК НЕП ПР ЗЛ+ИНК</t>
  </si>
  <si>
    <t>6996195</t>
  </si>
  <si>
    <t>HYUNDAI GETZ 5Д 2002-  СТ ПЕР ДВ ОП ПР ЗЛ+УО</t>
  </si>
  <si>
    <t>6997616</t>
  </si>
  <si>
    <t>HYUNDAI GETZ 5Д 2002-  СТ ЗАДН ДВ ОП ПР ЗЛ+УО</t>
  </si>
  <si>
    <t>6993243</t>
  </si>
  <si>
    <t>HYUNDAI GETZ 5Д 2002-  СТ ЗАДН ДВ НЕП ПР ЗЛ</t>
  </si>
  <si>
    <t>GRACE H100 1994-2000 / PORTER 05</t>
  </si>
  <si>
    <t>6963453</t>
  </si>
  <si>
    <t>HYUNDAI GRACE H100 1994-2000  СТ ВЕТР/MITSUBISHI  L300 VAN, PZ SER 87 СТ ВЕТР</t>
  </si>
  <si>
    <t>6963454</t>
  </si>
  <si>
    <t>HYUNDAI GRACE H100 1994-2000  СТ ВЕТР ЗЛГЛ/MITSUBISHI L300 VAN, PZ SERIES 87- СТ ВЕТР ЗЛГЛ</t>
  </si>
  <si>
    <t>6100599</t>
  </si>
  <si>
    <t>HYUNDAI GRACE H100 1994-2000  РЕЗ ПРОФ ДЛЯ СТ ВЕТР</t>
  </si>
  <si>
    <t>6998077</t>
  </si>
  <si>
    <t>HYUNDAI GRACE H100 МИН 1994-1996 СТ ЗАДН</t>
  </si>
  <si>
    <t>6980295</t>
  </si>
  <si>
    <t>1997-2000</t>
  </si>
  <si>
    <t>HYUNDAI GRACE H100 МИН 1997-2000  СТ ЗАДН+ИЗМ РАЗМ</t>
  </si>
  <si>
    <t>6980296</t>
  </si>
  <si>
    <t>HYUNDAI GRACE H100 МИН 1997-2000  СТ ЗАДН ЗЛ+ИЗМ РАЗМ</t>
  </si>
  <si>
    <t>GRANDEUR 2005</t>
  </si>
  <si>
    <t>6961631</t>
  </si>
  <si>
    <t>HYUNDAI GRAND LHD СЕД 2005-  СТ ВЕТР ЗЛГЛ ЭО+ДД+VIN</t>
  </si>
  <si>
    <t>6961630</t>
  </si>
  <si>
    <t>HYUNDAI GRAND LHD СЕД 2005-  СТ ВЕТР ЗЛГЛ ЭО+VIN</t>
  </si>
  <si>
    <t>6961583</t>
  </si>
  <si>
    <t>HYUNDAI GRAND LHD СЕД 2005-  СТ ВЕТР ЗЛГЛ ДД+VIN</t>
  </si>
  <si>
    <t>6961582</t>
  </si>
  <si>
    <t>HYUNDAI GRAND LHD СЕД 2005-  СТ ВЕТР ЗЛГЛ+VIN</t>
  </si>
  <si>
    <t>H1 2007-</t>
  </si>
  <si>
    <t>6901434</t>
  </si>
  <si>
    <t>HYUNDAI H1 2007- СТ ПЕР ДВ ОП ЛВ ЗЛ+УО</t>
  </si>
  <si>
    <t>6901436</t>
  </si>
  <si>
    <t>6901433</t>
  </si>
  <si>
    <t>HYUNDAI H1 2007- СТ ПЕР ДВ ОП ПР ЗЛ+УО</t>
  </si>
  <si>
    <t>H200/SATELLITE (STAREX) 1997-</t>
  </si>
  <si>
    <t>6960777</t>
  </si>
  <si>
    <t>HYUNDAI H200/SATELLITE (STAREX) 1997- СТ ВЕТР</t>
  </si>
  <si>
    <t>6963314</t>
  </si>
  <si>
    <t>HYUNDAI H200/SATELLITE (STAREX) 1997- СТ ВЕТР ЗЛГЛ</t>
  </si>
  <si>
    <t>6100600</t>
  </si>
  <si>
    <t>HYUNDAI H200/SATELLITE (STAREX) 1997- МОЛД  ДЛЯ СТ ВЕТР</t>
  </si>
  <si>
    <t>6980299</t>
  </si>
  <si>
    <t>HYUNDAI H200/SATELLITE (STAREX) МИН 1997-  СТ ЗАДН ЗЛ</t>
  </si>
  <si>
    <t>i10 2008-</t>
  </si>
  <si>
    <t>6963166</t>
  </si>
  <si>
    <t>HYUNDAI i10 2008- СТ ВЕТР ЗЛЗЛ+VIN</t>
  </si>
  <si>
    <t>6901358</t>
  </si>
  <si>
    <t>HYUNDAI i10 2008- СТ ПЕР ДВ ОП ЛВ ЗЛ</t>
  </si>
  <si>
    <t>6901360</t>
  </si>
  <si>
    <t>HYUNDAI i10 2008- СТ ПЕР ДВ ОП ПР ЗЛ</t>
  </si>
  <si>
    <t>I20 3Д/5Д ХБК 2009-</t>
  </si>
  <si>
    <t>6964658</t>
  </si>
  <si>
    <t>HYUNDAI I20 3Д/5Д ХБК 2009- СТ ВЕТР ПР+VIN</t>
  </si>
  <si>
    <t>6964660</t>
  </si>
  <si>
    <t>HYUNDAI I20 3Д/5Д ХБК 2009- СТ ЗЛ+VIN</t>
  </si>
  <si>
    <t>6900937</t>
  </si>
  <si>
    <t>HYUNDAI I20 ХБК 5Д 2009- СТ ПЕР ДВ ОП ЛВ ЗЛ</t>
  </si>
  <si>
    <t>6900938</t>
  </si>
  <si>
    <t>HYUNDAI I20 ХБК 5Д 2009- СТ ЗАДН ДВ ОП ЛВ ЗЛ</t>
  </si>
  <si>
    <t>6900939</t>
  </si>
  <si>
    <t>HYUNDAI I20 ХБК 5Д 2009- ФОРТ ЗАДН НЕП ЛВ ЗЛ</t>
  </si>
  <si>
    <t>6900943</t>
  </si>
  <si>
    <t>HYUNDAI I20 ХБК 5Д 2009- СТ ПЕР ДВ ОП ПР ЗЛ</t>
  </si>
  <si>
    <t>6900944</t>
  </si>
  <si>
    <t>HYUNDAI I20 ХБК 5Д 2009- СТ ЗАДН ДВ ОП ПР ЗЛ</t>
  </si>
  <si>
    <t>6900945</t>
  </si>
  <si>
    <t>HYUNDAI I20 ХБК 5Д 2009- ФОРТ ЗАДН НЕП ПР ЗЛ</t>
  </si>
  <si>
    <t>6900933</t>
  </si>
  <si>
    <t>HYUNDAI I20 ХБК 5Д 2009- СТ ЗАДН ЗЛ</t>
  </si>
  <si>
    <t>I30 5Д ХБ 2007-</t>
  </si>
  <si>
    <t>6962756</t>
  </si>
  <si>
    <t>HYUNDAI I30 5Д ХБ 2007-  СТ ВЕТР ЗЛ ЭО+ДД+VIN</t>
  </si>
  <si>
    <t>6962800</t>
  </si>
  <si>
    <t>HYUNDAI I30 5Д ХБ 2007-  СТ ВЕТР ЗЛ+ДД+VIN</t>
  </si>
  <si>
    <t>6962757</t>
  </si>
  <si>
    <t>HYUNDAI I30 5Д ХБ 2007-  СТ ВЕТР ЗЛ+VIN</t>
  </si>
  <si>
    <t>6962829</t>
  </si>
  <si>
    <t>HYUNDAI I30 5Д ХБ 2007-  СТ ВЕТР ЗЛ+ЭО+VIN</t>
  </si>
  <si>
    <t>6965036</t>
  </si>
  <si>
    <t>HYUNDAI I30 07-СТ ВЕТР ЗЛ + ОБОГРЕВ+VIN</t>
  </si>
  <si>
    <t>6964590</t>
  </si>
  <si>
    <t>HYUNDAI I30 ХБ 07-СТ ВЕТР ЗЛ+VIN</t>
  </si>
  <si>
    <t>IX35 2009-</t>
  </si>
  <si>
    <t>6964815</t>
  </si>
  <si>
    <t>HYUNDAI IX35 09 - СТ ВЕТР ЗЛ+ЭО+ДД+VIN</t>
  </si>
  <si>
    <t>6964814</t>
  </si>
  <si>
    <t>HYUNDAI IX35 09-  СТ ВЕТР ЗЛ+ЭО+VIN</t>
  </si>
  <si>
    <t>6964813</t>
  </si>
  <si>
    <t>HYUNDAI IX35 09-  СТ ВЕТР ЗЛ+VIN</t>
  </si>
  <si>
    <t>IX55 2009-</t>
  </si>
  <si>
    <t>6964994</t>
  </si>
  <si>
    <t>HYUNDAI I55 09-СТ ВЕТР ЗЛГЛ+ЭО+ДД+VIN</t>
  </si>
  <si>
    <t>LANTRA СЕД 1991-1995</t>
  </si>
  <si>
    <t>6961421</t>
  </si>
  <si>
    <t>HYUNDAI LANTRA СЕД 1991-1995 СТ ВЕТР ЗЛГЛ</t>
  </si>
  <si>
    <t>6100090</t>
  </si>
  <si>
    <t>HYUNDAI LANTRA СЕД 1991-1995  МОЛД  ДЛЯ СТ ВЕТР</t>
  </si>
  <si>
    <t>6980294</t>
  </si>
  <si>
    <t>HYUNDAI LANTRA СЕД 1991-1995  СТ ЗАДН ЗЛ</t>
  </si>
  <si>
    <t>6996989</t>
  </si>
  <si>
    <t>HYUNDAI LANTRA СЕД 1991-1995  СТ ПЕР ДВ ОП ЛВ ЗЛ</t>
  </si>
  <si>
    <t>6999385</t>
  </si>
  <si>
    <t>HYUNDAI LANTRA СЕД 1991-1995  СТ ЗАДН ДВ ОП ЛВ ЗЛ</t>
  </si>
  <si>
    <t>6996990</t>
  </si>
  <si>
    <t>HYUNDAI LANTRA СЕД 1991-1995  СТ ПЕР ДВ ОП ПР ЗЛ</t>
  </si>
  <si>
    <t>6999386</t>
  </si>
  <si>
    <t>HYUNDAI LANTRA СЕД 1991-1995  СТ ЗАДН ДВ ОП ПР ЗЛ</t>
  </si>
  <si>
    <t>LANTRA СЕД+УН 1996-2000</t>
  </si>
  <si>
    <t>6963742</t>
  </si>
  <si>
    <t>HYUNDAI LANTRA СЕД+УН 1996-2000 СТ ВЕТР ЗЛГЛ</t>
  </si>
  <si>
    <t>6963242</t>
  </si>
  <si>
    <t>HYUNDAI LANTRA СЕД+УН 1996-2000 СТ ВЕТР ЗЛЗЛ</t>
  </si>
  <si>
    <t>6101013</t>
  </si>
  <si>
    <t>HYUNDAI LANTRA 1996-2000 УСТ КОМПЛ ДЛЯ СТ ВЕТР</t>
  </si>
  <si>
    <t>6101003</t>
  </si>
  <si>
    <t>HYUNDAI LANTRA 1996-2000  МОЛД  ДЛЯ СТ ВЕТР</t>
  </si>
  <si>
    <t>6994170</t>
  </si>
  <si>
    <t>HYUNDAI LANTRA СЕД+УН 1996-2000 СТ ПЕР ДВ ОП ЛВ ЗЛ+УО</t>
  </si>
  <si>
    <t>6994171</t>
  </si>
  <si>
    <t>HYUNDAI LANTRA СЕД+УН 1996-2000 СТ ЗАДН ДВ ОП ЛВ ЗЛ+УО</t>
  </si>
  <si>
    <t>6995270</t>
  </si>
  <si>
    <t>HYUNDAI LANTRA СЕД+УН 1996-2000 СТ ФОРТ НЕП ЗАДН ЛВ ЗЛ</t>
  </si>
  <si>
    <t>6994172</t>
  </si>
  <si>
    <t>HYUNDAI LANTRA СЕД+УН 1996-2000 СТ ПЕР ДВ ОП ПР ЗЛ+УО</t>
  </si>
  <si>
    <t>6994173</t>
  </si>
  <si>
    <t>HYUNDAI LANTRA СЕД+УН 1996-2000 СТ ЗАДН ДВ ОП ПР ЗЛ+УО</t>
  </si>
  <si>
    <t>6995280</t>
  </si>
  <si>
    <t>HYUNDAI LANTRA СЕД+УН 1996-2000 СТ ФОРТ ЗАДН НЕП ПР ЗЛ</t>
  </si>
  <si>
    <t>MATRIX 2001-</t>
  </si>
  <si>
    <t>6960746</t>
  </si>
  <si>
    <t>HYUNDAI MATRIX 2001- СТ ВЕТР ЗЛГЛ</t>
  </si>
  <si>
    <t>6101000</t>
  </si>
  <si>
    <t>HYUNDAI MATRIX 2001- МОЛД  ДЛЯ СТ ВЕТР</t>
  </si>
  <si>
    <t>6980304</t>
  </si>
  <si>
    <t>HYUNDAI MATRIX ХБ 2001- СТ ЗАДН ЗЛ</t>
  </si>
  <si>
    <t>6995282</t>
  </si>
  <si>
    <t>HYUNDAI MATRIX 2001- СТ ПЕР ДВ ОП ЛВ ЗЛ</t>
  </si>
  <si>
    <t>6900151</t>
  </si>
  <si>
    <t>HYUNDAI MATRIX 2001- СТ ЗАДН ДВ ОП ЛВ ЗЛ</t>
  </si>
  <si>
    <t>6995284</t>
  </si>
  <si>
    <t>HYUNDAI MATRIX 2001- СТ ПЕР ДВ ОП ПР ЗЛ</t>
  </si>
  <si>
    <t>6900229</t>
  </si>
  <si>
    <t>HYUNDAI MATRIX 2001- СТ ЗАДН ДВ ОП ПР ЗЛ</t>
  </si>
  <si>
    <t>NF 2005-</t>
  </si>
  <si>
    <t>6962227</t>
  </si>
  <si>
    <t>HYUNDAI NF (SONATA VI) 4Д СЕД LHD 2005-  СТ ВЕТР ЗЛГЛ ЭО+VIN</t>
  </si>
  <si>
    <t>6961359</t>
  </si>
  <si>
    <t>HYUNDAI NF (SONATA VI) 4Д СЕД LHD 2005-  СТ ВЕТР ЗЛГЛ+VIN</t>
  </si>
  <si>
    <t>6102047</t>
  </si>
  <si>
    <t>HYUNDAI NF (SONATA VI) 4Д СЕД LHD 2005-  МОЛД  ДЛЯ СТ ВЕТР ВЕРХ</t>
  </si>
  <si>
    <t>6999955</t>
  </si>
  <si>
    <t>HYUNDAI NF (SONATA VI) 4Д СЕД LHD 2005-  СТ ПЕР ДВ ОП ЛВ ЗЛ</t>
  </si>
  <si>
    <t>6900045</t>
  </si>
  <si>
    <t>HYUNDAI NF (SONATA VI) 4Д СЕД LHD 2005-  СТ ПЕР ДВ ОП ПР ЗЛ</t>
  </si>
  <si>
    <t>PONY 1990-1995</t>
  </si>
  <si>
    <t>6967702</t>
  </si>
  <si>
    <t>HYUNDAI PONY 1990-1995 СТ ВЕТР ГЛ</t>
  </si>
  <si>
    <t>6967704</t>
  </si>
  <si>
    <t>HYUNDAI PONY 1990-1995 СТ ВЕТР ГЛГЛ</t>
  </si>
  <si>
    <t>6967701</t>
  </si>
  <si>
    <t>HYUNDAI PONY 1990-1995 СТ ВЕТР</t>
  </si>
  <si>
    <t>6967703</t>
  </si>
  <si>
    <t>HYUNDAI PONY 1990-1995 СТ ВЕТР ЗЛГЛ</t>
  </si>
  <si>
    <t>6100089</t>
  </si>
  <si>
    <t>HYUNDAI PONY 1990-1995 УСТ КОМПЛ ДЛЯ СТ ВЕТР</t>
  </si>
  <si>
    <t>6101188</t>
  </si>
  <si>
    <t>HYUNDAI PONY 1990-1995 МОЛД  ДЛЯ СТ ВЕТР ВЕРХ</t>
  </si>
  <si>
    <t>6997298</t>
  </si>
  <si>
    <t>HYUNDAI PONY СД 1990-1995 СТ ЗАДН ЗЛ</t>
  </si>
  <si>
    <t>6999371</t>
  </si>
  <si>
    <t>HYUNDAI PONY ХБ 1990-1995 СТ ПЕР ДВ ОП ЛВ ГЛ</t>
  </si>
  <si>
    <t>6999372</t>
  </si>
  <si>
    <t>HYUNDAI PONY ХБ 1990-1995 СТ ЗАДН ДВ ОП ЛВ ЗЛ</t>
  </si>
  <si>
    <t>6995705</t>
  </si>
  <si>
    <t>HYUNDAI PONY ХБ 1990-1995 СТ ПЕР ДВ ОП ЛВ ЗЛ</t>
  </si>
  <si>
    <t>6999383</t>
  </si>
  <si>
    <t>6999374</t>
  </si>
  <si>
    <t>HYUNDAI PONY ХБ 1990-1995 СТ ПЕР ДВ ОП ПР ЗЛ</t>
  </si>
  <si>
    <t>6999375</t>
  </si>
  <si>
    <t>HYUNDAI PONY ХБ 1990-1995 СТ ЗАДН ДВ ОП ПР ГЛ</t>
  </si>
  <si>
    <t>6999382</t>
  </si>
  <si>
    <t>HYUNDAI PONY ХБ 1990-1995 СТ ПЕР ДВ ОП ПР</t>
  </si>
  <si>
    <t>6995707</t>
  </si>
  <si>
    <t>6999384</t>
  </si>
  <si>
    <t>PONY EXEL СЕД+ХБ 1985-1990</t>
  </si>
  <si>
    <t>6963625</t>
  </si>
  <si>
    <t>HYUNDAI PONY EXEL СД+ХБ 1985-1990 СТ ВЕТР</t>
  </si>
  <si>
    <t>SANTA FE 2001-2006</t>
  </si>
  <si>
    <t>6960700</t>
  </si>
  <si>
    <t>HYUNDAI SANTA FE 2001-2006  СТ ВЕТР ЗЛГЛ</t>
  </si>
  <si>
    <t>6100609</t>
  </si>
  <si>
    <t>HYUNDAI SANTA FE 2001-2006 МОЛД  ДЛЯ СТ ВЕТР</t>
  </si>
  <si>
    <t>6980048</t>
  </si>
  <si>
    <t>HYUNDAI SANTA FE ВН 2001-2006  СТ ЗАДН ЗЛ</t>
  </si>
  <si>
    <t>6993112</t>
  </si>
  <si>
    <t>HYUNDAI SANTA FE 2001-2006  СТ ПЕР ДВ ОП ЛВ ЗЛ</t>
  </si>
  <si>
    <t>6997617</t>
  </si>
  <si>
    <t>HYUNDAI SANTA FE 2001-2006  СТ ЗАДН ДВ ОП ЛВ ЗЛ</t>
  </si>
  <si>
    <t>6993113</t>
  </si>
  <si>
    <t>HYUNDAI SANTA FE 2001-2006  СТ ПЕР ДВ ОП ПР ЗЛ</t>
  </si>
  <si>
    <t>6997618</t>
  </si>
  <si>
    <t>HYUNDAI SANTA FE 2001-2006  СТ ЗАДН ДВ ОП ПР ЗЛ</t>
  </si>
  <si>
    <t>SANTA FE 2006-</t>
  </si>
  <si>
    <t>6962243</t>
  </si>
  <si>
    <t>HYUNDAI SANTA FE 2006-  СТ ВЕТР ЗЛГЛ ЭО+ДД+VIN</t>
  </si>
  <si>
    <t>6962849</t>
  </si>
  <si>
    <t>HYUNDAI SANTA FE 2006-  СТ ВЕТР ЗЛГЛ ЭО+VIN</t>
  </si>
  <si>
    <t>6965779</t>
  </si>
  <si>
    <t>HYUNDAI SANTA FE 08/10- СТ ВЕТР ЗЛГЛ+ЭО</t>
  </si>
  <si>
    <t>6961781</t>
  </si>
  <si>
    <t>HYUNDAI SANTA FE 2006-  СТ ВЕТР ЗЛГЛ+ДД+VIN</t>
  </si>
  <si>
    <t>6961780</t>
  </si>
  <si>
    <t>HYUNDAI SANTA FE 2006-  СТ ВЕТР ЗЛГЛ+VIN</t>
  </si>
  <si>
    <t>6900565</t>
  </si>
  <si>
    <t>HYUNDAI SANTA FE ВН 2006-  СТ ЗАДН  ЗЛ</t>
  </si>
  <si>
    <t>6999952</t>
  </si>
  <si>
    <t>HYUNDAI SANTA FE 2006-  СТ ПЕР ДВ ОП ЛВ ЗЛ</t>
  </si>
  <si>
    <t>6900579</t>
  </si>
  <si>
    <t>HYUNDAI SANTA FE 2006-  СТ ЗАДН ДВ ОП ЛВ ЗЛ+УО</t>
  </si>
  <si>
    <t>6900584</t>
  </si>
  <si>
    <t>HYUNDAI SANTA FE 2006-  СТ ЗАДН ДВ НЕП ЛВ ЗЛ</t>
  </si>
  <si>
    <t>6900043</t>
  </si>
  <si>
    <t>HYUNDAI SANTA FE 2006-  СТ ПЕР ДВ ОП ПР ЗЛ</t>
  </si>
  <si>
    <t>6900515</t>
  </si>
  <si>
    <t>HYUNDAI SANTA FE 2006-  СТ ЗАДН ДВ ОП ПР ЗЛ+УО</t>
  </si>
  <si>
    <t>6900585</t>
  </si>
  <si>
    <t>HYUNDAI SANTA FE 2006-  СТ ЗАДН ДВ НЕП ПР ЗЛ</t>
  </si>
  <si>
    <t>SANTAMO MPV-</t>
  </si>
  <si>
    <t>6190311</t>
  </si>
  <si>
    <t>HYUNDAI SANTAMO МИН- СТ ВЕТР ЗЛГЛ/MITSUBISHI SPACE WAGON 99 СТ ВЕТР ЗЛГЛ</t>
  </si>
  <si>
    <t>SOLARIS 2010-</t>
  </si>
  <si>
    <t>6965391</t>
  </si>
  <si>
    <t>HYUNDAI SOLARIS 2010/KIA RIO ХБ+ СЕД 2011- СТ ВЕТР ЗЛГЛ+ЭО+VIN</t>
  </si>
  <si>
    <t>SONATA 1988-1993</t>
  </si>
  <si>
    <t>6963626</t>
  </si>
  <si>
    <t>HYUNDAI SONATA СЕД 1988-1993 СТ ВЕТР ЗЛГЛ</t>
  </si>
  <si>
    <t>6998948</t>
  </si>
  <si>
    <t>HYUNDAI SONATA СД 1988-1993 СТ ЗАДН ЗЛ</t>
  </si>
  <si>
    <t>6996987</t>
  </si>
  <si>
    <t>HYUNDAI SONATA СЕД 1988-1993 СТ ПЕР ДВ ОП ЛВ ЗЛ</t>
  </si>
  <si>
    <t>6999369</t>
  </si>
  <si>
    <t>HYUNDAI SONATA СЕД 1988-1993 СТ ЗАДН ДВ ОП ЛВ ЗЛ</t>
  </si>
  <si>
    <t>6996988</t>
  </si>
  <si>
    <t>HYUNDAI SONATA СЕД 1988-1993 СТ ПЕР ДВ ОП ПР ЗЛ</t>
  </si>
  <si>
    <t>SONATA 1994-1998</t>
  </si>
  <si>
    <t>6964243</t>
  </si>
  <si>
    <t>HYUNDAI SONATA 1994-1998  СТ ВЕТР ЗЛ</t>
  </si>
  <si>
    <t>6963382</t>
  </si>
  <si>
    <t>HYUNDAI SONATA 1994-1998  СТ ВЕТР ЗЛГЛ</t>
  </si>
  <si>
    <t>6961009</t>
  </si>
  <si>
    <t>HYUNDAI SONATA 1994-1998  СТ ВЕТР ЗЛГЛ ИЗМ КР</t>
  </si>
  <si>
    <t>6102340</t>
  </si>
  <si>
    <t>HYUNDAI SONATA 1994-1998 УСТ КОМПЛ ДЛЯ СТ ВЕТР</t>
  </si>
  <si>
    <t>6101138</t>
  </si>
  <si>
    <t>HYUNDAI SONATA 1994-1998  В/С НАБ МОЛД ХР</t>
  </si>
  <si>
    <t>6999387</t>
  </si>
  <si>
    <t>HYUNDAI SONATA 1994-1998  СТ ПЕР ДВ ОП ЛВ ЗЛ/KIA MAGENTIS СЕД 2001-2006  СТ ПЕР ДВ ОП ЛВ ЗЛ</t>
  </si>
  <si>
    <t>6999388</t>
  </si>
  <si>
    <t>HYUNDAI SONATA 1994-1998  СТ ЗАДН ДВ ОП ЛВ ЗЛ</t>
  </si>
  <si>
    <t>6900312</t>
  </si>
  <si>
    <t>HYUNDAI SONATA 1994-1998  СЕД 4Д СТ ФОРТ НЕП ПР ГЛ</t>
  </si>
  <si>
    <t>6999389</t>
  </si>
  <si>
    <t>HYUNDAI SONATA 1994-1998  СТ ПЕР ДВ ОП ПР ЗЛ/KIA MAGENTIS СЕД 2001-2006  СТ ПЕР ДВ ОП ПР ЗЛ</t>
  </si>
  <si>
    <t>SONATA 1999-2005</t>
  </si>
  <si>
    <t>6960673</t>
  </si>
  <si>
    <t>HYUNDAI SONATA 1999-2005  СТ ВЕТР ЗЛГЛ/KIA MAGENTIS СЕД 2001-2006  СТ ВЕТР ЗЛГЛ</t>
  </si>
  <si>
    <t>6101383</t>
  </si>
  <si>
    <t>HYUNDAI SONATA 1999-2005  МОЛД ДЛЯ СТ ВЕТР ЧЕРН</t>
  </si>
  <si>
    <t>6980301</t>
  </si>
  <si>
    <t>HYUNDAI SONATA СД 1999-2005  СТ ЗАДН ЗЛ</t>
  </si>
  <si>
    <t>6999954</t>
  </si>
  <si>
    <t>HYUNDAI SONATA 1999-2005  СТ ПЕР ДВ ОП ЛВ ЗЛ+ФИТ</t>
  </si>
  <si>
    <t>6900152</t>
  </si>
  <si>
    <t>HYUNDAI SONATA 1999-2005  СТ ЗАДН ДВ ОП ЛВ ЗЛ+ФИТ</t>
  </si>
  <si>
    <t>6900044</t>
  </si>
  <si>
    <t>HYUNDAI SONATA 1999-2005  СТ ПЕР ДВ ОП ПР ЗЛ+ФИТ</t>
  </si>
  <si>
    <t>6900230</t>
  </si>
  <si>
    <t>HYUNDAI SONATA 1999-2005  СТ ЗАДН ДВ ОП ПР ЗЛ+ФИТ</t>
  </si>
  <si>
    <t>TERRACAN 2001-</t>
  </si>
  <si>
    <t>6960779</t>
  </si>
  <si>
    <t>HYUNDAI TERRACAN JEEP 2001- СТ ВЕТР</t>
  </si>
  <si>
    <t>6101011</t>
  </si>
  <si>
    <t>HYUNDAI TERRACAN JEEP 2001-  МОЛД  ДЛЯ СТ ВЕТР</t>
  </si>
  <si>
    <t>6996196</t>
  </si>
  <si>
    <t>HYUNDAI TERRACAN JEEP 2001- СТ ПЕР ДВ ОП ЛВ ЗЛ</t>
  </si>
  <si>
    <t>6900153</t>
  </si>
  <si>
    <t>HYUNDAI TERRACAN JEEP 2001- СТ ЗАДН ДВ ОП ЛВ ЗЛ</t>
  </si>
  <si>
    <t>6900296</t>
  </si>
  <si>
    <t>HYUNDAI TERRACAN JEEP 2001- СТ ФОРТ ЗАДН НЕП ЛВ ЗЛ</t>
  </si>
  <si>
    <t>6996197</t>
  </si>
  <si>
    <t>HYUNDAI TERRACAN JEEP 2001- СТ ПЕР ДВ ОП ПР ЗЛ</t>
  </si>
  <si>
    <t>6900237</t>
  </si>
  <si>
    <t>HYUNDAI TERRACAN JEEP 2001- СТ ЗАДН ДВ ОП ПР ЗЛ</t>
  </si>
  <si>
    <t>6900313</t>
  </si>
  <si>
    <t>HYUNDAI TERRACAN JEEP 2001- СТ ФОРТ ЗАДН НЕП ПР ЗЛ</t>
  </si>
  <si>
    <t>TRAJET/HIGHWAY УН 2000-</t>
  </si>
  <si>
    <t>6960701</t>
  </si>
  <si>
    <t>HYUNDAI TRAJET/HIGHWAY УН 2000- СТ ВЕТР</t>
  </si>
  <si>
    <t>6101012</t>
  </si>
  <si>
    <t>HYUNDAI TRAJET/HIGHWAY VAN 2000 МОЛД  ДЛЯ СТ ВЕТР</t>
  </si>
  <si>
    <t>6999956</t>
  </si>
  <si>
    <t>HYUNDAI TRAJET/HIGHWAY УН 2000-  СТ ПЕР ДВ ОП ЛВ ЗЛ+УО</t>
  </si>
  <si>
    <t>6900154</t>
  </si>
  <si>
    <t>HYUNDAI TRAJET/HIGHWAY УН 2000-  СТ ЗАДН ДВ ОП ЛВ ЗЛ+УО</t>
  </si>
  <si>
    <t>6900046</t>
  </si>
  <si>
    <t>HYUNDAI TRAJET/HIGHWAY УН 2000-  СТ ПЕР ДВ ОП ПР ЗЛ+УО</t>
  </si>
  <si>
    <t>TUCSON 2004-</t>
  </si>
  <si>
    <t>6961972</t>
  </si>
  <si>
    <t>HYUNDAI TUCSON 2004-  СТ ВЕТР ЗЛГЛ ЭО+VIN</t>
  </si>
  <si>
    <t>6962581</t>
  </si>
  <si>
    <t>6961308</t>
  </si>
  <si>
    <t>HYUNDAI TUCSON 2004-  СТ ВЕТР ЗЛГЛ+VIN+установ. сист.</t>
  </si>
  <si>
    <t>6101781</t>
  </si>
  <si>
    <t>HYUNDAI TUCSON 2004-  МОЛД  ДЛЯ СТ ВЕТР</t>
  </si>
  <si>
    <t>6996590</t>
  </si>
  <si>
    <t>HYUNDAI TUCSON 2004-  СТ ПЕР ДВ ОП ЛВ ЗЛ+УО</t>
  </si>
  <si>
    <t>6900711</t>
  </si>
  <si>
    <t>HYUNDAI TUCSON 2004-  СТ ЗАДН ДВ ОП ЛВ ЗЛ+УО</t>
  </si>
  <si>
    <t>6900155</t>
  </si>
  <si>
    <t>HYUNDAI TUCSON 2004-  СТ ЗАДН ДВ ОП ЛВ СР+УО</t>
  </si>
  <si>
    <t>6996591</t>
  </si>
  <si>
    <t>HYUNDAI TUCSON 2004-  СТ ПЕР ДВ ОП ПР ЗЛ+УО</t>
  </si>
  <si>
    <t>6900712</t>
  </si>
  <si>
    <t>HYUNDAI TUCSON 2004-  СТ ЗАДН ДВ ОП ПР ЗЛ+ФИТ</t>
  </si>
  <si>
    <t>6900369</t>
  </si>
  <si>
    <t>HYUNDAI TUCSON 2004-  СТ ЗАДН ДВ ОП ПР СР+УО</t>
  </si>
  <si>
    <t>VERNA (ACCENT III) 2006-</t>
  </si>
  <si>
    <t>6962473</t>
  </si>
  <si>
    <t>HYUNDAI VERNA (ACCENT III) 2006- СТ ВЕТР ЗЛГЛ+VIN</t>
  </si>
  <si>
    <t>6900950</t>
  </si>
  <si>
    <t>HYUNDAI VERNA (ACCENT III) 2006- СТ ПЕР ДВ ОП ЛВ</t>
  </si>
  <si>
    <t>6900951</t>
  </si>
  <si>
    <t>HYUNDAI VERNA (ACCENT III) 2006- СТ ПЕР ДВ ОП ПР</t>
  </si>
  <si>
    <t>6900952</t>
  </si>
  <si>
    <t>HYUNDAI VERNA (ACCENT III) 2006- СТ ЗАДН ДВ ОП ЛВ</t>
  </si>
  <si>
    <t>6900953</t>
  </si>
  <si>
    <t>HYUNDAI VERNA (ACCENT III) 2006- СТ ЗАДН ДВ ОП ПР</t>
  </si>
  <si>
    <t>6900954</t>
  </si>
  <si>
    <t>HYUNDAI VERNA (ACCENT III) 2006- ФОРТ ЗАДН НЕП ЛВ ЗЛ</t>
  </si>
  <si>
    <t>6900955</t>
  </si>
  <si>
    <t>HYUNDAI VERNA (ACCENT III) 2006- ФОРТ ЗАДНЕПОД ПРЗЛ</t>
  </si>
  <si>
    <t>XG СД 2000-2007</t>
  </si>
  <si>
    <t>6962446</t>
  </si>
  <si>
    <t>HYUNDAI XG СД 2000-2007  СТ ВЕТР ЗЛГЛ+КР</t>
  </si>
  <si>
    <t>6993612</t>
  </si>
  <si>
    <t>HYUNDAI XG СД 2000-2007  СТ ПЕР ДВ ОП ЛВ ЗЛ 6ОТВ</t>
  </si>
  <si>
    <t>6993614</t>
  </si>
  <si>
    <t>HYUNDAI XG СД 2000-2007  СТ ЗАДН ДВ ОП ЛВ ЗЛ 6ОТВ</t>
  </si>
  <si>
    <t>6993613</t>
  </si>
  <si>
    <t>HYUNDAI XG СД 2000-2007  СТ ПЕР ДВ ОП ПР ЗЛ 6ОТВ</t>
  </si>
  <si>
    <t>6993615</t>
  </si>
  <si>
    <t>HYUNDAI XG СД 2000-2007  СТ ЗАДН ДВ ОП ПР ЗЛ 6ОТВ</t>
  </si>
  <si>
    <t>COUPE 2002-2006</t>
  </si>
  <si>
    <t>6950071</t>
  </si>
  <si>
    <t>HYUNDAI COUPE 2002-2006  СТ ВЕТР ЗЛ</t>
  </si>
  <si>
    <t>6961108</t>
  </si>
  <si>
    <t>HYUNDAI COUPE 2002-2006  СТ ВЕТР ЗЛГЛ</t>
  </si>
  <si>
    <t>6101207</t>
  </si>
  <si>
    <t>HYUNDAI COUPE 2002-2006  МОЛД  ДЛЯ СТ ВЕТР ВЕРХ</t>
  </si>
  <si>
    <t>6900514</t>
  </si>
  <si>
    <t>HYUNDAI COUPE КП 2002-2006  СТ ЗАДН ЗЛ+СТОП</t>
  </si>
  <si>
    <t>6995259</t>
  </si>
  <si>
    <t>HYUNDAI COUPE 2002-2006  СТ ПЕР ДВ ОП ЛВ ЗЛ</t>
  </si>
  <si>
    <t>6995260</t>
  </si>
  <si>
    <t>HYUNDAI COUPE 2002-2006  СТ ПЕР ДВ ОП ПР ЗЛ</t>
  </si>
  <si>
    <t>COUPE 1996-2002</t>
  </si>
  <si>
    <t>6963728</t>
  </si>
  <si>
    <t>1996-2002</t>
  </si>
  <si>
    <t>HYUNDAI COUPE 1996-2002 СТ ВЕТР ЗЛГЛ</t>
  </si>
  <si>
    <t>6100094</t>
  </si>
  <si>
    <t>HYUNDAI COUPE 1996-2002 МОЛД  ДЛЯ СТ ВЕТР</t>
  </si>
  <si>
    <t>6994441</t>
  </si>
  <si>
    <t>HYUNDAI COUPE 1996-2002 СТ ПЕР ДВ ОП ЛВ ЗЛ+5ОТВ</t>
  </si>
  <si>
    <t>INFINITI</t>
  </si>
  <si>
    <t>FX35/45 2003-2008</t>
  </si>
  <si>
    <t>6961791</t>
  </si>
  <si>
    <t>INFINITI FX35/45 2003-2008  СТ ВЕТР ЗЛГЛ</t>
  </si>
  <si>
    <t>QX56 2004-</t>
  </si>
  <si>
    <t>6963023</t>
  </si>
  <si>
    <t>INFINITI QX56 2004- СТ ВЕТР ЗЛ</t>
  </si>
  <si>
    <t>ISUZU</t>
  </si>
  <si>
    <t>ISUZU AMIGO/RODEO/CAMPO 1988-09/1993</t>
  </si>
  <si>
    <t>6963500</t>
  </si>
  <si>
    <t>ISUZU AMIGO/RODEO/CAMPO 1988-09/1993 СТ ВЕТР/BEDFORD BRAVA 1988-  СТ ВЕТР</t>
  </si>
  <si>
    <t>ISUZU RODEO / D-MAX 2003-</t>
  </si>
  <si>
    <t>6961594</t>
  </si>
  <si>
    <t>ISUZU RODEO / D-MAX 2003- СТ ВЕТР ЗЛ</t>
  </si>
  <si>
    <t>ISUZU GEMINI 1985-1989</t>
  </si>
  <si>
    <t>6963575</t>
  </si>
  <si>
    <t>1985-1989</t>
  </si>
  <si>
    <t>ISUZU GEMINI 1985-1989 СТ ВЕТР ГЛ</t>
  </si>
  <si>
    <t>ISUZU TROOPER 1983-1989</t>
  </si>
  <si>
    <t>6969232</t>
  </si>
  <si>
    <t>ISUZU TROOPER 1983-1989 СТ ВЕТР ГЛ</t>
  </si>
  <si>
    <t>6969233</t>
  </si>
  <si>
    <t>ISUZU TROOPER 1983-1989 СТ ВЕТР БР</t>
  </si>
  <si>
    <t>6969231</t>
  </si>
  <si>
    <t>ISUZU TROOPER 1983-1989 СТ ВЕТР</t>
  </si>
  <si>
    <t>6101103</t>
  </si>
  <si>
    <t>ISUZU TROOPER 1983-1989 РЕЗ ПРОФ ДЛЯ СТ ВЕТР</t>
  </si>
  <si>
    <t>6999509</t>
  </si>
  <si>
    <t>ISUZU TROOPER ВН 1983-1989 СТ ЗАДН ГЛ</t>
  </si>
  <si>
    <t>6998431</t>
  </si>
  <si>
    <t>ISUZU TROOPER 1983-1989 СТ ПЕР ДВ ОП ЛВ ГЛ+УО</t>
  </si>
  <si>
    <t>6997790</t>
  </si>
  <si>
    <t>ISUZU TROOPER 1983-1989 СТ ФОРТ ПЕР НЕП ЛВ ГЛ</t>
  </si>
  <si>
    <t>6999413</t>
  </si>
  <si>
    <t>ISUZU TROOPER 1983-1989 СТ ФОРТ ЗАДН НЕП ЛВ ГЛ</t>
  </si>
  <si>
    <t>6998432</t>
  </si>
  <si>
    <t>ISUZU TROOPER 1983-1989 СТ ПЕР ДВ ОП ПР ГЛ+УО</t>
  </si>
  <si>
    <t>6999416</t>
  </si>
  <si>
    <t>ISUZU TROOPER 1983-1989 СТ ФОРТ ЗАДН НЕП ПР ГЛ</t>
  </si>
  <si>
    <t>ISUZU TROOPER 1992-</t>
  </si>
  <si>
    <t>6969239</t>
  </si>
  <si>
    <t>1992-2002</t>
  </si>
  <si>
    <t>ISUZU TROOPER 1992- СТ ВЕТР ГЛ</t>
  </si>
  <si>
    <t>6190334</t>
  </si>
  <si>
    <t>ISUZU TROOPER 1992- СТ ВЕТР БР MONTEREY 3Д+5Д 94 04/95 СТ ВЕТР БР</t>
  </si>
  <si>
    <t>6967499</t>
  </si>
  <si>
    <t>ISUZU TROOPER 1992- СТ ВЕТР</t>
  </si>
  <si>
    <t>6190874</t>
  </si>
  <si>
    <t>ISUZU TROOPER 1992- СТ ВЕТР ЗЛ MONTEREY 3Д+5Д 94 04/95 СТ ВЕТР ЗЛ</t>
  </si>
  <si>
    <t>6102342</t>
  </si>
  <si>
    <t>ISUZU TROOPER 1992- МОЛД  ДЛЯ СТ ВЕТР ВЕРХ</t>
  </si>
  <si>
    <t>6190336</t>
  </si>
  <si>
    <t>ISUZU TROOPER 3Д 1992- СТ ПЕР ДВ ОП ЛВ БР MONTEREY + 94  СТ ПЕР ДВ ОП ЛВ БР</t>
  </si>
  <si>
    <t>6190338</t>
  </si>
  <si>
    <t>ISUZU TROOPER 5Д 1992- СТ ФОРТ ЗАДН НЕП ЛВ БР MONTEREY 5Д 94  СТ ФОРТ ЗАДН НЕП ЛВ БР</t>
  </si>
  <si>
    <t>6190339</t>
  </si>
  <si>
    <t>ISUZU TROOPER 3Д 1992- СТ ПЕР ДВ ОП ПР БР MONTEREY + 94  СТ ПЕР ДВ ОП ПР БР</t>
  </si>
  <si>
    <t>6900516</t>
  </si>
  <si>
    <t>ISUZU TROOPER 5Д 1992- СТ ПЕР ДВ ОП ПР БР+УО</t>
  </si>
  <si>
    <t>JAGUAR</t>
  </si>
  <si>
    <t>S TYPE 1999-2002</t>
  </si>
  <si>
    <t>6962091</t>
  </si>
  <si>
    <t>1999-2002</t>
  </si>
  <si>
    <t>JAGUAR S СЕД 1999-2002  СТ ВЕТР ЗЛ ЭО+ДД+VIN+УО</t>
  </si>
  <si>
    <t>6962943</t>
  </si>
  <si>
    <t>JAGUAR S СЕД 2002-  СТ ВЕТР ЗЛ ЭО+ДД+VIN+УО+ИЗМ ЭО</t>
  </si>
  <si>
    <t>6102343</t>
  </si>
  <si>
    <t>JAGUAR S СЕД 2001-  МОЛД  ДЛЯ СТ ВЕТР ВЕРХ</t>
  </si>
  <si>
    <t>6999957</t>
  </si>
  <si>
    <t>JAGUAR S СЕД 1998-2002  СТ ПЕР ДВ ОП ЛВ ЗЛ</t>
  </si>
  <si>
    <t>6900156</t>
  </si>
  <si>
    <t>JAGUAR S СЕД 1999-2002  СТ ЗАДН ДВ ОП ЛВ ЗЛ+ФИТ+УО</t>
  </si>
  <si>
    <t>6900047</t>
  </si>
  <si>
    <t>JAGUAR S СЕД 1998-2002  СТ ПЕР ДВ ОП ПР ЗЛ</t>
  </si>
  <si>
    <t>6900232</t>
  </si>
  <si>
    <t>JAGUAR S СЕД 1999-2002  СТ ЗАДН ДВ ОП ПР ЗЛ+УО</t>
  </si>
  <si>
    <t>X TYPE СД 2001-</t>
  </si>
  <si>
    <t>6962343</t>
  </si>
  <si>
    <t>2001-2009</t>
  </si>
  <si>
    <t>JAGUAR X TYPE 2001-  СТ ВЕТР ЗЛ ЭО+VIN+УО</t>
  </si>
  <si>
    <t>6961325</t>
  </si>
  <si>
    <t>JAGUAR X TYPE 2001-  СТ ВЕТР ЗЛ+ДД+VIN+УО+ИЗМ ДЕРЖ ЗЕРК</t>
  </si>
  <si>
    <t>6961029</t>
  </si>
  <si>
    <t>JAGUAR X TYPE 2001-  СТ ВЕТР ЗЛ+VIN+УО</t>
  </si>
  <si>
    <t>6999958</t>
  </si>
  <si>
    <t>JAGUAR X TYPE 2001-  СТ ПЕР ДВ ОП ЛВ</t>
  </si>
  <si>
    <t>6900517</t>
  </si>
  <si>
    <t>JAGUAR X TYPE 2001-  СТ ЗАДН ДВ ОП ЛВ ЗЛ</t>
  </si>
  <si>
    <t>6900048</t>
  </si>
  <si>
    <t>JAGUAR X TYPE 2001-  СТ ПЕР ДВ ОП ПР</t>
  </si>
  <si>
    <t>6900518</t>
  </si>
  <si>
    <t>JAGUAR X TYPE 2001-  СТ ЗАДН ДВ ОП ПР ЗЛ</t>
  </si>
  <si>
    <t>XF 4Д СД 2008-</t>
  </si>
  <si>
    <t>6901442</t>
  </si>
  <si>
    <t>JAGUAR XF 4Д СД 2008- СТ ПЕР ДВ ОП ЛВ ЗЛ</t>
  </si>
  <si>
    <t>6901441</t>
  </si>
  <si>
    <t>JAGUAR XF 4Д СД 2008- СТ ПЕР ДВ ОП ПР ЗЛ</t>
  </si>
  <si>
    <t>XJ40 1987-1990</t>
  </si>
  <si>
    <t>6963630</t>
  </si>
  <si>
    <t>JAGUAR XJ40 1987-1990  СТ ВЕТР ЗЛ+VIN</t>
  </si>
  <si>
    <t>XJ6 XJ12 SERIES 3 1979-1993</t>
  </si>
  <si>
    <t>6963629</t>
  </si>
  <si>
    <t>JAGUAR XJ6 1979-1993 СТ ВЕТР ЗЛ</t>
  </si>
  <si>
    <t>XJ8/X300/X330 1995-2000</t>
  </si>
  <si>
    <t>6964462</t>
  </si>
  <si>
    <t>1995-2000</t>
  </si>
  <si>
    <t>JAGUAR XJ8 1997-2000  СТ ВЕТР ЗЛ ЭО+ИЗМ+КР+VIN</t>
  </si>
  <si>
    <t>6964465</t>
  </si>
  <si>
    <t>JAGUAR X300/X330 1995-2000  СТ ВЕТР ЗЛ +VIN</t>
  </si>
  <si>
    <t>XJ SER 4S 2003-2009</t>
  </si>
  <si>
    <t>6964858</t>
  </si>
  <si>
    <t>JAGUAR XJ SER 4S 2003-2009 СТ ВЕТР АКУСТИК+ЭО+ДД+VIN+ИНК</t>
  </si>
  <si>
    <t>LIBERTY 4Д UTILITY 2002-</t>
  </si>
  <si>
    <t>6963018</t>
  </si>
  <si>
    <t>JEEP LIBERTY 4D UTILITY 2002- СТ ВЕТР ЗЛ</t>
  </si>
  <si>
    <t>CHEROKEE 2001-</t>
  </si>
  <si>
    <t>6950037</t>
  </si>
  <si>
    <t>JEEP CHEROKEE 2001-  СТ ВЕТР ЗЛГЛ+VIN</t>
  </si>
  <si>
    <t>6962429</t>
  </si>
  <si>
    <t>JEEP CHEROKEE 2001-  СТ ВЕТР ЗЛГЛ+VIN+ИЗМ ШЕЛК</t>
  </si>
  <si>
    <t>6962428</t>
  </si>
  <si>
    <t>JEEP CHEROKEE 2001-  СТ ВЕТР ЗЛ+VIN</t>
  </si>
  <si>
    <t>6900106</t>
  </si>
  <si>
    <t>JEEP CHEROKEE ВН 2001-  СТ ЗАДН ЗЛ ОТКР+УО</t>
  </si>
  <si>
    <t>6900117</t>
  </si>
  <si>
    <t>JEEP CHEROKEE 2001-  СТ ПЕР ДВ ОП ЛВ ЗЛ+УО</t>
  </si>
  <si>
    <t>6900118</t>
  </si>
  <si>
    <t>JEEP CHEROKEE 2001-  СТ ПЕР ДВ ОП ПР ЗЛ+УО</t>
  </si>
  <si>
    <t>CHEROKEE 2008-</t>
  </si>
  <si>
    <t>6964740</t>
  </si>
  <si>
    <t>JEEP CHEROKEE 2008-  СТ ВЕТР ЗЛ+VIN</t>
  </si>
  <si>
    <t>6964889</t>
  </si>
  <si>
    <t>JEEP CHEROKEE 2008-  СТ ВЕТР ЗЛ ГЛ+ДД+VIN</t>
  </si>
  <si>
    <t>GRAND CHEROKEE II 2005-</t>
  </si>
  <si>
    <t>6962431</t>
  </si>
  <si>
    <t>JEEP GRAND CHEROKEE II 2005-  СТ ВЕТР ЗЛ+ДД+VIN+ИЗМ КР</t>
  </si>
  <si>
    <t>6961470</t>
  </si>
  <si>
    <t>JEEP GRAND CHEROKEE II 2005-  СТ ВЕТР ЗЛ+VIN</t>
  </si>
  <si>
    <t>6993349</t>
  </si>
  <si>
    <t>JEEP GRAND CHEROKEE II ВН 2005- СТ ПОД ЗАДН ЗЛ+УО</t>
  </si>
  <si>
    <t>6993350</t>
  </si>
  <si>
    <t>JEEP GRAND CHEROKEE II ВН 2005- СТ ПОД ЗАДН СР+УО</t>
  </si>
  <si>
    <t>6961140</t>
  </si>
  <si>
    <t>JEEP GRAND CHEROKEE II 2005- СТ ПЕР ДВ ОП ТРИПЛ ЛВ ЗЛ+УО</t>
  </si>
  <si>
    <t>6993198</t>
  </si>
  <si>
    <t>JEEP GRAND CHEROKEE II 2005- СТ ЗАДН ДВ ОП ЛВ ЗЛ</t>
  </si>
  <si>
    <t>6993208</t>
  </si>
  <si>
    <t>JEEP GRAND CHEROKEE II 2005- СТ ЗАДН ДВ ОП ЛВ СР</t>
  </si>
  <si>
    <t>6961139</t>
  </si>
  <si>
    <t>JEEP GRAND CHEROKEE II 2005- СТ ПЕР ДВ ОП ТРИПЛ ЗЛ+УО</t>
  </si>
  <si>
    <t>6993197</t>
  </si>
  <si>
    <t>JEEP GRAND CHEROKEE II 2005- СТ ЗАДН ДВ ОП ПР ЗЛ</t>
  </si>
  <si>
    <t>6993199</t>
  </si>
  <si>
    <t>JEEP GRAND CHEROKEE II 2005- СТ ЗАДН ДВ ОП ПР СР</t>
  </si>
  <si>
    <t>WRANGLER II TJ 3Д 1997-2007</t>
  </si>
  <si>
    <t>6962432</t>
  </si>
  <si>
    <t>1997-2007</t>
  </si>
  <si>
    <t>JEEP WRANGLER II TJ 1997-2007  СТ ВЕТР ЗЛ</t>
  </si>
  <si>
    <t>6102021</t>
  </si>
  <si>
    <t>JEEP WRANGLER II TJ 1997-2007 МОЛД  ДЛЯ СТ ВЕТР</t>
  </si>
  <si>
    <t>KIA</t>
  </si>
  <si>
    <t>CARENS 04/2002-2006</t>
  </si>
  <si>
    <t>6961358</t>
  </si>
  <si>
    <t>KIA CARENS 04/2002-2006  СТ ВЕТР ЗЛГЛ</t>
  </si>
  <si>
    <t>CARENS 2000-2004</t>
  </si>
  <si>
    <t>6960861</t>
  </si>
  <si>
    <t>2000-2004</t>
  </si>
  <si>
    <t>KIA CARENS 2000-2004 СТ ВЕТР ЗЛГЛ КР</t>
  </si>
  <si>
    <t>6101031</t>
  </si>
  <si>
    <t>KIA CARENS 2000-2004 МОЛД  ДЛЯ СТ ВЕТР</t>
  </si>
  <si>
    <t>6995287</t>
  </si>
  <si>
    <t>KIA CARENS 2000-2004 СТ ЗАДН ДВ ОП ЛВ ЗЛ</t>
  </si>
  <si>
    <t>6995288</t>
  </si>
  <si>
    <t>KIA CARENS 2000-2004 СТ ПЕР ДВ ОП ПР ЗЛ</t>
  </si>
  <si>
    <t>CARENS MPV 2006-</t>
  </si>
  <si>
    <t>6962803</t>
  </si>
  <si>
    <t>KIA CARENS МИН 2006-  СТ ВЕТР ЗЛГЛ ЭО+VIN</t>
  </si>
  <si>
    <t>6900715</t>
  </si>
  <si>
    <t>KIA CARENS MPV 2006-  СТ ПЕР ДВ ОП ЛВ ЗЛ</t>
  </si>
  <si>
    <t>6900784</t>
  </si>
  <si>
    <t>KIA CARENS MPV 2006-  СТ ЗАДН ДВ ОП ЛВ ЗЛ</t>
  </si>
  <si>
    <t>6900716</t>
  </si>
  <si>
    <t>KIA CARENS MPV 2006-  СТ ПЕР ДВ ОП ПР ЗЛ</t>
  </si>
  <si>
    <t>6900783</t>
  </si>
  <si>
    <t>KIA CARENS MPV 2006-  СТ ЗАДН ДВ ОП ПР ЗЛ</t>
  </si>
  <si>
    <t>CARNIVAL 1999-2006</t>
  </si>
  <si>
    <t>6960674</t>
  </si>
  <si>
    <t>KIA CARNIVAL/SEDONA 1999-2006  СТ ВЕТР ЗЛГЛ</t>
  </si>
  <si>
    <t>6961901</t>
  </si>
  <si>
    <t>KIA CARNIVAL/SEDONA 2002-2006  СТ ВЕТР ЗЛГЛ ЭО+ДД</t>
  </si>
  <si>
    <t>6100601</t>
  </si>
  <si>
    <t>KIA CARNIVAL/SEDONA 1999-2006  МОЛД  ДЛЯ СТ ВЕТР</t>
  </si>
  <si>
    <t>6992769</t>
  </si>
  <si>
    <t>KIA CARNIVAL/SEDONA МИН 1999-2006  СТ ЗАДН ЭО ЗЛ</t>
  </si>
  <si>
    <t>6996410</t>
  </si>
  <si>
    <t>KIA CARNIVAL/SEDONA МИН 2002-2006  СТ ЗАДН ЗЛ+СТОП+УО+ИЗМ РАЗМ</t>
  </si>
  <si>
    <t>6993114</t>
  </si>
  <si>
    <t>KIA CARNIVAL/SEDONA 1999-2006  СТ ПЕР ДВ ОП ЛВ ЗЛ</t>
  </si>
  <si>
    <t>6900782</t>
  </si>
  <si>
    <t>KIA CARNIVAL/SEDONA 1999-2006  СТ ЗАДН ДВ ОП ЛВ ЗЛ+УО</t>
  </si>
  <si>
    <t>6995285</t>
  </si>
  <si>
    <t>KIA CARNIVAL/SEDONA 1999-2006  СТ ЗАДН ДВ НЕП ЛВ ЗЛ+ОТКР</t>
  </si>
  <si>
    <t>6993119</t>
  </si>
  <si>
    <t>KIA CARNIVAL/SEDONA 1999-2006  СТ ПЕР ДВ ОП ПР ЗЛ</t>
  </si>
  <si>
    <t>6900781</t>
  </si>
  <si>
    <t>KIA CARNIVAL/SEDONA 1999-2006  СТ ЗАДН ДВ ОП ПР ЗЛ</t>
  </si>
  <si>
    <t>6995286</t>
  </si>
  <si>
    <t>KIA CARNIVAL/SEDONA 1999-2006  СТ ЗАДН ДВ НЕП ПР ЗЛ+ОТКР</t>
  </si>
  <si>
    <t>CARNIVAL 2006-</t>
  </si>
  <si>
    <t>6962604</t>
  </si>
  <si>
    <t>KIA CARNIVAL 2006-  СТ ВЕТР ЗЛГЛ ЭО+ДД+VIN</t>
  </si>
  <si>
    <t>6962603</t>
  </si>
  <si>
    <t>KIA CARNIVAL 2006-  СТ ВЕТР ЗЛГЛ ЭО+VIN</t>
  </si>
  <si>
    <t>6900957</t>
  </si>
  <si>
    <t>KIA CARNIVAL 2006-  СТ ПЕР ДВ ОП ЛВ ЗЛ</t>
  </si>
  <si>
    <t>6900958</t>
  </si>
  <si>
    <t>KIA CARNIVAL 2006-  СТ ПЕР ДВ ОП ПР ЗЛ</t>
  </si>
  <si>
    <t>6900720</t>
  </si>
  <si>
    <t>KIA CARNIVAL 2006-  СТ ЗАДН ДВ ОП ПР ЗЛ+ФИТ</t>
  </si>
  <si>
    <t>6900719</t>
  </si>
  <si>
    <t>KIA CARNIVAL 2006-  СТ ЗАДН ДВ ОП ЛВ ЗЛ+УО</t>
  </si>
  <si>
    <t>CEED 5Д ХБ LHD 2006-</t>
  </si>
  <si>
    <t>6962598</t>
  </si>
  <si>
    <t>KIA CEE'D ХБ 2006-  СТ ВЕТР ЗЛ+ЭО+ДД+VIN+ИЗМ КР</t>
  </si>
  <si>
    <t>6962597</t>
  </si>
  <si>
    <t>KIA CEE'D ХБ 2006-  СТ ВЕТР ЗЛ ЭО+VIN</t>
  </si>
  <si>
    <t>6962596</t>
  </si>
  <si>
    <t>KIA CEE'D ХБ 2006-  СТ ВЕТР ЗЛ ДД+VIN</t>
  </si>
  <si>
    <t>6962595</t>
  </si>
  <si>
    <t>KIA CEE'D ХБ 2006-  СТ ВЕТР ЗЛ+VIN</t>
  </si>
  <si>
    <t>6965383</t>
  </si>
  <si>
    <t>KIA CEE'D 2010 СТ ВЕТР ЗЛ+ЭО+VIN+ИЗМ КР</t>
  </si>
  <si>
    <t>6966036</t>
  </si>
  <si>
    <t>KIA CEE'D 2006- СТ ВЕТР ЗЛ+ДД+VIN</t>
  </si>
  <si>
    <t>6102313</t>
  </si>
  <si>
    <t>KIA CEE'D 5D HBK RHD 2006- МОЛД СТ ВЕТР</t>
  </si>
  <si>
    <t>6999711</t>
  </si>
  <si>
    <t>KIA CEE'D ХБ 2006-  СТ ЗАДН ДВ ЗЛ+УО+ОТВ</t>
  </si>
  <si>
    <t>6999712</t>
  </si>
  <si>
    <t>KIA CEE'D 5Д ХБ 2006-  СТ ЗАДН ДВ СР PR+УО</t>
  </si>
  <si>
    <t>6900857</t>
  </si>
  <si>
    <t>KIA CEE'D 5Д СЕД 2007- СТ ЗАДН ДВ ОП ЛВ ЗЛ</t>
  </si>
  <si>
    <t>6900862</t>
  </si>
  <si>
    <t>KIA CEE'D 5Д HBK 2006- СТ ПЕР ДВ ОП ПР ЗЛ</t>
  </si>
  <si>
    <t>6900899</t>
  </si>
  <si>
    <t>KIA CEE'D 5Д 2006-  СТ ПЕР ДВ ОП ПР ЗЛ</t>
  </si>
  <si>
    <t>6900861</t>
  </si>
  <si>
    <t>KIA CEE'D 5Д HBK 2006- СТ ПЕР ДВ ОП ЛВ ЗЛ</t>
  </si>
  <si>
    <t>6900898</t>
  </si>
  <si>
    <t>KIA CEE'D 5Д HBK 2006-  СТ ПЕР ДВ ОП ЛВ ЗЛ</t>
  </si>
  <si>
    <t>6900863</t>
  </si>
  <si>
    <t>PRO-CEE'D 3Д ХБ 2007-</t>
  </si>
  <si>
    <t>6962767</t>
  </si>
  <si>
    <t>KIA PRO CEE'D ХБ 2007-  СТ ВЕТР ЗЛ ЭО+ДД+VIN</t>
  </si>
  <si>
    <t>6962768</t>
  </si>
  <si>
    <t>KIA PRO CEE'D ХБ 2007-  СТ ВЕТР ЗЛ ЭО+VIN</t>
  </si>
  <si>
    <t>6962769</t>
  </si>
  <si>
    <t>KIA PRO CEE'D ХБ 2007-  СТ ВЕТР ЗЛ+ДД+VIN</t>
  </si>
  <si>
    <t>6962770</t>
  </si>
  <si>
    <t>KIA PRO CEE'D ХБ 2007-  СТ ВЕТР ЗЛ+VIN</t>
  </si>
  <si>
    <t>6965377</t>
  </si>
  <si>
    <t>KIA PRO-CEE'D ХБ 2007-  СТ ВЕТР ЗЛ+VIN</t>
  </si>
  <si>
    <t>6964951</t>
  </si>
  <si>
    <t>KIA PRO-CEE'D ХБ 2010 СТ ВЕТР ЗЛ+ЭО+VIN+ИЗМ КР</t>
  </si>
  <si>
    <t>6900638</t>
  </si>
  <si>
    <t>KIA PRO CEE'D 3Д ХБ 2007- СТ ЗАДН ЗЛ</t>
  </si>
  <si>
    <t>6900717</t>
  </si>
  <si>
    <t>KIA PRO CEE'D 3Д ХБ 2007- СТ ПЕР ДВ ОП ЛВ ЗЛ</t>
  </si>
  <si>
    <t>6900718</t>
  </si>
  <si>
    <t>KIA PRO CEE'D 3Д ХБ 2007- СТ ПЕР ДВ ОП ПР ЗЛ</t>
  </si>
  <si>
    <t>CERATO 5Д ХБ/4Д СД 2004-</t>
  </si>
  <si>
    <t>6961310</t>
  </si>
  <si>
    <t>2004-2008</t>
  </si>
  <si>
    <t>KIA CERATO ХБК/ СЕД 2004-2008 СТ ВЕТР ЗЛ/ГЛ</t>
  </si>
  <si>
    <t>6962588</t>
  </si>
  <si>
    <t>KIA CERATO ХБ/ СЕД 2004-  СТ ВЕТР ЗЛГЛ ЭО+VIN</t>
  </si>
  <si>
    <t>6101785</t>
  </si>
  <si>
    <t>KIA CERATO 5Д ХБ/4Д СЕД 2004-  МОЛД  ДЛЯ СТ ВЕТР</t>
  </si>
  <si>
    <t>6999546</t>
  </si>
  <si>
    <t>KIA CERATO СД 2004-  СТ ЗАДН ЗЛ+АНТ+СТОП</t>
  </si>
  <si>
    <t>6999960</t>
  </si>
  <si>
    <t>KIA CERATO ХБ/ СЕД 2004-  СТ ПЕР ДВ ОП ЛВ ЗЛ+УО</t>
  </si>
  <si>
    <t>6900159</t>
  </si>
  <si>
    <t>KIA CERATO СЕД 2004-  СТ ЗАДН ДВ ОП ЛВ ЗЛ+УО</t>
  </si>
  <si>
    <t>6900050</t>
  </si>
  <si>
    <t>KIA CERATO ХБ/ СЕД 2004-  СТ ПЕР ДВ ОП ПР ЗЛ+УО</t>
  </si>
  <si>
    <t>6900235</t>
  </si>
  <si>
    <t>KIA CERATO СЕД 2004-  СТ ЗАДН ДВ ОП ПР ЗЛ+УО</t>
  </si>
  <si>
    <t>CERATO 4D SAL 09-</t>
  </si>
  <si>
    <t>6965510</t>
  </si>
  <si>
    <t>KIA CERATO 4D SAL 09- СТ ВЕТР ЗЛГЛ+VIN</t>
  </si>
  <si>
    <t>CLARUS/CREDOS 4D СД/5Д BRK 1996-2002</t>
  </si>
  <si>
    <t>6964353</t>
  </si>
  <si>
    <t>KIA CLARUS/CREDOS 4Д СД 1996-2002  СТ ВЕТР ЗЛГЛ</t>
  </si>
  <si>
    <t>6101024</t>
  </si>
  <si>
    <t>KIA CLARUS/CREDOS 4Д СД 1996-2002 МОЛД  ДЛЯ СТ ВЕТР ВЕРХ</t>
  </si>
  <si>
    <t>6900520</t>
  </si>
  <si>
    <t>KIA CLARUS/CREDOS 4Д СД 1996-2002  СТ ЗАДН ЗЛ</t>
  </si>
  <si>
    <t>6980457</t>
  </si>
  <si>
    <t>KIA CLARUS/CREDOS 4Д СД+5Д ХБ 1997-2002  СТ ПЕР ДВ ОП ЗЛ</t>
  </si>
  <si>
    <t>6980458</t>
  </si>
  <si>
    <t>KIA CLARUS/CREDOS СЕД 1996-2002  СТ ЗАДН ДВ ОП ЛВ ЗЛ</t>
  </si>
  <si>
    <t>6980459</t>
  </si>
  <si>
    <t>KIA CLARUS/CREDOS СЕД 1996-2002  /УН 98  СТ ПЕР ДВ ОП ПР ЗЛ</t>
  </si>
  <si>
    <t>6980460</t>
  </si>
  <si>
    <t>KIA CLARUS/CREDOS СЕД 1996-2002  СТ ЗАДН ДВ ОП ПР ЗЛ</t>
  </si>
  <si>
    <t>JOYCE MPV 2001-2003</t>
  </si>
  <si>
    <t>6950074</t>
  </si>
  <si>
    <t>KIA JOYCE МИН 2001-2003  СТ ВЕТР ЗЛГЛ</t>
  </si>
  <si>
    <t>6101144</t>
  </si>
  <si>
    <t>KIA JOYCE MPV 2001-2003 МОЛД  ДЛЯ СТ ВЕТР</t>
  </si>
  <si>
    <t>6992772</t>
  </si>
  <si>
    <t>KIA JOYCE МИН 2001-2003  СТ ЗАДН ЗЛ</t>
  </si>
  <si>
    <t>6993270</t>
  </si>
  <si>
    <t>KIA JOYCE MPV 2001-2003  СТ ПЕР ДВ ОП ЛВ ЗЛ</t>
  </si>
  <si>
    <t>6993271</t>
  </si>
  <si>
    <t>KIA JOYCE MPV 2001-2003  СТ ПЕР ДВ ОП ПР ЗЛ</t>
  </si>
  <si>
    <t>K2700 PU 2000-2005</t>
  </si>
  <si>
    <t>6962154</t>
  </si>
  <si>
    <t>2000-2005</t>
  </si>
  <si>
    <t>KIA K2700 PU 2000-2005  СТ ВЕТР</t>
  </si>
  <si>
    <t>MAGENTIS СЕД 2001-2006</t>
  </si>
  <si>
    <t>6190199</t>
  </si>
  <si>
    <t>KIA MAGENTIS СЕД 2001-2006  СТ ВЕТР ЗЛГЛ/HYUNDAI SONATA 1999-2005  СТ ВЕТР ЗЛГЛ</t>
  </si>
  <si>
    <t>6190195</t>
  </si>
  <si>
    <t>KIA MAGENTIS СЕД 2001-2006  СТ ПЕР ДВ ОП ЛВ ЗЛ/HYUNDAI SONATA 1994-1998  СТ ПЕР ДВ ОП ЛВ ЗЛ</t>
  </si>
  <si>
    <t>6190196</t>
  </si>
  <si>
    <t>KIA MAGENTIS СЕД 2001-2006  СТ ЗАДН ДВ ОП ЛВ ЗЛ/HYUNDAI SONATA 1994-1998  СТ ЗАДН ДВ ОП ЛВ ЗЛ</t>
  </si>
  <si>
    <t>6190197</t>
  </si>
  <si>
    <t>KIA MAGENTIS СЕД 2001-2006  СТ ПЕР ДВ ОП ПР ЗЛ/HYUNDAI SONATA 1994-1998  СТ ПЕР ДВ ОП ПР ЗЛ</t>
  </si>
  <si>
    <t>6190198</t>
  </si>
  <si>
    <t>KIA MAGENTIS СЕД 2001-2006  СТ ЗАДН ДВ ОП ПР ЗЛ/HYUNDAI SONATA 1994-1998  СТ ЗАДН ДВ ОП ПР ЗЛ</t>
  </si>
  <si>
    <t>MAGENTIS 2005-2009</t>
  </si>
  <si>
    <t>6961836</t>
  </si>
  <si>
    <t>KIA MAGENTIS СЕД 2005-2009  СТ ВЕТР ЗЛГЛ</t>
  </si>
  <si>
    <t>6962607</t>
  </si>
  <si>
    <t>KIA MAGENTIS СЕД 2005-2009  СТ ВЕТР ЗЛГЛ ЭО</t>
  </si>
  <si>
    <t>6962447</t>
  </si>
  <si>
    <t>KIA MAGENTIS СЕД 2005-2009  СТ ВЕТР ЗЛГЛ ЭО+ДД</t>
  </si>
  <si>
    <t>6999961</t>
  </si>
  <si>
    <t>KIA MAGENTIS СЕД 2005-2009 СТ ПЕР ДВ ОП ЛВ ЗЛ+УО</t>
  </si>
  <si>
    <t>6900160</t>
  </si>
  <si>
    <t>KIA MAGENTIS СЕД 2005-2009  СТ ЗАДН ДВ ОП ЛВ ЗЛ</t>
  </si>
  <si>
    <t>6900051</t>
  </si>
  <si>
    <t>KIA MAGENTIS СЕД 2005-2009  СТ ПЕР ДВ ОП ПР ЗЛ+УО</t>
  </si>
  <si>
    <t>6900236</t>
  </si>
  <si>
    <t>KIA MAGENTIS СЕД 2005-2009  СТ ЗАДН ДВ ОП ПР ЗЛ</t>
  </si>
  <si>
    <t>OPIRUS СД 2003-</t>
  </si>
  <si>
    <t>6963019</t>
  </si>
  <si>
    <t>KIA OPIRUS 2003- СТ ВЕТР ЗЛГЛ+ЭО+ДД</t>
  </si>
  <si>
    <t>6965972</t>
  </si>
  <si>
    <t>KIA OPIRUS 2003- СТ ВЕТР ЗЛГЛ+ЭО</t>
  </si>
  <si>
    <t>6900574</t>
  </si>
  <si>
    <t>KIA OPIRUS 4Д 2003- СТ ПЕР ДВ ОП ЛВ ЗЛ+ФИТ</t>
  </si>
  <si>
    <t>6900575</t>
  </si>
  <si>
    <t>KIA OPIRUS 4Д 2003- СТ ПЕР ДВ ОП ПР ЗЛ+ФИТ</t>
  </si>
  <si>
    <t>PICANTO 5Д ХБ 2004-</t>
  </si>
  <si>
    <t>6961313</t>
  </si>
  <si>
    <t>KIA PICANTO 5Д 2004-  СТ ВЕТР</t>
  </si>
  <si>
    <t>6961232</t>
  </si>
  <si>
    <t>KIA PICANTO 5Д 2004-  СТ ВЕТР ЗЛГЛ</t>
  </si>
  <si>
    <t>6101573</t>
  </si>
  <si>
    <t>KIA PICANTO 5Д 2004-  МОЛД  ДЛЯ СТ ВЕТР</t>
  </si>
  <si>
    <t>6900956</t>
  </si>
  <si>
    <t>KIA PICANTO ХБ 2004-  СТ ЗАДН ЗЛ+УО</t>
  </si>
  <si>
    <t>6999963</t>
  </si>
  <si>
    <t>KIA PICANTO ХБ 2004-  СТ ПЕР ДВ ОП ЛВ</t>
  </si>
  <si>
    <t>6999964</t>
  </si>
  <si>
    <t>KIA PICANTO ХБ 2004-  СТ ПЕР ДВ ОП ЛВ ЗЛ</t>
  </si>
  <si>
    <t>6900053</t>
  </si>
  <si>
    <t>KIA PICANTO ХБ 2004-  СТ ПЕР ДВ ОП ПР</t>
  </si>
  <si>
    <t>6900054</t>
  </si>
  <si>
    <t>KIA PICANTO ХБ 2004-  СТ ПЕР ДВ ОП ПР ЗЛ</t>
  </si>
  <si>
    <t>PICANTO 2011-</t>
  </si>
  <si>
    <t>6965686</t>
  </si>
  <si>
    <t>KIA PICANTO 2011- СТ ВЕТР</t>
  </si>
  <si>
    <t>6965687</t>
  </si>
  <si>
    <t>KIA PICANTO 2011- СТ ВЕТР ЗЛ</t>
  </si>
  <si>
    <t>6965688</t>
  </si>
  <si>
    <t>KIA PICANTO 2011- СТ ВЕТР ЗЛГЛ</t>
  </si>
  <si>
    <t>PREGIO 1996-</t>
  </si>
  <si>
    <t>6960703</t>
  </si>
  <si>
    <t>KIA PREGIO 1996-  СТ ВЕТР</t>
  </si>
  <si>
    <t>6961979</t>
  </si>
  <si>
    <t>KIA PREGIO 1996-  СТ ВЕТР ЗЛГЛ</t>
  </si>
  <si>
    <t>6101784</t>
  </si>
  <si>
    <t>KIA PREGIO 1996-  МОЛД  ДЛЯ СТ ВЕТР</t>
  </si>
  <si>
    <t>6900652</t>
  </si>
  <si>
    <t>KIA PREGIO МИН 1996-  СТ ЗАДН ЗЛ+УО</t>
  </si>
  <si>
    <t>6900824</t>
  </si>
  <si>
    <t>KIA PREGIO 1996-  СТ ПЕР ДВ ОП ЛВ ЗЛ</t>
  </si>
  <si>
    <t>6900825</t>
  </si>
  <si>
    <t>KIA PREGIO 1996-  СТ ПЕР ДВ ОП ПР ЗЛ</t>
  </si>
  <si>
    <t>PRIDE 3Д+5Д 1993-2005</t>
  </si>
  <si>
    <t>6963631</t>
  </si>
  <si>
    <t>1993-2005</t>
  </si>
  <si>
    <t>KIA PRIDE 3Д+5Д 1993-2005  СТ ВЕТР</t>
  </si>
  <si>
    <t>6963632</t>
  </si>
  <si>
    <t>KIA PRIDE 3Д+5Д 1993-2005  СТ ВЕТР ЗЛГЛ</t>
  </si>
  <si>
    <t>6102345</t>
  </si>
  <si>
    <t>KIA PRIDE 3Д+5Д 1993-2005  ХБ МОЛД  ДЛЯ СТ ВЕТР ВЕРХ</t>
  </si>
  <si>
    <t>RETONA JEEP 3Д 2000-2004</t>
  </si>
  <si>
    <t>6962094</t>
  </si>
  <si>
    <t>KIA RETONA JEEP 3Д 2000-2004  СТ ВЕТР ЗЛ+КР</t>
  </si>
  <si>
    <t>6102134</t>
  </si>
  <si>
    <t>KIA RETONA JEEP 3Д 2000-2004   РЕЗ ДЛЯ СТ ВЕТР</t>
  </si>
  <si>
    <t>RIO 4Д / 5Д 2000-2005</t>
  </si>
  <si>
    <t>6960757</t>
  </si>
  <si>
    <t>KIA RIO ХБ 5Д 2000-2005  СТ ВЕТР ЗЛГЛ</t>
  </si>
  <si>
    <t>6100602</t>
  </si>
  <si>
    <t>KIA RIO СЕД 4Д/ХБ 5Д 2000-2005 МОЛД  ДЛЯ СТ ВЕТР</t>
  </si>
  <si>
    <t>6992771</t>
  </si>
  <si>
    <t>KIA RIO ХБ 5Д 2000-2005  СТ ЗАДН ЗЛ УО</t>
  </si>
  <si>
    <t>6999900</t>
  </si>
  <si>
    <t>KIA RIO СД 4Д 2000-2005  СТ ЗАДН ЗЛ+УО</t>
  </si>
  <si>
    <t>6993268</t>
  </si>
  <si>
    <t>KIA RIO ХБ 5Д 2000-2005  СТ ПЕР ДВ ОП ЛВ ЗЛ+УО</t>
  </si>
  <si>
    <t>6900162</t>
  </si>
  <si>
    <t>KIA RIO ХБ 5Д 2000-2005  СТ ЗАДН ДВ ОП ЛВ ЗЛ</t>
  </si>
  <si>
    <t>6995291</t>
  </si>
  <si>
    <t>KIA RIO СЕД 4Д 2000-2005  СТ ЗАДН ДВ ОП ЛВ ЗЛ</t>
  </si>
  <si>
    <t>6995293</t>
  </si>
  <si>
    <t>KIA RIO СЕД 4Д 2000-2005  СТ ФОРТ ЗАДН НЕП ЛВ ЗЛ</t>
  </si>
  <si>
    <t>6993269</t>
  </si>
  <si>
    <t>KIA RIO ХБ 5Д 2000-2005  СТ ПЕР ДВ ОП ПР ЗЛ+УО</t>
  </si>
  <si>
    <t>6900239</t>
  </si>
  <si>
    <t>KIA RIO ХБ 5Д 2000-2005  СТ ЗАДН ДВ ОП ПР ЗЛ</t>
  </si>
  <si>
    <t>6995292</t>
  </si>
  <si>
    <t>KIA RIO СЕД 4Д 2000-2005  СТ ЗАДН ДВ ОП ПР ЗЛ</t>
  </si>
  <si>
    <t>6995294</t>
  </si>
  <si>
    <t>KIA RIO СЕД 4Д 2000-2005  СТ ФОРТ ЗАДН НЕП ПР ЗЛ</t>
  </si>
  <si>
    <t>RIO 2005-2011</t>
  </si>
  <si>
    <t>6961586</t>
  </si>
  <si>
    <t>KIA RIO ХБ+ СЕД 2005-2011  СТ ВЕТР ЗЛГЛ</t>
  </si>
  <si>
    <t>6965512</t>
  </si>
  <si>
    <t>KIA RIO ХБ+ СЕД 2005-2011  СТ ВЕТР ЗЛ</t>
  </si>
  <si>
    <t>6102135</t>
  </si>
  <si>
    <t>KIA RIO ХБ+ СЕД 2005-2011  МОЛД  ДЛЯ СТ ВЕТР</t>
  </si>
  <si>
    <t>6999965</t>
  </si>
  <si>
    <t>KIA RIO ХБ+ СЕД 2006-2011  СТ ПЕР ДВ ОП ЛВ ЗЛ</t>
  </si>
  <si>
    <t>6900161</t>
  </si>
  <si>
    <t>KIA RIO ХБ+ СЕД 2006-2011  СТ ЗАДН ДВ ОП ЛВ ЗЛ</t>
  </si>
  <si>
    <t>6900055</t>
  </si>
  <si>
    <t>KIA RIO ХБ+ СЕД 2006-2011  СТ ПЕР ДВ ОП ПР ЗЛ</t>
  </si>
  <si>
    <t>6900238</t>
  </si>
  <si>
    <t>KIA RIO ХБ+ СЕД 2006-2011 СТ ЗАДН ДВ ОП ПР ЗЛ</t>
  </si>
  <si>
    <t>RIO 2011-</t>
  </si>
  <si>
    <t>KIA RIO ХБ+ СЕД 2011/HYUNDAI SOLARIS 2010 СТ ВЕТР ЗЛГЛ+ЭО+VIN</t>
  </si>
  <si>
    <t>SEPHIA I /MENTOR 1994-1998</t>
  </si>
  <si>
    <t>6961423</t>
  </si>
  <si>
    <t>KIA MENTOR/SEPHIA 1994-1998  СТ ВЕТР ЗЛ</t>
  </si>
  <si>
    <t>6963383</t>
  </si>
  <si>
    <t>KIA MENTOR/SEPHIA 1994-1998  СТ ВЕТР ЗЛГЛ</t>
  </si>
  <si>
    <t>6101048</t>
  </si>
  <si>
    <t>KIA MENTOR/SEPHIA 1994-1998  НАБ КЛИПС ДЛЯ СТ ВЕТР</t>
  </si>
  <si>
    <t>6101172</t>
  </si>
  <si>
    <t>KIA MENTOR/SEPHIA 1994-1998  В/С НАКР МОЛД ВЕРХ НИЖ</t>
  </si>
  <si>
    <t>6101069</t>
  </si>
  <si>
    <t>KIA MENTOR/SEPHIA 1994-1998  МОЛД  ДЛЯ СТ ВЕТР ВЕРХ</t>
  </si>
  <si>
    <t>6992469</t>
  </si>
  <si>
    <t>KIA MENTOR/SEPHIA 1994-1998  СТ ПЕР ДВ ОП ЛВ ЗЛ</t>
  </si>
  <si>
    <t>6999962</t>
  </si>
  <si>
    <t>1997-1998</t>
  </si>
  <si>
    <t>KIA MENTOR/SEPHIA 1997-1998  СТ ПЕР ДВ ОП ЛВ ЗЛ</t>
  </si>
  <si>
    <t>6996199</t>
  </si>
  <si>
    <t>KIA MENTOR/SEPHIA 1994-1998  СТ ЗАДН ДВ ОП ЛВ ЗЛ</t>
  </si>
  <si>
    <t>6992470</t>
  </si>
  <si>
    <t>KIA MENTOR/SEPHIA 1994-1998  СТ ПЕР ДВ ОП ПР ЗЛ</t>
  </si>
  <si>
    <t>6900052</t>
  </si>
  <si>
    <t>KIA MENTOR/SEPHIA 1997-1998  СТ ПЕР ДВ ОП ПР ЗЛ</t>
  </si>
  <si>
    <t>6996237</t>
  </si>
  <si>
    <t>KIA MENTOR/SEPHIA 1994-1998  СТ ЗАДН ДВ ОП ПР ЗЛ</t>
  </si>
  <si>
    <t>6996239</t>
  </si>
  <si>
    <t>KIA MENTOR/SEPHIA 1994-1998  СТ ФОРТ ЗАДН НЕП ПР ЗЛ</t>
  </si>
  <si>
    <t>SPECTRA 1998-</t>
  </si>
  <si>
    <t>6960675</t>
  </si>
  <si>
    <t>1998-2011</t>
  </si>
  <si>
    <t>KIA SPECTRA 1998- СТ ВЕТР ЗЛ</t>
  </si>
  <si>
    <t>6961918</t>
  </si>
  <si>
    <t>KIA SPECTRA 1998- СТ ВЕТР ЗЛГЛ</t>
  </si>
  <si>
    <t>6960676</t>
  </si>
  <si>
    <t>KIA SHUMA 5D/SEPHIA 4D 1998- СТ ВЕТР</t>
  </si>
  <si>
    <t>6950075</t>
  </si>
  <si>
    <t>KIA SPECTRA 1998- СТ ВЕТР ЗЛГЛ+ИЗМ ДЕР ЗЕРК</t>
  </si>
  <si>
    <t>6101032</t>
  </si>
  <si>
    <t>KIA SPECTRA 1998- МОЛД  ДЛЯ СТ ВЕТР</t>
  </si>
  <si>
    <t>6992770</t>
  </si>
  <si>
    <t>KIA SPECTRA ХБ 1998- СТ ЗАДН ЗЛ</t>
  </si>
  <si>
    <t>6994995</t>
  </si>
  <si>
    <t>KIA SPECTRA 1998- СТ ПЕР ДВ ОП ПР ЗЛ</t>
  </si>
  <si>
    <t>6994996</t>
  </si>
  <si>
    <t>KIA SPECTRA 1998- СТ ПЕР ДВ ОП ЛВ ЗЛ</t>
  </si>
  <si>
    <t>6994997</t>
  </si>
  <si>
    <t>KIA SPECTRA 1998- СТ ЗАДН ДВ ОП ПР ЗЛ</t>
  </si>
  <si>
    <t>6994998</t>
  </si>
  <si>
    <t>KIA SPECTRA 1998- СТ ЗАДН ДВ ОП ЛВ ЗЛ</t>
  </si>
  <si>
    <t>SORENTO 2002-</t>
  </si>
  <si>
    <t>6190799</t>
  </si>
  <si>
    <t>KIA SORENTO 5Д 2002-  СТ ВЕТР ЗЛ/KIA SORENTO 5Д 2002-  СТ ВЕТР ЗЛ</t>
  </si>
  <si>
    <t>6190800</t>
  </si>
  <si>
    <t>KIA SORENTO 5Д 2002-  СТ ВЕТР ЗЛГЛ/KIA SORENTO 5Д 2002-  СТ ВЕТР ЗЛГЛ</t>
  </si>
  <si>
    <t>6961301</t>
  </si>
  <si>
    <t>6961030</t>
  </si>
  <si>
    <t>6961248</t>
  </si>
  <si>
    <t>KIA SORENTO 5Д 2002-  СТ ВЕТР ЗЛГЛ ЭО</t>
  </si>
  <si>
    <t>6961249</t>
  </si>
  <si>
    <t>KIA SORENTO 5Д 2002-  СТ ВЕТР ЗЛГЛ ЭО+ДД/ДС</t>
  </si>
  <si>
    <t>6101182</t>
  </si>
  <si>
    <t>KIA SORENTO 5Д 2002-  МОЛД  ДЛЯ СТ ВЕТР</t>
  </si>
  <si>
    <t>6900108</t>
  </si>
  <si>
    <t>KIA SORENTO 5Д ВН 2002-  СТ ЗАДН ЗЛ+АНТ+ОТКР+УО</t>
  </si>
  <si>
    <t>6900107</t>
  </si>
  <si>
    <t>KIA SORENTO 5Д ВН 2002-  СТ ЗАДН ЗЛ ОТКР+УО</t>
  </si>
  <si>
    <t>6995315</t>
  </si>
  <si>
    <t>KIA SORENTO 5Д 2002-  СТ ПЕР ДВ ОП ЛВ ЗЛ</t>
  </si>
  <si>
    <t>6995314</t>
  </si>
  <si>
    <t>KIA SORENTO 5Д 2002-  СТ ЗАДН ДВ ОП ЛВ ЗЛ</t>
  </si>
  <si>
    <t>6995317</t>
  </si>
  <si>
    <t>KIA SORENTO 5Д 2002-  СТ ФОРТ ЗАДН НЕП ЛВ ЗЛ</t>
  </si>
  <si>
    <t>6900163</t>
  </si>
  <si>
    <t>KIA SORENTO 5Д 2002-  СТ ЗАДН ДВ ОП ЛВ ТЗЛ+УО</t>
  </si>
  <si>
    <t>6995308</t>
  </si>
  <si>
    <t>KIA SORENTO 5Д 2002-  СТ ПЕР ДВ ОП ПР ЗЛ</t>
  </si>
  <si>
    <t>6900521</t>
  </si>
  <si>
    <t>KIA SORENTO 5Д 2002-  СТ ПЕР ДВ ОП ПР ЗЛ+УО</t>
  </si>
  <si>
    <t>6995316</t>
  </si>
  <si>
    <t>KIA SORENTO 5Д 2002-  СТ ЗАДН ДВ ОП ПР ЗЛ</t>
  </si>
  <si>
    <t>6900522</t>
  </si>
  <si>
    <t>KIA SORENTO 5Д 2002-  СТ ЗАДН ДВ ОП ПР ЗЛ+УО</t>
  </si>
  <si>
    <t>6995318</t>
  </si>
  <si>
    <t>KIA SORENTO 5Д 2002-  СТ ФОРТ ЗАДН НЕП ПР ЗЛ</t>
  </si>
  <si>
    <t>6900241</t>
  </si>
  <si>
    <t>KIA SORENTO 5Д 2002-  СТ ЗАДН ДВ ОП ПР ТЗЛ+УО</t>
  </si>
  <si>
    <t>SORENTO 2010-</t>
  </si>
  <si>
    <t>6964995</t>
  </si>
  <si>
    <t>KIA SORENTO 10- СТ ВЕТР ЗЛ+ЭО+VIN</t>
  </si>
  <si>
    <t>6964996</t>
  </si>
  <si>
    <t>KIA SORENTO 10- СТ ВЕТР ЗЛ+ЭО+ДД+VIN</t>
  </si>
  <si>
    <t>6965225</t>
  </si>
  <si>
    <t>6964997</t>
  </si>
  <si>
    <t>KIA SORENTO 10- СТ ВЕТР ЗЛГЛ+ЭО+ДД+VIN</t>
  </si>
  <si>
    <t>SOUL 2009-</t>
  </si>
  <si>
    <t>6964718</t>
  </si>
  <si>
    <t>KIA SOUL 09-СТ ВЕТР ЗЛ</t>
  </si>
  <si>
    <t>SPORTAGE 1994-2004</t>
  </si>
  <si>
    <t>6963743</t>
  </si>
  <si>
    <t>KIA SPORTAGE 1994-2004  СТ ВЕТР ЗЛГЛ</t>
  </si>
  <si>
    <t>6100097</t>
  </si>
  <si>
    <t>KIA SPORTAGE 1994-2004  МОЛД  ДЛЯ СТ ВЕТР</t>
  </si>
  <si>
    <t>6998949</t>
  </si>
  <si>
    <t>KIA SPORTAGE ВН 1994-2004  СТ ЗАДН ЭО ЗЛ</t>
  </si>
  <si>
    <t>6995359</t>
  </si>
  <si>
    <t>KIA SPORTAGE 1994-2004  СТ ПЕР ДВ ОП ЛВ ЗЛ</t>
  </si>
  <si>
    <t>6999967</t>
  </si>
  <si>
    <t>KIA SPORTAGE 1997-2004  СТ ПЕР ДВ ОП ЛВ ЗЛ</t>
  </si>
  <si>
    <t>6995360</t>
  </si>
  <si>
    <t>KIA SPORTAGE 1994-2004  СТ ЗАДН ДВ ОП ЛВ ЗЛ</t>
  </si>
  <si>
    <t>6995709</t>
  </si>
  <si>
    <t>KIA SPORTAGE 1994-2004  СТ БОК НЕП ЛВ ЗЛ</t>
  </si>
  <si>
    <t>6995710</t>
  </si>
  <si>
    <t>KIA SPORTAGE 1994-2004  СТ ФОРТ ЗАДН НЕП ЛВ ЗЛ</t>
  </si>
  <si>
    <t>6900057</t>
  </si>
  <si>
    <t>KIA SPORTAGE 1997-2004  СТ ПЕР ДВ ОП ПР ЗЛ</t>
  </si>
  <si>
    <t>6995362</t>
  </si>
  <si>
    <t>KIA SPORTAGE 1994-2004  СТ ЗАДН ДВ ОП ПР ЗЛ</t>
  </si>
  <si>
    <t>6995711</t>
  </si>
  <si>
    <t>KIA SPORTAGE 1994-2004  СТ БОК НЕП ПР ЗЛ</t>
  </si>
  <si>
    <t>6995712</t>
  </si>
  <si>
    <t>KIA SPORTAGE 1994-2004  СТ ФОРТ ЗАДН НЕП ПР ЗЛ</t>
  </si>
  <si>
    <t>6995361</t>
  </si>
  <si>
    <t>KIA SPORTAGE 94- СТ ПЕР ДВ ОП ПР ЗЛ</t>
  </si>
  <si>
    <t>SPORTAGE 2004-</t>
  </si>
  <si>
    <t>6961314</t>
  </si>
  <si>
    <t>KIA SPORTAGE 2004-  СТ ВЕТР ЗЛ</t>
  </si>
  <si>
    <t>6961981</t>
  </si>
  <si>
    <t>KIA SPORTAGE 2004-  СТ ВЕТР СЗЛГЛ</t>
  </si>
  <si>
    <t>6961982</t>
  </si>
  <si>
    <t>KIA SPORTAGE 2004-  СТ ВЕТР СЗЛГЛ+ЭО</t>
  </si>
  <si>
    <t>6102030</t>
  </si>
  <si>
    <t>KIA SPORTAGE 2004-  МОЛД  ДЛЯ СТ ВЕТР ВЕРХ</t>
  </si>
  <si>
    <t>6999966</t>
  </si>
  <si>
    <t>KIA SPORTAGE 2004-  СТ ПЕР ДВ ОП ЛВ СЗЛ+УО</t>
  </si>
  <si>
    <t>6900580</t>
  </si>
  <si>
    <t>KIA SPORTAGE 2004-  СТ ЗАДН ДВ ОП ЛВ СЗЛ+УО</t>
  </si>
  <si>
    <t>6900056</t>
  </si>
  <si>
    <t>KIA SPORTAGE 2004-  СТ ПЕР ДВ ОП ПР СЗЛ+УО</t>
  </si>
  <si>
    <t>6900581</t>
  </si>
  <si>
    <t>KIA SPORTAGE 2004-  СТ ЗАДН ДВ ОП ПР СЗЛ+УО</t>
  </si>
  <si>
    <t>SPORTAGE 2010-</t>
  </si>
  <si>
    <t>6965276</t>
  </si>
  <si>
    <t>KIA Sportage 10- СТ ВЕТР ЗЛГЛ+ЭО+ДД+VIN</t>
  </si>
  <si>
    <t>6965274</t>
  </si>
  <si>
    <t>KIA Sportage 10- СТ ВЕТР ЗЛГЛ+VIN</t>
  </si>
  <si>
    <t>6965275</t>
  </si>
  <si>
    <t>KIA SPORTAGE 10- СТ ВЕТР ЗЛГЛ+ЭО+VIN</t>
  </si>
  <si>
    <t>6965277</t>
  </si>
  <si>
    <t>KIA SPORTAGE 10- СТ ВЕТР ЗЛГЛ+ДД+VIN</t>
  </si>
  <si>
    <t>6901909</t>
  </si>
  <si>
    <t>KIA SPORTAGE 10- СТ ЗАДН ЗЛ+СТОП</t>
  </si>
  <si>
    <t>BESTA VAN 1994-1999</t>
  </si>
  <si>
    <t>6964352</t>
  </si>
  <si>
    <t>KIA BESTA 1994-1999  СТ ВЕТР</t>
  </si>
  <si>
    <t>VENGA 2009-</t>
  </si>
  <si>
    <t>6965038</t>
  </si>
  <si>
    <t>KIA VENGA 2009- СТ ВЕТР ЭО+VIN</t>
  </si>
  <si>
    <t>LANCIA</t>
  </si>
  <si>
    <t>DEDRA 1990-/DELTA 1993-1997</t>
  </si>
  <si>
    <t>6960731</t>
  </si>
  <si>
    <t>1990-1997</t>
  </si>
  <si>
    <t>LANCIA DEDRA 1990- /DELTA 1993-1997  СТ ВЕТР ГЛЗЛ</t>
  </si>
  <si>
    <t>6960096</t>
  </si>
  <si>
    <t>LANCIA DEDRA 1990- /DELTA 1993-1997  СТ ВЕТР ЗЛЗЛ/ALFAROMEO ALFA 155 1992-1998  СТ ВЕТР ЗЛЗЛ</t>
  </si>
  <si>
    <t>6100106</t>
  </si>
  <si>
    <t>LANCIA DEDRA 1990- /DELTA 1993-1997  МОЛД  ДЛЯ СТ ВЕТР</t>
  </si>
  <si>
    <t>6990541</t>
  </si>
  <si>
    <t>LANCIA DEDRA 1990-1997  СТ БОК НЕП ЛВ ЗЛ</t>
  </si>
  <si>
    <t>6990734</t>
  </si>
  <si>
    <t>LANCIA DEDRA 1990-1997  СТ ЗАДН ДВ ОП ПР ГЛ+ФИТ</t>
  </si>
  <si>
    <t>6994444</t>
  </si>
  <si>
    <t>LANCIA DEDRA 1990-1997  СТ ПЕР ДВ ОП ПР ЗЛ+ФИТ</t>
  </si>
  <si>
    <t>6990540</t>
  </si>
  <si>
    <t>LANCIA DEDRA 1990-1997  СТ ФОРТ ЗАДН НЕП ПР ЗЛ</t>
  </si>
  <si>
    <t>DELTA 1987-1993</t>
  </si>
  <si>
    <t>6960084</t>
  </si>
  <si>
    <t>LANCIA DELTA/PRISMA 2 1987-1993 СТ ВЕТР БР</t>
  </si>
  <si>
    <t>6960051</t>
  </si>
  <si>
    <t>LANCIA DELTA/PRISMA 2 1987-1993 СТ ВЕТР ЗЛ</t>
  </si>
  <si>
    <t>6190220</t>
  </si>
  <si>
    <t>LANCIA DELTA/PRISMA 2 1987-1993 СТ ПЕР ДВ ОП ЛВ ЗЛ/LANCIA DELTA/PRISMA 1980-1987 СТ ПЕР ДВ ОП ЛВ ЗЛ</t>
  </si>
  <si>
    <t>6190223</t>
  </si>
  <si>
    <t>LANCIA DELTA/PRISMA 2 1987-1993 СТ ПЕР ДВ ОП ПР ЗЛ/LANCIA DELTA/PRISMA 1980-1987 СТ ПЕР ДВ ОП ПР ЗЛ</t>
  </si>
  <si>
    <t>DELTA/PRISMA 1980-1987</t>
  </si>
  <si>
    <t>6960053</t>
  </si>
  <si>
    <t>1980-1987</t>
  </si>
  <si>
    <t>LANCIA DELTA/PRISMA 1980-1987 СТ ВЕТР ЗЛ</t>
  </si>
  <si>
    <t>KAPPA КП 1997-2001</t>
  </si>
  <si>
    <t>6960568</t>
  </si>
  <si>
    <t>LANCIA KAPPA КУП 1997-2001  СТ ВЕТР ГЛ+КЛ+УО</t>
  </si>
  <si>
    <t>6990746</t>
  </si>
  <si>
    <t>LANCIA KAPPA КУП 1997-2001  СТ ЗАДН ГЛ+АНТ+СТОП+УО</t>
  </si>
  <si>
    <t>6990743</t>
  </si>
  <si>
    <t>LANCIA KAPPA КУП 1997-2001  СТ ПЕР ДВ ОП ЛВ ГЛ</t>
  </si>
  <si>
    <t>6990745</t>
  </si>
  <si>
    <t>LANCIA KAPPA КУП 1997-2001  СТ БОК НЕП ЛВ ГЛ</t>
  </si>
  <si>
    <t>6990742</t>
  </si>
  <si>
    <t>LANCIA KAPPA КУП 1997-2001  СТ ПЕР ДВ ОП ПР ГЛ</t>
  </si>
  <si>
    <t>6990744</t>
  </si>
  <si>
    <t>LANCIA KAPPA КУП 1997-2001  СТ БОК НЕП ПР ГЛ</t>
  </si>
  <si>
    <t>KAPPA УН, СД 1994-2001</t>
  </si>
  <si>
    <t>6960231</t>
  </si>
  <si>
    <t>LANCIA KAPPA 1994-2001  СТ ВЕТР ГЛ+ИНК</t>
  </si>
  <si>
    <t>6960107</t>
  </si>
  <si>
    <t>LANCIA KAPPA 1994-2001  СТ ВЕТР ЗЛ+ИНК</t>
  </si>
  <si>
    <t>6992740</t>
  </si>
  <si>
    <t>LANCIA KAPPA СД 1994-2001  СТ ЗАДН ГЛ+АНТ+ИНК</t>
  </si>
  <si>
    <t>6990063</t>
  </si>
  <si>
    <t>LANCIA KAPPA 1994-2001  СТ ПЕР ДВ ОП ЛВ ГЛ</t>
  </si>
  <si>
    <t>6990065</t>
  </si>
  <si>
    <t>LANCIA KAPPA 1994-2001  СТ ЗАДН ДВ ОП ЛВ ГЛ</t>
  </si>
  <si>
    <t>6992739</t>
  </si>
  <si>
    <t>LANCIA KAPPA СД 1996-2001 /УН 1996-2001  СТ ФОРТ ЗАДН НЕП ЛВ ЗЛ+ИНК</t>
  </si>
  <si>
    <t>6992737</t>
  </si>
  <si>
    <t>LANCIA KAPPA 1994-2001  СД 4Д СТ ФОРТ ЗАДН НЕП ЛВ ЗЛ+ИНК</t>
  </si>
  <si>
    <t>6990062</t>
  </si>
  <si>
    <t>LANCIA KAPPA 1994-2001  СТ ПЕР ДВ ОП ПР ГЛ</t>
  </si>
  <si>
    <t>6990064</t>
  </si>
  <si>
    <t>LANCIA KAPPA 1994-2001  СТ ЗАДН ДВ ОП ПР ГЛ</t>
  </si>
  <si>
    <t>6992738</t>
  </si>
  <si>
    <t>LANCIA KAPPA СД 1996-2001 /УН 1996-2001  СТ ФОРТ ЗАДН НЕП ПР ЗЛ+ИНК</t>
  </si>
  <si>
    <t>6992736</t>
  </si>
  <si>
    <t>LANCIA KAPPA 1994-2001 СД 4Д СТ ФОРТ ЗАДН НЕП ПР ЗЛ+ИНК</t>
  </si>
  <si>
    <t>LYBRA 1999-2005</t>
  </si>
  <si>
    <t>6961844</t>
  </si>
  <si>
    <t>LANCIA LYBRA 1999-2005  СТ ВЕТР ЗЛ+ИЗМ ДД</t>
  </si>
  <si>
    <t>6960156</t>
  </si>
  <si>
    <t>LANCIA LYBRA 1999-2005  СТ ВЕТР ЗЛЗЛ</t>
  </si>
  <si>
    <t>MUSA MPV 2004-</t>
  </si>
  <si>
    <t>6190097</t>
  </si>
  <si>
    <t>LANCIA MUSA МИН 2004-  СТ ВЕТР ЗЛ/FIAT IDEA 2003-/LANCIA MUSA 2004-  СТ ВЕТР ЗЛ</t>
  </si>
  <si>
    <t>6190801</t>
  </si>
  <si>
    <t>LANCIA MUSA МИН 2004-  СТ ВЕТР ЗЛЗЛ/FIAT IDEA МИН 2004- СТ ВЕТР ЗЛЗЛ</t>
  </si>
  <si>
    <t>6190098</t>
  </si>
  <si>
    <t>LANCIA MUSA МИН 2004-  СТ ВЕТР ЗЛ+ДД/FIAT IDEA 2003-/LANCIA MUSA 2004- СТ ВЕТР ЗЛ+ДД</t>
  </si>
  <si>
    <t>6190099</t>
  </si>
  <si>
    <t>LANCIA MUSA МИН 2004-  СТ ВЕТР ЗЛ+VIN/FIAT IDEA 2003-/LANCIA MUSA 2004- СТ ВЕТР ЗЛ+VIN</t>
  </si>
  <si>
    <t>6992866</t>
  </si>
  <si>
    <t>LANCIA MUSA МИН 2004-  СТ ЗАДН ТЗЛ+УО</t>
  </si>
  <si>
    <t>6992867</t>
  </si>
  <si>
    <t>LANCIA MUSA МИН 2004-  СТ ЗАДН ЗЛ УО</t>
  </si>
  <si>
    <t>6190100</t>
  </si>
  <si>
    <t>LANCIA MUSA MPV 2004-  СТ ЗАДН ДВ ОП ЛВ ТЗЛ+УО/LANCIA MUSA MPV 2004-  СТ ЗАДН ДВ ОП ЛВ ТЗЛ+УО</t>
  </si>
  <si>
    <t>6190101</t>
  </si>
  <si>
    <t>LANCIA MUSA MPV 2004-  СТ ЗАДН НЕП ЛВ ТЗЛ+ИНК/FIAT IDEA MPV 2004- СТ БОК НЕП ЛВ ТЗЛ+ИНК</t>
  </si>
  <si>
    <t>6190102</t>
  </si>
  <si>
    <t>LANCIA MUSA MPV 2004-  СТ ПЕР ДВ ОП ЛВ ЗЛ+УО/FIAT IDEA 2003-/LANCIA MUSA 2004- СТ ПЕР ДВ ОП ЛВ ЗЛ+УО</t>
  </si>
  <si>
    <t>6190103</t>
  </si>
  <si>
    <t>LANCIA MUSA MPV 2004-  СТ БОК ПЕР НЕП ЛВ ЗЛ+АНТ+УО/FIAT IDEA 2003-/LANCIA MUSA 2004- СТ ПЕР НЕП ЛВ ЗЛ+АНТ+УО</t>
  </si>
  <si>
    <t>6190104</t>
  </si>
  <si>
    <t>LANCIA MUSA MPV 2004-  СТ ЗАДН ДВ ОП ЛВ ЗЛ+УО/FIAT IDEA 2003-/LANCIA MUSA 2004- СТ ЗАДН ОП ЛВ ЗЛ+УО</t>
  </si>
  <si>
    <t>6190105</t>
  </si>
  <si>
    <t>LANCIA MUSA MPV 2004-  СТ БОК НЕП ЛВ ЗЛ+ИНК/FIAT IDEA 2003-/LANCIA MUSA 2004- СТ БОК НЕП ЛВ ЗЛ+ИНК</t>
  </si>
  <si>
    <t>6190106</t>
  </si>
  <si>
    <t>LANCIA MUSA MPV 2004-  СТ ЗАДН ДВ ОП ПР ТЗЛ+УО/LANCIA MUSA MPV 2004- СТ ЗАДН ДВ ОП ПР ТЗЛ+УО</t>
  </si>
  <si>
    <t>6190107</t>
  </si>
  <si>
    <t>LANCIA MUSA MPV 2004-  СТ ЗАДН НЕП ПР ТЗЛ+ИНК/FIAT IDEA MPV 2004- СТ БОК НЕП ПР ТЗЛ+ИНК</t>
  </si>
  <si>
    <t>6190108</t>
  </si>
  <si>
    <t>LANCIA MUSA MPV 2004-  СТ ПЕР ДВ ОП ПР ЗЛ+УО/FIAT IDEA 2003-/LANCIA MUSA 2004- СТ ПЕР ДВ ОП ПР ЗЛ+УО</t>
  </si>
  <si>
    <t>6190109</t>
  </si>
  <si>
    <t>LANCIA MUSA MPV 2004-  СТ БОК ПЕР ДВ НЕП ПР ЗЛ+УО/FIAT IDEA 2003-/LANCIA MUSA 2004- СТ ПЕР НЕП ПР ЗЛ+УО</t>
  </si>
  <si>
    <t>6190110</t>
  </si>
  <si>
    <t>LANCIA MUSA MPV 2004-  СТ ЗАДН ДВ ОП ПР ЗЛ+УО/FIAT IDEA 2003-/LANCIA MUSA 2004- СТ ЗАДН ОП ПР ЗЛ+УО</t>
  </si>
  <si>
    <t>6190111</t>
  </si>
  <si>
    <t>LANCIA MUSA MPV 2004-  СТ БОК НЕП ПР ЗЛ+УО/FIAT IDEA 2003-/LANCIA MUSA 2004- СТ БОК НЕП ПР ЗЛ+ИНК</t>
  </si>
  <si>
    <t>PHEDRA 2002-</t>
  </si>
  <si>
    <t>6960226</t>
  </si>
  <si>
    <t>LANCIA PHEDRA 2002-  СТ ВЕТР ГЛ+ДД+VIN+ИНК</t>
  </si>
  <si>
    <t>6961362</t>
  </si>
  <si>
    <t>LANCIA PHEDRA 2005/12- СТ ВЕТР ГЛ+VIN+ИНК+ИЗМ ДД</t>
  </si>
  <si>
    <t>6190096</t>
  </si>
  <si>
    <t>LANCIA PHEDRA 2005/12- СТ ВЕТР ЗЛ+ДД+VIN+ИНК/FIAT ULYSSE 2002- СТ ВЕТР ЗЛ+VIN+ИНК+ДД ИЗМ</t>
  </si>
  <si>
    <t>THEMA 1985-1994</t>
  </si>
  <si>
    <t>6960103</t>
  </si>
  <si>
    <t>1985-1995</t>
  </si>
  <si>
    <t>LANCIA THEMA СД+УН 1985-1994 СТ ВЕТР ГЛЗЛ</t>
  </si>
  <si>
    <t>6960072</t>
  </si>
  <si>
    <t>LANCIA THEMA СД+УН 1985-1994 СТ ВЕТР ЗЛЗЛ</t>
  </si>
  <si>
    <t>THESIS 2001-</t>
  </si>
  <si>
    <t>6961578</t>
  </si>
  <si>
    <t>LANCIA THESIS 2001-  СТ ВЕТР ГЛГЛ ЭО+ДД+УО</t>
  </si>
  <si>
    <t>6960122</t>
  </si>
  <si>
    <t>LANCIA THESIS 2001-  СТ ВЕТР ГЛ ЭО+ДД+УО</t>
  </si>
  <si>
    <t>6993473</t>
  </si>
  <si>
    <t>LANCIA THESIS СД 2002-  СТ ЗАДН ГЛ+АНТ+ТВ АНТ+СТОП+УО</t>
  </si>
  <si>
    <t>6993472</t>
  </si>
  <si>
    <t>LANCIA THESIS СД 2002-  СТ ЗАДН ГЛ+АНТ+СТОП+УО</t>
  </si>
  <si>
    <t>6990763</t>
  </si>
  <si>
    <t>LANCIA THESIS 2002-  СТ ЗАДН ДВ НЕП ЛВ ТГЛ+УО</t>
  </si>
  <si>
    <t>6960146</t>
  </si>
  <si>
    <t>LANCIA THESIS 2001-  СТ ЗАДН ДВ ОП ТРИПЛ ЛВ ТГЛ+УО</t>
  </si>
  <si>
    <t>6993471</t>
  </si>
  <si>
    <t>LANCIA THESIS 2002-  СТ ЗАДН ДВ ОП ЛВ ТГЛ+УО</t>
  </si>
  <si>
    <t>6993467</t>
  </si>
  <si>
    <t>LANCIA THESIS 2002-  СТ ПЕР ДВ ОП ЛВ ГЛ</t>
  </si>
  <si>
    <t>6960134</t>
  </si>
  <si>
    <t>LANCIA THESIS 2001-  СТ ПЕР ДВ ОП ТРИПЛ ЛВ ГЛ+УО</t>
  </si>
  <si>
    <t>6960142</t>
  </si>
  <si>
    <t>LANCIA THESIS 2001-  СТ ЗАДН ДВ ОП ТРИПЛ ЛВ ГЛ+УО</t>
  </si>
  <si>
    <t>6997245</t>
  </si>
  <si>
    <t>LANCIA THESIS 2002-  СТ ЗАДН ДВ ОП ЛВ ГЛ+УО</t>
  </si>
  <si>
    <t>6990481</t>
  </si>
  <si>
    <t>LANCIA THESIS 2002-  СТ ЗАДН ДВ НЕП ЛВ ГЛ+УО</t>
  </si>
  <si>
    <t>6991113</t>
  </si>
  <si>
    <t>LANCIA THESIS 2002-  СТ ЗАДН ДВ НЕП ПР ТГЛ+УО</t>
  </si>
  <si>
    <t>6960143</t>
  </si>
  <si>
    <t>LANCIA THESIS 2001-  СТ ЗАДН ДВ ОП ТРИПЛ ПР ТГЛ+УО</t>
  </si>
  <si>
    <t>6993470</t>
  </si>
  <si>
    <t>LANCIA THESIS 2002-  СТ ЗАДН ДВ ОП ПР ТГЛ+УО</t>
  </si>
  <si>
    <t>6993465</t>
  </si>
  <si>
    <t>LANCIA THESIS 2002-  СТ ПЕР ДВ ОП ПР ГЛ</t>
  </si>
  <si>
    <t>6960132</t>
  </si>
  <si>
    <t>LANCIA THESIS 2001-  СТ ПЕР ДВ ОП ТРИПЛ ПР ГЛ+УО</t>
  </si>
  <si>
    <t>6960141</t>
  </si>
  <si>
    <t>LANCIA THESIS 2001-  СТ ЗАДН ДВ ОП ТРИПЛ ПР ГЛ+УО</t>
  </si>
  <si>
    <t>6997244</t>
  </si>
  <si>
    <t>LANCIA THESIS 2002-  СТ ЗАДН ДВ ОП ПР ГЛ+УО</t>
  </si>
  <si>
    <t>6990399</t>
  </si>
  <si>
    <t>LANCIA THESIS 2002-  СТ ЗАДН ДВ НЕП ПР ГЛ+УО</t>
  </si>
  <si>
    <t>Y 1996-2003</t>
  </si>
  <si>
    <t>6960563</t>
  </si>
  <si>
    <t>LANCIA Y11 1996-2003  СТ ВЕТР ЗЛ</t>
  </si>
  <si>
    <t>6100108</t>
  </si>
  <si>
    <t>LANCIA Y11 1996-2003  МОЛД  ДЛЯ СТ ВЕТР ВЕРХ</t>
  </si>
  <si>
    <t>6996388</t>
  </si>
  <si>
    <t>LANCIA Y10 ХБ 1996-2003  СТ ЗАДН ГЛ+СТОП+УО</t>
  </si>
  <si>
    <t>6994713</t>
  </si>
  <si>
    <t>LANCIA Y11 1996-2003  СТ ПЕР ДВ ОП ЛВ ЗЛ+ФИТ</t>
  </si>
  <si>
    <t>6994715</t>
  </si>
  <si>
    <t>LANCIA Y11 1996-2003  СТ БОК ПОД ЛВ ЗЛ+ФИТ+ОТКР</t>
  </si>
  <si>
    <t>6994712</t>
  </si>
  <si>
    <t>LANCIA Y11 1996-2003  СТ ПЕР ДВ ОП ПР ЗЛ+ФИТ</t>
  </si>
  <si>
    <t>6994714</t>
  </si>
  <si>
    <t>LANCIA Y11 1996-2003  СТ БОК ПОД ПР ЗЛ+ФИТ+ОТКР</t>
  </si>
  <si>
    <t>Y10 1985-1995</t>
  </si>
  <si>
    <t>6960077</t>
  </si>
  <si>
    <t>LANCIA Y10 1985-1995  СТ ВЕТР</t>
  </si>
  <si>
    <t>6960105</t>
  </si>
  <si>
    <t>LANCIA Y10 1985-1995  СТ ВЕТР ЗЛ ИЗМ 1992</t>
  </si>
  <si>
    <t>6100399</t>
  </si>
  <si>
    <t>LANCIA Y10 1985-1995  МОЛД  ДЛЯ СТ ВЕТР</t>
  </si>
  <si>
    <t>6994701</t>
  </si>
  <si>
    <t>LANCIA Y10 ХБ 1985-1995  СТ ЗАДН ЭО ЗЛ ИЗМ 1992</t>
  </si>
  <si>
    <t>6990061</t>
  </si>
  <si>
    <t>LANCIA Y10 1985-1995  СТ ПЕР ДВ ОП ЛВ ЗЛ+ФИТ</t>
  </si>
  <si>
    <t>6990060</t>
  </si>
  <si>
    <t>LANCIA Y10 1985-1995  СТ ПЕР ДВ ОП ПР ЗЛ+ФИТ</t>
  </si>
  <si>
    <t>YPSILON 2003-</t>
  </si>
  <si>
    <t>6960553</t>
  </si>
  <si>
    <t>LANCIA YPSILON 2003-  СТ ВЕТР ЗЛ</t>
  </si>
  <si>
    <t>6961094</t>
  </si>
  <si>
    <t>LANCIA YPSILON 2003-  СТ ВЕТР ЗЛ+ДД</t>
  </si>
  <si>
    <t>Z (DZETA) 1995-2002</t>
  </si>
  <si>
    <t>6960567</t>
  </si>
  <si>
    <t>LANCIA Z (DZETA) 1995-2002  СТ ВЕТР ГЛ</t>
  </si>
  <si>
    <t>6190837</t>
  </si>
  <si>
    <t>LANCIA Z (DZETA) 1995-2002  СТ ВЕТР/CITROEN EVASION 1994- /PG JUMPY 1996-  СТ ВЕТР</t>
  </si>
  <si>
    <t>6190838</t>
  </si>
  <si>
    <t>LANCIA Z (DZETA) 1995-2002  СТ ВЕТР ЗЛ/CITROEN EVASION 1994- /PG JUMPY 1996-  СТ ВЕТР ЗЛ</t>
  </si>
  <si>
    <t>6100107</t>
  </si>
  <si>
    <t>LANCIA Z (DZETA) 1995-2002 МОЛД  ДЛЯ СТ ВЕТР</t>
  </si>
  <si>
    <t>6994703</t>
  </si>
  <si>
    <t>LANCIA Z (DZETA) МИН 1995-2002  СТ ЗАДН ЭО ГЛ ОТВ+СТОП</t>
  </si>
  <si>
    <t>6991205</t>
  </si>
  <si>
    <t>LANCIA Z (DZETA) 1995-2002  СТ ПЕР НЕП ЛВ ГЛ</t>
  </si>
  <si>
    <t>6994709</t>
  </si>
  <si>
    <t>LANCIA Z (DZETA) 1995-2002  СТ БОК ПОД ЛВ ГЛ+ОТКР</t>
  </si>
  <si>
    <t>6991204</t>
  </si>
  <si>
    <t>LANCIA Z (DZETA) 1995-2002  СТ ПЕР НЕП ПР ГЛ</t>
  </si>
  <si>
    <t>6994708</t>
  </si>
  <si>
    <t>LANCIA Z (DZETA) 1995-2002  СТ БОК ПОД ПР ГЛ+ОТКР</t>
  </si>
  <si>
    <t>ROVER</t>
  </si>
  <si>
    <t>DEFENDER 83-</t>
  </si>
  <si>
    <t>6963659</t>
  </si>
  <si>
    <t>1983-</t>
  </si>
  <si>
    <t>ROVER DEFENDER 1983- /COUNTY 1983-  СТ ВЕТР</t>
  </si>
  <si>
    <t>6101594</t>
  </si>
  <si>
    <t>ROVER DEFENDER 1983- /COUNTY 1983- РЕЗ ПРОФ ДЛЯ СТ ВЕТР</t>
  </si>
  <si>
    <t>LANDROVER</t>
  </si>
  <si>
    <t>DISCOVERY I 09.1989-02.1994</t>
  </si>
  <si>
    <t>6969932</t>
  </si>
  <si>
    <t>LANDROVER DISCOVERY 3Д+5Д 1989-1994 СТ ВЕТР ЗЛ</t>
  </si>
  <si>
    <t>6190412</t>
  </si>
  <si>
    <t>LANDROVER DISCOVERY 1989-1994 СТ ПЕР ДВ ОП ЛВ ЗЛ/RANGE ROVER 5Д 1970-1974 СТ ПЕР ДВ ОП ЛВ ЗЛ</t>
  </si>
  <si>
    <t>6190415</t>
  </si>
  <si>
    <t>LANDROVER DISCOVERY 1989-1994 СТ ПЕР ДВ ОП ПР ЗЛ/RANGE ROVER 5Д 1970-1974 СТ ПЕР ДВ ОП ПР ЗЛ+ЭО</t>
  </si>
  <si>
    <t>DISCOVERY 03.1994-1998</t>
  </si>
  <si>
    <t>6963577</t>
  </si>
  <si>
    <t>LANDROVER DISCOVERY 3Д+5Д 1994-1998  СТ ВЕТР ЗЛ+КР</t>
  </si>
  <si>
    <t>6963662</t>
  </si>
  <si>
    <t>LANDROVER DISCOVERY 3Д+5Д 06/1995-1998 СТ ВЕТР ЗЛ+КР</t>
  </si>
  <si>
    <t>6964092</t>
  </si>
  <si>
    <t>LANDROVER DISCOVERY 3Д+5Д 06/1995-1998  СТ ВЕТР ЗЛ ЭО</t>
  </si>
  <si>
    <t>6190705</t>
  </si>
  <si>
    <t>LANDROVER DISCOVERY 1994-1998 3Д СТ ПЕР ДВ ОП ЛВ ЗЛ/RANGE ROVER 5Д 1970-1974 СТ ПЕР ДВ ОП ЛВ ЗЛ</t>
  </si>
  <si>
    <t>6190708</t>
  </si>
  <si>
    <t>LANDROVER DISCOVERY 1994-1998 3Д СТ ПЕР ДВ ОП ПР ЗЛ/RANGE ROVER 5Д 1970-1974 СТ ПЕР ДВ ОП ПР ЗЛ+ЭО</t>
  </si>
  <si>
    <t>DISCOVERY II 10.1998-2004</t>
  </si>
  <si>
    <t>6963710</t>
  </si>
  <si>
    <t>LANDROVER DISCOVERY II 1998-2004  СТ ВЕТР ЗЛ</t>
  </si>
  <si>
    <t>6961157</t>
  </si>
  <si>
    <t>LANDROVER DISCOVERY II 1998-2004 СТ ВЕТР ЗЛ ЭО</t>
  </si>
  <si>
    <t>6963709</t>
  </si>
  <si>
    <t>LANDROVER DISCOVERY II 1998-2004 СТ ВЕТР ЭО ЗЛ ЭО VIN</t>
  </si>
  <si>
    <t>6998920</t>
  </si>
  <si>
    <t>LANDROVER DISCOVERY II ВН 1998-2004  СТ ЗАДН ЗЛ+СТОП+УО</t>
  </si>
  <si>
    <t>6995618</t>
  </si>
  <si>
    <t>LANDROVER DISCOVERY II 1998-2004  СТ ПЕР ДВ ОП ЛВ ЗЛ</t>
  </si>
  <si>
    <t>6995619</t>
  </si>
  <si>
    <t>LANDROVER DISCOVERY II 1998-2004  СТ ЗАДН ДВ ОП ЛВ ЗЛ</t>
  </si>
  <si>
    <t>6995623</t>
  </si>
  <si>
    <t>LANDROVER DISCOVERY II 1998-2004  СТ ПЕР ДВ ОП ПР ЗЛ</t>
  </si>
  <si>
    <t>6995624</t>
  </si>
  <si>
    <t>LANDROVER DISCOVERY II 1998-2004  СТ ЗАДН ДВ ОП ПР ЗЛ</t>
  </si>
  <si>
    <t>6900320</t>
  </si>
  <si>
    <t>LANDROVER DISCOVERY II 1998-2004  СТ ФОРТ ЗАДН НЕП ПР ЗЛ</t>
  </si>
  <si>
    <t>DISCOVERY III 2004-</t>
  </si>
  <si>
    <t>6961983</t>
  </si>
  <si>
    <t>LANDROVER DISCOVERY III L319 2004-  СТ ВЕТР ЗЛ ЭО+ДД+VIN+УО+ИЗМ КР</t>
  </si>
  <si>
    <t>6964960</t>
  </si>
  <si>
    <t>LANDROVER DISCOVERY III L319 2004-  СТ ВЕТР ЗЛ+ОБОГР</t>
  </si>
  <si>
    <t>6962206</t>
  </si>
  <si>
    <t>LANDROVER DISCOVERY III L319 2004-  СТ ВЕТР ЗЛ ЭО+VIN+УО</t>
  </si>
  <si>
    <t>6961783</t>
  </si>
  <si>
    <t>LANDROVER DISCOVERY III L319 2004-  СТ ВЕТР ЗЛ+ДД+VIN+УО+ИЗМ КР</t>
  </si>
  <si>
    <t>6961782</t>
  </si>
  <si>
    <t>LANDROVER DISCOVERY III L319 2004-  СТ ВЕТР ЗЛ+VIN+УО</t>
  </si>
  <si>
    <t>6900959</t>
  </si>
  <si>
    <t>LANDROVER DISCOVERY III L319 ВН 2004- СТЕК ЗАДН ЗЛ+АНТ</t>
  </si>
  <si>
    <t>6997004</t>
  </si>
  <si>
    <t>LANDROVER DISCOVERY III L319 2004-  СТ ЗАДН ДВ ОП ЛВ ТЗЛ+УО</t>
  </si>
  <si>
    <t>6996596</t>
  </si>
  <si>
    <t>LANDROVER DISCOVERY III L319 2004-  СТ БОК НЕП ЛВ ТЗЛ</t>
  </si>
  <si>
    <t>6996594</t>
  </si>
  <si>
    <t>LANDROVER DISCOVERY III L319 2004-  СТ ПЕР ДВ ОП ЛВ ЗЛ+УО</t>
  </si>
  <si>
    <t>6997005</t>
  </si>
  <si>
    <t>LANDROVER DISCOVERY III L319 2004- СТ ЗАДН ДВ ОП ЛВ ЗЛ+УО</t>
  </si>
  <si>
    <t>6996598</t>
  </si>
  <si>
    <t>LANDROVER DISCOVERY III L319 2004-  СТ БОК НЕП ЛВ ЗЛ</t>
  </si>
  <si>
    <t>6996597</t>
  </si>
  <si>
    <t>LANDROVER DISCOVERY III L319 2004-  СТ БОК НЕП ЛВ ЗЛ+АНТ+ТВ АНТ</t>
  </si>
  <si>
    <t>6996599</t>
  </si>
  <si>
    <t>LANDROVER DISCOVERY III L319 2004-  СТ БОК НЕП ПР ТЗЛ+АНТ+ТВ АНТ</t>
  </si>
  <si>
    <t>6996595</t>
  </si>
  <si>
    <t>LANDROVER DISCOVERY III L319 2004-  СТ ПЕР ДВ ОП ПР ЗЛ+УО</t>
  </si>
  <si>
    <t>6900841</t>
  </si>
  <si>
    <t>LANDROVER DISCOVERY III L319 2004- СТ ЗАДН ДВ ОП ПР ЗЛ+УО</t>
  </si>
  <si>
    <t>6997000</t>
  </si>
  <si>
    <t>LANDROVER DISCOVERY III L319 2004-  СТ БОК НЕП ПР ЗЛ+АНТ</t>
  </si>
  <si>
    <t>6997001</t>
  </si>
  <si>
    <t>LANDROVER DISCOVERY III L319 2004-  СТ БОК НЕП ПР ЗЛ+АНТ+ТВ АНТ</t>
  </si>
  <si>
    <t>FREELANDER 1997-</t>
  </si>
  <si>
    <t>6962034</t>
  </si>
  <si>
    <t>LANDROVER FREELANDER 1997-  СТ ВЕТР ЗЛ ЭО+VIN+УО</t>
  </si>
  <si>
    <t>6963332</t>
  </si>
  <si>
    <t>LANDROVER FREELANDER 1997-  СТ ВЕТР ЗЛ+VIN+ФИТ</t>
  </si>
  <si>
    <t>6100311</t>
  </si>
  <si>
    <t>LANDROVER FREELANDER 1997-  МОЛД ДЛЯ СТ ВЕТР  БЕЗ АЛЮМ ВСТ</t>
  </si>
  <si>
    <t>6998919</t>
  </si>
  <si>
    <t>LANDROVER FREELANDER ВН 1997-  СТ ЗАДН ЭО ЗЛ</t>
  </si>
  <si>
    <t>6980049</t>
  </si>
  <si>
    <t>LANDROVER FREELANDER ВН 1999-  СТ ЗАДН ЗЛ+ИЗМ ЭО</t>
  </si>
  <si>
    <t>6995606</t>
  </si>
  <si>
    <t>LANDROVER FREELANDER 1997-  СТ ПЕР ДВ ОП ЛВ ЗЛ</t>
  </si>
  <si>
    <t>6995608</t>
  </si>
  <si>
    <t>LANDROVER FREELANDER 2002-  3Д СТ ЗАДН НЕП ЛВ ЗЛ ОТКР+УО</t>
  </si>
  <si>
    <t>6995609</t>
  </si>
  <si>
    <t>6995610</t>
  </si>
  <si>
    <t>LANDROVER FREELANDER 1997-  СТ ЗАДН ДВ ОП ЛВ ЗЛ</t>
  </si>
  <si>
    <t>6995611</t>
  </si>
  <si>
    <t>LANDROVER FREELANDER 1997-  СТ БОК НЕП ЛВ ЗЛ</t>
  </si>
  <si>
    <t>6995612</t>
  </si>
  <si>
    <t>LANDROVER FREELANDER 1997-  СТ ПЕР ДВ ОП ПР ЗЛ</t>
  </si>
  <si>
    <t>6995613</t>
  </si>
  <si>
    <t>LANDROVER FREELANDER SOFTTOP 1997-  СТ ЗАДН НЕП ПР ЗЛ</t>
  </si>
  <si>
    <t>6995614</t>
  </si>
  <si>
    <t>LANDROVER FREELANDER 2002-  3Д СТ ЗАДН НЕП ПР ТЗЛ ОТКР+УО</t>
  </si>
  <si>
    <t>6995615</t>
  </si>
  <si>
    <t>6995616</t>
  </si>
  <si>
    <t>LANDROVER FREELANDER 1997-  СТ ЗАДН ДВ ОП ПР ЗЛ</t>
  </si>
  <si>
    <t>6995617</t>
  </si>
  <si>
    <t>LANDROVER FREELANDER 1997-  СТ БОК НЕП ПР ЗЛ</t>
  </si>
  <si>
    <t>FREELANDER 2006-</t>
  </si>
  <si>
    <t>6962613</t>
  </si>
  <si>
    <t>LANDROVER FREELANDER 2006-  СТ ВЕТР ЗЛ ЭО+ДД+VIN+УО</t>
  </si>
  <si>
    <t>6962614</t>
  </si>
  <si>
    <t>LANDROVER FREELANDER 2006-  СТ ВЕТР ЗЛ+ДД+VIN+УО</t>
  </si>
  <si>
    <t>6900786</t>
  </si>
  <si>
    <t>LANDROVER FREELANDER 2006- СТ ПЕР ДВ ОП ЛВ ЗЛ</t>
  </si>
  <si>
    <t>6900788</t>
  </si>
  <si>
    <t>LANDROVER FREELANDER 2006- СТ ЗАДН ДВ ОП ЛВ ЗЛ</t>
  </si>
  <si>
    <t>6900785</t>
  </si>
  <si>
    <t>LANDROVER FREELANDER 2006- СТ ПЕР ДВ ОП ПР ЗЛ</t>
  </si>
  <si>
    <t>6900787</t>
  </si>
  <si>
    <t>LANDROVER FREELANDER 2006- СТ ЗАДН ДВ ОП ПР ЗЛ</t>
  </si>
  <si>
    <t>RANGE</t>
  </si>
  <si>
    <t>RANGE ROVER SPORT L320 2005-</t>
  </si>
  <si>
    <t>6962264</t>
  </si>
  <si>
    <t>2005-2012</t>
  </si>
  <si>
    <t>RANGE ROVER L320 2005-  СТ ВЕТР ЗЛ ЭО+ДД+VIN+УО</t>
  </si>
  <si>
    <t>6962263</t>
  </si>
  <si>
    <t>RANGE ROVER L320 2005-  СТ ВЕТР ЗЛ ЭО+VIN+УО</t>
  </si>
  <si>
    <t>6961785</t>
  </si>
  <si>
    <t>RANGE ROVER L320 2005-  СТ ВЕТР ЗЛ+ДД+VIN+УО</t>
  </si>
  <si>
    <t>6961784</t>
  </si>
  <si>
    <t>RANGE ROVER L320 2005-  СТ ВЕТР ЗЛ+VIN+УО</t>
  </si>
  <si>
    <t>6997008</t>
  </si>
  <si>
    <t>RANGE ROVER L320 2005-  СТ ЗАДН ДВ ОП ЛВ ТЗЛ+УО</t>
  </si>
  <si>
    <t>6997006</t>
  </si>
  <si>
    <t>RANGE ROVER L320 2005-  СТ ПЕР ДВ ОП ЛВ ЗЛ+УО</t>
  </si>
  <si>
    <t>6997011</t>
  </si>
  <si>
    <t>6997012</t>
  </si>
  <si>
    <t>RANGE ROVER L320 2005-  СТ ЗАДН ДВ ОП ПР ТЗЛ+УО</t>
  </si>
  <si>
    <t>6997007</t>
  </si>
  <si>
    <t>RANGE ROVER L320 2005-  СТ ПЕР ДВ ОП ПР ЗЛ+УО</t>
  </si>
  <si>
    <t>6997013</t>
  </si>
  <si>
    <t>RANGE ROVER L320 2005-  СТ ЗАДН ДВ ОП ПР ЗЛ+УО</t>
  </si>
  <si>
    <t>RANGE ROVER 1970-1988</t>
  </si>
  <si>
    <t>6969915</t>
  </si>
  <si>
    <t>1970-1988</t>
  </si>
  <si>
    <t>RANGE ROVER 1970-1988 СТ ВЕТР ЗЛ</t>
  </si>
  <si>
    <t>6999281</t>
  </si>
  <si>
    <t>1970-1994</t>
  </si>
  <si>
    <t>RANGE ROVER 5Д 1970-1974 СТ ПЕР ДВ ОП ЛВ ЗЛ/LANDROVER DISCOVERY + 1989-1994 СТ ПЕР ДВ ОП ЛВ ЗЛ</t>
  </si>
  <si>
    <t>6999284</t>
  </si>
  <si>
    <t>RANGE ROVER 5Д 1970-1974 СТ ПЕР ДВ ОП ПР ЗЛ+ЭО/LANDROVER DISCOVERY + 1989-1994 СТ ПЕР ДВ ОП ПР ЗЛ</t>
  </si>
  <si>
    <t>RANGE ROVER 09.1994-2002</t>
  </si>
  <si>
    <t>6963708</t>
  </si>
  <si>
    <t>RANGE ROVER 09/1994-2002  СТ ВЕТР ЗЛ+ЭО+VIN</t>
  </si>
  <si>
    <t>6963330</t>
  </si>
  <si>
    <t>RANGE ROVER 09/1994-2002  СТ ВЕТР ЗЛ+КР+VIN/RANGE ROVER 1994-2002- СТ ВЕТР ЗЛ+КР+VIN</t>
  </si>
  <si>
    <t>6962166</t>
  </si>
  <si>
    <t>RANGE ROVER 09/1999-2002 СТ ВЕТР ЗЛ+КР+VIN+ЭО</t>
  </si>
  <si>
    <t>6962459</t>
  </si>
  <si>
    <t>RANGE ROVER 09/1999-2002 СТ ВЕТР ЗЛ+КР+VIN</t>
  </si>
  <si>
    <t>6101200</t>
  </si>
  <si>
    <t>RANGE ROVER 09/1994-2002  НАБ КЛИПС ДЛЯ СТ ВЕТР</t>
  </si>
  <si>
    <t>6100185</t>
  </si>
  <si>
    <t>RANGE ROVER 09/1994-2002  МОЛД  ДЛЯ СТ ВЕТР ВЕРХ</t>
  </si>
  <si>
    <t>6998916</t>
  </si>
  <si>
    <t>RANGE ROVER ВН 09/1994-2002 СТ ЗАДН ЗЛ+УО</t>
  </si>
  <si>
    <t>6995595</t>
  </si>
  <si>
    <t>RANGE ROVER 09/1994-2002 СТ ПЕР ДВ ОП ЛВ ЗЛ+УО</t>
  </si>
  <si>
    <t>6995596</t>
  </si>
  <si>
    <t>RANGE ROVER 09/1994-2002 СТ ЗАДН ДВ ОП ЛВ ЗЛ+УО</t>
  </si>
  <si>
    <t>6995458</t>
  </si>
  <si>
    <t>RANGE ROVER 09/1994-2002 СТ ФОРТ ЗАДН НЕП ЛВ ЗЛ</t>
  </si>
  <si>
    <t>6995599</t>
  </si>
  <si>
    <t>RANGE ROVER 09/1994-2002 СТ ПЕР ДВ ОП ПР ЗЛ+УО</t>
  </si>
  <si>
    <t>6995600</t>
  </si>
  <si>
    <t>RANGE ROVER 09/1994-2002 СТ ЗАДН ДВ ОП ПР ЗЛ+УО</t>
  </si>
  <si>
    <t>6995459</t>
  </si>
  <si>
    <t>RANGE ROVER 09/1994-2002 СТ ФОРТ ЗАДН НЕП ПР ЗЛ</t>
  </si>
  <si>
    <t>RANGE ROVER 2002-</t>
  </si>
  <si>
    <t>6963024</t>
  </si>
  <si>
    <t>RANGE ROVER 11/2006- СТ ВЕТР ЗЛЗЛ+ЭО+ДД+VIN+ИЗМ ДД</t>
  </si>
  <si>
    <t>6964758</t>
  </si>
  <si>
    <t>RANGE ROVER 2007- СТ ВЕТР ЗЛЗЛ АКУСТИК+ЭО+ДД+VIN</t>
  </si>
  <si>
    <t>6962079</t>
  </si>
  <si>
    <t>RANGE ROVER 2002-2004  СТ ВЕТР ЗЛЗЛ ЭО+ДД+VIN+ИЗМ ШЕЛК</t>
  </si>
  <si>
    <t>6962228</t>
  </si>
  <si>
    <t>RANGE ROVER 11/2006-  СТ ВЕТР ЗЛЗЛ ЭО+ДД+VIN+ИЗМ ДД</t>
  </si>
  <si>
    <t>6962316</t>
  </si>
  <si>
    <t>RANGE ROVER 2002-  СТ ВЕТР ЗЛЗЛ+VIN+ЭО</t>
  </si>
  <si>
    <t>6102376</t>
  </si>
  <si>
    <t>RANGE ROVER 2002-  МОЛД ДЛЯ СТ ВЕТР ВЕРХ</t>
  </si>
  <si>
    <t>6900528</t>
  </si>
  <si>
    <t>RANGE ROVER ВН 2002-  СТ ЗАДН ЗЛ+АНТ</t>
  </si>
  <si>
    <t>6900529</t>
  </si>
  <si>
    <t>RANGE ROVER ВН 2004-  СТ ЗАДН ЗЛ+АНТ</t>
  </si>
  <si>
    <t>6999996</t>
  </si>
  <si>
    <t>RANGE ROVER 2002-  СТ ПЕР ДВ ОП ЛВ ЗЛ</t>
  </si>
  <si>
    <t>6900187</t>
  </si>
  <si>
    <t>RANGE ROVER 2002-  СТ ЗАДН ДВ ОП ЛВ ЗЛ</t>
  </si>
  <si>
    <t>6900302</t>
  </si>
  <si>
    <t>RANGE ROVER 2002-  СТ ФОРТ ЗАДН НЕП ЛВ ЗЛ</t>
  </si>
  <si>
    <t>6900085</t>
  </si>
  <si>
    <t>RANGE ROVER 2002-  СТ ПЕР ДВ ОП ПР ЗЛ</t>
  </si>
  <si>
    <t>6900271</t>
  </si>
  <si>
    <t>RANGE ROVER 2002-  СТ ЗАДН ДВ ОП ПР ЗЛ</t>
  </si>
  <si>
    <t>6900321</t>
  </si>
  <si>
    <t>RANGE ROVER 2002-  СТ ФОРТ ЗАДН НЕП ПР ЗЛ</t>
  </si>
  <si>
    <t>RANGE ROVER EVOQUE 11</t>
  </si>
  <si>
    <t>6965862</t>
  </si>
  <si>
    <t>RANGE ROVER EVOQUE 11 СТ ВЕТР ЗЛ+ДД+VIN</t>
  </si>
  <si>
    <t>LEXUS</t>
  </si>
  <si>
    <t>RX300/RX330/RX400 1997-2003</t>
  </si>
  <si>
    <t>6962155</t>
  </si>
  <si>
    <t>LEXUS RX300 LHD 1997-2003  СТ ВЕТР ЗЛГЛ+VIN</t>
  </si>
  <si>
    <t>6102148</t>
  </si>
  <si>
    <t>LEXUS RX300 LHD 1997-2003   МОЛД  ДЛЯ СТ ВЕТР ВЕРХ</t>
  </si>
  <si>
    <t>RX300/RX330/RX400 2003-2009</t>
  </si>
  <si>
    <t>6961807</t>
  </si>
  <si>
    <t>LEXUS RX300 LHD 2003-  / RX400H 2005- СТ ВЕТР ЗЛЗЛ+ЭО+ДД+VIN</t>
  </si>
  <si>
    <t>6961805</t>
  </si>
  <si>
    <t>LEXUS RX300 LHD 2003-  / RX400H 2005-  СТ ВЕТР ЗЛЗЛ+VIN</t>
  </si>
  <si>
    <t>6102149</t>
  </si>
  <si>
    <t>LEXUS RX300 2003-  / RX400 2005-  МОЛД  ДЛЯ СТ ВЕТР</t>
  </si>
  <si>
    <t>TOYOTA</t>
  </si>
  <si>
    <t>GS300 1997-2000</t>
  </si>
  <si>
    <t>6962965</t>
  </si>
  <si>
    <t>TOYOTA LEXUS GS300 RHD 1997-2000  СТ ВЕТР ЗЛГЛ</t>
  </si>
  <si>
    <t>GS300 LHD 1993-1997</t>
  </si>
  <si>
    <t>6962219</t>
  </si>
  <si>
    <t>TOYOTA LEXUS GS300 LHD 1993-1997  СТ ВЕТР СР</t>
  </si>
  <si>
    <t>6962957</t>
  </si>
  <si>
    <t>TOYOTA LEXUS GS300 LHD 1993-1997  СТ ВЕТР СРСР</t>
  </si>
  <si>
    <t>GS300/430 LHD 2000-2005</t>
  </si>
  <si>
    <t>6962180</t>
  </si>
  <si>
    <t>TOYOTA LEXUS GS300/430 LHD 2000-2005  СТ ВЕТР ЗЛГЛ</t>
  </si>
  <si>
    <t>GS300/GS430 LHD 2005-</t>
  </si>
  <si>
    <t>6961519</t>
  </si>
  <si>
    <t>TOYOTA LEXUS GS300/GS430 LHD 2005-  СТ ВЕТР ЗЛЗЛ+ДД+VIN+УО+ИЗМ ШЕЛК</t>
  </si>
  <si>
    <t>6961579</t>
  </si>
  <si>
    <t>TOYOTA LEXUS GS300/GS430 LHD 2005-  СТ ВЕТР ЗЛЗЛ+VIN+УО</t>
  </si>
  <si>
    <t>6102633</t>
  </si>
  <si>
    <t>TOYOTA LEXUS GS300/GS430 2005- МОЛД ДЛЯ СТ ВЕТР ВЕРХ 1164m</t>
  </si>
  <si>
    <t>IS200 1999-2005</t>
  </si>
  <si>
    <t>6962696</t>
  </si>
  <si>
    <t>TOYOTA LEXUS IS200 1999-2005 СТ ВЕТР ЗЛ+ЭО</t>
  </si>
  <si>
    <t>6960780</t>
  </si>
  <si>
    <t>TOYOTA LEXUS IS200 1999-2005 СТ ВЕТР ЗЛ+VIN</t>
  </si>
  <si>
    <t>6101691</t>
  </si>
  <si>
    <t>TOYOTA LEXUS IS200 1999-2005 МОЛД  ДЛЯ СТ ВЕТР</t>
  </si>
  <si>
    <t>LS400 1995-2000</t>
  </si>
  <si>
    <t>6962958</t>
  </si>
  <si>
    <t>TOYOTA LEXUS LS400 1995-2000  СТ ВЕТР СРСР</t>
  </si>
  <si>
    <t>GX470 2003-</t>
  </si>
  <si>
    <t>6963027</t>
  </si>
  <si>
    <t>TOYOTA LEXUS GX470 2003- СТ ВЕТР ЗЛЗЛ+ДД+VIN</t>
  </si>
  <si>
    <t>6101580</t>
  </si>
  <si>
    <t>TOYOTA LEXUS GX470 2003- МОЛД  ДЛЯ СТ ВЕТР ВЕРХ</t>
  </si>
  <si>
    <t>6902113</t>
  </si>
  <si>
    <t>TOYOTA LANDCRUISER 2003- СТ ЗАДН ЗЛ+УО</t>
  </si>
  <si>
    <t>6902114</t>
  </si>
  <si>
    <t>TOYOTA LANDCRUISER 2003- СТ ЗАДН ЗЛ+УО+ИЗМ Р</t>
  </si>
  <si>
    <t>LEXUS IS200 LHD 2005-</t>
  </si>
  <si>
    <t>6961589</t>
  </si>
  <si>
    <t>TOYOTA LEXUS IS200 LHD 2005- СТ ВЕТР ЗЛ ЭО+ДД+VIN</t>
  </si>
  <si>
    <t>6961590</t>
  </si>
  <si>
    <t>TOYOTA LEXUS IS200 LHD 2005- СТ ВЕТР ЗЛ+VIN</t>
  </si>
  <si>
    <t>LEXUS LS460 2007-</t>
  </si>
  <si>
    <t>6962851</t>
  </si>
  <si>
    <t>TOYOTA LEXUS LS460 LHD 2007- СТ ВЕТР ЗЛГЛ ЭО+ДД+VIN+ИНК</t>
  </si>
  <si>
    <t>6962714</t>
  </si>
  <si>
    <t>TOYOTA LEXUS LS460 LHD 2007- СТ ВЕТР ЗЛЗЛ ЭО+ДД+ИНК+VIN</t>
  </si>
  <si>
    <t>MAGIRUS</t>
  </si>
  <si>
    <t>EUROCARGO 1991-</t>
  </si>
  <si>
    <t>6190173</t>
  </si>
  <si>
    <t>1991-</t>
  </si>
  <si>
    <t>MAGIRUS EUROCARGO 1991-  СТ ВЕТР/FORD EUROCARGO 1991-2003 СТ ВЕТР</t>
  </si>
  <si>
    <t>MAN</t>
  </si>
  <si>
    <t>11-38 1971-1987</t>
  </si>
  <si>
    <t>6963463</t>
  </si>
  <si>
    <t>1971-1987</t>
  </si>
  <si>
    <t>MAN LKW 11 38 1971-1987 СТ ВЕТР</t>
  </si>
  <si>
    <t>6101038</t>
  </si>
  <si>
    <t>MAN LKW 11 38 1971-1987 РЕЗ ПРОФ ДЛЯ СТ ВЕТР</t>
  </si>
  <si>
    <t>6996734</t>
  </si>
  <si>
    <t>MAN LKW 11 38 1971-1987 СТ ПЕР ДВ ОП</t>
  </si>
  <si>
    <t>F90 LARGE 1986-</t>
  </si>
  <si>
    <t>6967390</t>
  </si>
  <si>
    <t>MAN F90 1986-  СТ ВЕТР БОЛ</t>
  </si>
  <si>
    <t>6967391</t>
  </si>
  <si>
    <t>MAN F90 1986-  СТ ВЕТР БОЛ ЗЛ</t>
  </si>
  <si>
    <t>6967392</t>
  </si>
  <si>
    <t>MAN F90 1986-  СТ ВЕТР БОЛ ЗЛЗЛ</t>
  </si>
  <si>
    <t>6101258</t>
  </si>
  <si>
    <t>MAN F90 1986- РЕЗ ПРОФ ДЛЯ СТ ВЕТР</t>
  </si>
  <si>
    <t>6100613</t>
  </si>
  <si>
    <t>MAN F2000 LARGE 1997- РЕЗ ПРОФ ДЛЯ СТ ВЕТР</t>
  </si>
  <si>
    <t>6190226</t>
  </si>
  <si>
    <t>MAN F90 1986-  СТ ПЕР ДВ ОП/MAN F90 1986-  СТ ПЕР ДВ ОП</t>
  </si>
  <si>
    <t>6190227</t>
  </si>
  <si>
    <t>MAN F90 LARGE 1986-  СТ ФОРТ ПЕР НЕП/MAN F90 1986-  СТ ФОРТ ПЕР ДВ</t>
  </si>
  <si>
    <t>F90 SMALL 1986-</t>
  </si>
  <si>
    <t>6963464</t>
  </si>
  <si>
    <t>MAN F90 1986-  СТ ВЕТР</t>
  </si>
  <si>
    <t>6963465</t>
  </si>
  <si>
    <t>MAN F90 1986-  СТ ВЕТР ЗЛ</t>
  </si>
  <si>
    <t>6963221</t>
  </si>
  <si>
    <t>MAN F90 1986-  СТ ВЕТР ЗЛЗЛ</t>
  </si>
  <si>
    <t>6101224</t>
  </si>
  <si>
    <t>6100614</t>
  </si>
  <si>
    <t>6996736</t>
  </si>
  <si>
    <t>6994185</t>
  </si>
  <si>
    <t>MAN F90 1986-  СТ ФОРТ ПЕР ДВ/MAN F90 LARGE 1986-  СТ ФОРТ ПЕР НЕП</t>
  </si>
  <si>
    <t>HG 1980-2000</t>
  </si>
  <si>
    <t>6963557</t>
  </si>
  <si>
    <t>1980-2000</t>
  </si>
  <si>
    <t>MAN HG 1980-2000  СТ ВЕТР</t>
  </si>
  <si>
    <t>L2000 02/1997- 2000</t>
  </si>
  <si>
    <t>6960023</t>
  </si>
  <si>
    <t>MAN L2000 02/1997-2000  СТ ВЕТР</t>
  </si>
  <si>
    <t>L2000 1993-1997</t>
  </si>
  <si>
    <t>6963466</t>
  </si>
  <si>
    <t>MAN L2000 1993-1997  СТ ВЕТР/ERF ES SER 1988-  СТ ВЕТР</t>
  </si>
  <si>
    <t>6961043</t>
  </si>
  <si>
    <t>MAN L2000 1993-1997  СТ ВЕТР ЗЛ</t>
  </si>
  <si>
    <t>6963789</t>
  </si>
  <si>
    <t>MAN L2000 1993-1997  СТ ВЕТР ЗЛЗЛ</t>
  </si>
  <si>
    <t>6100111</t>
  </si>
  <si>
    <t>MAN L2000 1993-1997  РЕЗ ПРОФ ДЛЯ СТ ВЕТР</t>
  </si>
  <si>
    <t>6994122</t>
  </si>
  <si>
    <t>MAN L2000 1993-1997  СТ ПЕР ДВ ОП ЛВ</t>
  </si>
  <si>
    <t>6994123</t>
  </si>
  <si>
    <t>MAN L2000 1993-1997  СТ ФОРТ ПЕР ДВ ЛВ</t>
  </si>
  <si>
    <t>6994124</t>
  </si>
  <si>
    <t>MAN L2000 1993-1997  СТ ПЕР ДВ ОП ПР</t>
  </si>
  <si>
    <t>6994125</t>
  </si>
  <si>
    <t>MAN L2000 1993-1997  СТ ФОРТ ПЕР ДВ ПР</t>
  </si>
  <si>
    <t>TG SLEEPER КБ 2000-</t>
  </si>
  <si>
    <t>6961072</t>
  </si>
  <si>
    <t>MAN TG SLEEPER КБ 2000- СТ ВЕТР ЗЛ</t>
  </si>
  <si>
    <t>6961073</t>
  </si>
  <si>
    <t>MAN TG SLEEPER КБ 2000- СТ ВЕТР ЗЛЗЛ</t>
  </si>
  <si>
    <t>TG STANDARD КБ 2000-</t>
  </si>
  <si>
    <t>6961250</t>
  </si>
  <si>
    <t>MAN TG STAND КБ 2000- NARROW BODY СТ ВЕТР</t>
  </si>
  <si>
    <t>6961035</t>
  </si>
  <si>
    <t>MAN TG STAND КБ 2000- NARROW BODY СТ ВЕТР ЗЛ</t>
  </si>
  <si>
    <t>6961916</t>
  </si>
  <si>
    <t>MAN TG STAND КБ 2000- NARROW BODY СТ ВЕТР ЗЛЗЛ</t>
  </si>
  <si>
    <t>6101110</t>
  </si>
  <si>
    <t>MAN TG STAND КБ 2000- УСТ КОМПЛ ДЛЯ СТ ВЕТР</t>
  </si>
  <si>
    <t>6961104</t>
  </si>
  <si>
    <t>MAN TG STAND КБ 2000- WIDE BODY СТ ВЕТР</t>
  </si>
  <si>
    <t>6961070</t>
  </si>
  <si>
    <t>MAN TG STAND КБ 2000- WIDE BODY СТ ВЕТР ЗЛ</t>
  </si>
  <si>
    <t>6961071</t>
  </si>
  <si>
    <t>MAN TG STAND КБ 2000- WIDE BODY СТ ВЕТР ЗЛЗЛ</t>
  </si>
  <si>
    <t>6999974</t>
  </si>
  <si>
    <t>MAN TG STAND КБ 2000- NARROW BODY СТ ПЕР ДВ ОП ЛВ</t>
  </si>
  <si>
    <t>6999975</t>
  </si>
  <si>
    <t>MAN TG STAND КБ 2000- NARROW BODY СТ ПЕР ДВ ОП ЛВ ЗЛ</t>
  </si>
  <si>
    <t>6900062</t>
  </si>
  <si>
    <t>MAN TG STAND КБ 2000- NARROW BODY СТ ПЕР ДВ ОП ПР</t>
  </si>
  <si>
    <t>6900063</t>
  </si>
  <si>
    <t>MAN TG STAND КБ 2000- NARROW BODY СТ ПЕР ДВ ОП ПР ЗЛ</t>
  </si>
  <si>
    <t>MARUTTI</t>
  </si>
  <si>
    <t>800 1986-1988</t>
  </si>
  <si>
    <t>6190516</t>
  </si>
  <si>
    <t>1986-1988</t>
  </si>
  <si>
    <t>MARUTTI 800 1986-1988 СТ ВЕТР/SUZUKI ALTO 1986-1988 СТ ВЕТР</t>
  </si>
  <si>
    <t>MAZDA</t>
  </si>
  <si>
    <t>2 (DEMIO) 2003-</t>
  </si>
  <si>
    <t>6961996</t>
  </si>
  <si>
    <t>MAZDA 2 ЛВРУЛЬ 2003-  СТ ВЕТР ЗЛГЛ+УО</t>
  </si>
  <si>
    <t>6962249</t>
  </si>
  <si>
    <t>MAZDA 2 ПРРУЛЬ 2003-  СТ ВЕТР ЗЛ +VIN+УО</t>
  </si>
  <si>
    <t>6961095</t>
  </si>
  <si>
    <t>MAZDA 2 ЛВРУЛЬ 2003-  СТ ВЕТР ЗЛ+УО</t>
  </si>
  <si>
    <t>6102346</t>
  </si>
  <si>
    <t>MAZDA 2 2003- МОЛД  ДЛЯ СТ ВЕТР</t>
  </si>
  <si>
    <t>6102100</t>
  </si>
  <si>
    <t>MAZDA 2 2003- МОЛД  ДЛЯ СТ ВЕТР ВЕРХ</t>
  </si>
  <si>
    <t>6993974</t>
  </si>
  <si>
    <t>MAZDA 2 МИН 2003-  СТ ЗАДН ЗЛ+УО</t>
  </si>
  <si>
    <t>6995904</t>
  </si>
  <si>
    <t>MAZDA 2 2003-  СТ ПЕР ДВ ОП ЛВ ЗЛ</t>
  </si>
  <si>
    <t>6900173</t>
  </si>
  <si>
    <t>MAZDA 2 2003-  СТ ЗАДН ДВ ОП ЛВ ЗЛ</t>
  </si>
  <si>
    <t>6997020</t>
  </si>
  <si>
    <t>MAZDA 2 2003-  СТ ФОРТ ЗАДН НЕП ЛВ ЗЛ</t>
  </si>
  <si>
    <t>6995905</t>
  </si>
  <si>
    <t>MAZDA 2 2003-  СТ ПЕР ДВ ОП ПР ЗЛ</t>
  </si>
  <si>
    <t>6900255</t>
  </si>
  <si>
    <t>MAZDA 2 2003-  СТ ЗАДН ДВ ОП ПР ЗЛ</t>
  </si>
  <si>
    <t>6997021</t>
  </si>
  <si>
    <t>MAZDA 2 2003-  СТ ФОРТ ЗАДН НЕП ПР ЗЛ</t>
  </si>
  <si>
    <t>2 5Д ХБ 2007-</t>
  </si>
  <si>
    <t>6962816</t>
  </si>
  <si>
    <t>MAZDA 2 5Д HBK 2007- СТ ВЕТР ЗЛ+УО</t>
  </si>
  <si>
    <t>6900826</t>
  </si>
  <si>
    <t>MAZDA 2 5Д HBK 2007- СТ ПЕР ДВ ОП ЛВ ЗЛ</t>
  </si>
  <si>
    <t>6900827</t>
  </si>
  <si>
    <t>MAZDA 2 5Д HBK 2007- СТ ЗАДН ДВ ОП ЛВ ЗЛ</t>
  </si>
  <si>
    <t>6900790</t>
  </si>
  <si>
    <t>MAZDA 2 5Д HBK 2007- СТ ПЕР ДВ ОП ПР ЗЛ</t>
  </si>
  <si>
    <t>6900828</t>
  </si>
  <si>
    <t>MAZDA 2 5Д HBK 2007- СТ ЗАДН ДВ ОП ПР ЗЛ</t>
  </si>
  <si>
    <t>3 СД/ХБ 2003-</t>
  </si>
  <si>
    <t>6961023</t>
  </si>
  <si>
    <t>MAZDA 3 ХБ+СЕД 2003-2006 СТ ВЕТР ЗЛ+УО</t>
  </si>
  <si>
    <t>6961997</t>
  </si>
  <si>
    <t>MAZDA 3 ХБ+СЕД 2003-2006  СТ ВЕТР ЗЛГЛ+УО</t>
  </si>
  <si>
    <t>6964856</t>
  </si>
  <si>
    <t>MAZDA 3 ХБ+СЕД 2006- СТ ВЕТР ЗЛ+УО</t>
  </si>
  <si>
    <t>6964844</t>
  </si>
  <si>
    <t>MAZDA 3 ХБ+СЕД 2006- СТ ВЕТР ЗЛГЛ+УО+ИЗМ ШЕЛК</t>
  </si>
  <si>
    <t>6962271</t>
  </si>
  <si>
    <t>MAZDA 3 ХБ+СЕД 2003-  СТ ВЕТР ЗЛ+ДД</t>
  </si>
  <si>
    <t>6961251</t>
  </si>
  <si>
    <t>MAZDA 3 ХБ+СЕД 2003-  СТ ВЕТР ЗЛ+ДД+УО</t>
  </si>
  <si>
    <t>6962640</t>
  </si>
  <si>
    <t>MAZDA 3 ХБ+СЕД 2006-  СТ ВЕТР ЗЛ+ДД+УО</t>
  </si>
  <si>
    <t>6962247</t>
  </si>
  <si>
    <t>MAZDA 3 ХБ+СЕД 2006-  СТ ВЕТР ЗЛ+УО</t>
  </si>
  <si>
    <t>6101651</t>
  </si>
  <si>
    <t>MAZDA 3 ХБ+СЕД 2003- МОЛД  ДЛЯ СТ ВЕТР</t>
  </si>
  <si>
    <t>6999906</t>
  </si>
  <si>
    <t>MAZDA 3 ХБ 2003-  СТ ЗАДН ДВ ЗЛ</t>
  </si>
  <si>
    <t>6993659</t>
  </si>
  <si>
    <t>MAZDA 3 СД 2003-  СТ ЗАДН ЗЛ+УО</t>
  </si>
  <si>
    <t>6993660</t>
  </si>
  <si>
    <t>MAZDA 3 ХБ 5Д 2003-  СТ ПЕР ДВ ОП ЛВ ЗЛ</t>
  </si>
  <si>
    <t>6999069</t>
  </si>
  <si>
    <t>MAZDA 3 ХБ 2003-  СТ ЗАДН ДВ ОП ЛВ ЗЛ</t>
  </si>
  <si>
    <t>6900336</t>
  </si>
  <si>
    <t>MAZDA 3 ХБ 2003-  СТ БОК НЕП ЛВ ЗЛ+ИНК</t>
  </si>
  <si>
    <t>6993661</t>
  </si>
  <si>
    <t>MAZDA 3 СЕД 2003-  СТ ЗАДН ДВ ОП ЛВ ЗЛ</t>
  </si>
  <si>
    <t>6993662</t>
  </si>
  <si>
    <t>MAZDA 3 СЕД 2003-  СТ ЗАДН ДВ НЕП ЛВ ЗЛ</t>
  </si>
  <si>
    <t>6993663</t>
  </si>
  <si>
    <t>MAZDA 3 ХБ 5Д 2003-  СТ ПЕР ДВ ОП ПР ЗЛ</t>
  </si>
  <si>
    <t>6999070</t>
  </si>
  <si>
    <t>MAZDA 3 ХБ 2003-  СТ ЗАДН ДВ ОП ПР ЗЛ</t>
  </si>
  <si>
    <t>6900350</t>
  </si>
  <si>
    <t>MAZDA 3 ХБ 2003-  СТ БОК НЕП ПР ЗЛ+ИНК</t>
  </si>
  <si>
    <t>6993664</t>
  </si>
  <si>
    <t>MAZDA 3 СЕД 2003-  СТ ЗАДН ДВ ОП ПР ЗЛ</t>
  </si>
  <si>
    <t>6993665</t>
  </si>
  <si>
    <t>MAZDA 3 СЕД 2003-  СТ ЗАДН ДВ НЕП ПР ЗЛ</t>
  </si>
  <si>
    <t>3 5Д ХБ СД 2009-</t>
  </si>
  <si>
    <t>6964952</t>
  </si>
  <si>
    <t>MAZDA 3 2009- СТ ВЕТР ЗЛ+ДО</t>
  </si>
  <si>
    <t>6964909</t>
  </si>
  <si>
    <t>MAZDA 3 2009- СТ ВЕТР ЗЛ+ДД+ДО</t>
  </si>
  <si>
    <t>6901444</t>
  </si>
  <si>
    <t>MAZDA 3 ХБ 5Д 2009- СТ ПЕР ДВ ОП ЛВ ЗЛ</t>
  </si>
  <si>
    <t>6901266</t>
  </si>
  <si>
    <t>MAZDA 3 ХБК 5Д 2009- СТ ЗАДН ДВ ОП ЛВ ЗЛ</t>
  </si>
  <si>
    <t>6901554</t>
  </si>
  <si>
    <t>MAZDA 3 ХБ 5Д 2009- ФОРТ ЗАДН НЕП ЛВ ЗЛ</t>
  </si>
  <si>
    <t>6901270</t>
  </si>
  <si>
    <t>MAZDA 3 СЕД 2009- СТ ЗАДН ДВ ОП ЛВ ЗЛ</t>
  </si>
  <si>
    <t>6901274</t>
  </si>
  <si>
    <t>MAZDA 3 СЕД 2009- ФОРТ ЗАДН НЕП ЛВ ЗЛ</t>
  </si>
  <si>
    <t>6901268</t>
  </si>
  <si>
    <t>MAZDA 3 5Д ХБ 2009- СТ ЗАДН ДВ ОП ЛВ СР</t>
  </si>
  <si>
    <t>6901556</t>
  </si>
  <si>
    <t>MAZDA 3 ХБ 5Д 2009- ФОРТ ЗАДН НЕП ЛВ СР</t>
  </si>
  <si>
    <t>6901272</t>
  </si>
  <si>
    <t>MAZDA 3 СД 2009- СТ ЗАДН ДВ ОП ЛВ СР</t>
  </si>
  <si>
    <t>6901276</t>
  </si>
  <si>
    <t>MAZDA 3 СЕД 2009- ФОРТ ЗАДН НЕП ЛВ СР</t>
  </si>
  <si>
    <t>6901443</t>
  </si>
  <si>
    <t>MAZDA 3 ХБ 5Д 2009- СТ ПЕР ДВ ОП ПР ЗЛ</t>
  </si>
  <si>
    <t>6901265</t>
  </si>
  <si>
    <t>MAZDA 3 5Д ХБ 2009- СТ ЗАДН ДВ ОП ПР ЗЛ</t>
  </si>
  <si>
    <t>6901555</t>
  </si>
  <si>
    <t>MAZDA 3 ХБ 5Д 2009- ФОРТ ЗАДН НЕП ПР ЗЛ</t>
  </si>
  <si>
    <t>6901269</t>
  </si>
  <si>
    <t>MAZDA 3 СЕД 2009- СТ ЗАДН ДВ ОП ПР ЗЛ</t>
  </si>
  <si>
    <t>6901273</t>
  </si>
  <si>
    <t>MAZDA 3 2009- ФОРТ ЗАДН НЕП ПР ЗЛ</t>
  </si>
  <si>
    <t>6901267</t>
  </si>
  <si>
    <t>MAZDA 3 5Д ХБ 2009- СТ ЗАДН ДВ ОП ПР СР</t>
  </si>
  <si>
    <t>6901553</t>
  </si>
  <si>
    <t>MAZDA 3 ХБ 5Д 2009- ФОРТ ЗАДН НЕП ПР СР</t>
  </si>
  <si>
    <t>6901271</t>
  </si>
  <si>
    <t>MAZDA 3 СД 2009- СТ ЗАДН ДВ ОП ПР СР</t>
  </si>
  <si>
    <t>6901275</t>
  </si>
  <si>
    <t>MAZDA 3 СЕД 2009- ФОРТ ЗАДН НЕП ПР СР</t>
  </si>
  <si>
    <t>5  MPV ЛВРУЛЬ 2005-</t>
  </si>
  <si>
    <t>6961471</t>
  </si>
  <si>
    <t>MAZDA 5 МИН 2005-  СТ ВЕТР ЗЛ</t>
  </si>
  <si>
    <t>6961472</t>
  </si>
  <si>
    <t>MAZDA 5 МИН 2005-  СТ ВЕТР ЗЛ+ДД</t>
  </si>
  <si>
    <t>6900734</t>
  </si>
  <si>
    <t>MAZDA 5 МИН 2005-  СТ ЗАДН ТЗЛ</t>
  </si>
  <si>
    <t>6900735</t>
  </si>
  <si>
    <t>MAZDA 5 МИН 2005-  СТ ЗАДН ЗЛ</t>
  </si>
  <si>
    <t>6999985</t>
  </si>
  <si>
    <t>MAZDA 5 MPV 2005-  СТ ПЕР ДВ ОП ЛВ ЗЛ</t>
  </si>
  <si>
    <t>6900736</t>
  </si>
  <si>
    <t>MAZDA 5 MPV 2005-  СТ ФОРТ ПЕР НЕП ЛВ ЗЛ</t>
  </si>
  <si>
    <t>6900175</t>
  </si>
  <si>
    <t>MAZDA 5 MPV 2005-  СТ ЗАДН ДВ ОП ЛВ ЗЛ</t>
  </si>
  <si>
    <t>6900072</t>
  </si>
  <si>
    <t>MAZDA 5 MPV 2005-  СТ ПЕР ДВ ОП ПР ЗЛ</t>
  </si>
  <si>
    <t>6900256</t>
  </si>
  <si>
    <t>MAZDA 5 MPV 2005-  СТ ЗАДН ДВ ОП ПР ЗЛ</t>
  </si>
  <si>
    <t>6 СЕД/ХБ/УН 2002-2007</t>
  </si>
  <si>
    <t>6950103</t>
  </si>
  <si>
    <t>MAZDA 6 СЕД/ ХБ LHD 2002-2007  СТ ВЕТР ЗЛГЛ+УО</t>
  </si>
  <si>
    <t>6961999</t>
  </si>
  <si>
    <t>MAZDA 6 СЕД/ ХБ LHD 03/2005-2007  СТ ВЕТР ЗЛГЛ+УО+ИЗМ КР</t>
  </si>
  <si>
    <t>6962853</t>
  </si>
  <si>
    <t>MAZDA 6 СЕД/ ХБ LHD 03/2005-2007  СТ ВЕТР ЗЛ+ДД+УО+ИЗМ КР</t>
  </si>
  <si>
    <t>6964826</t>
  </si>
  <si>
    <t>MAZDA 6 СЕД/ ХБ LHD 03/2005-2007  СТ ВЕТР ЗЛГЛ+ДД+УО+ИЗМ КР</t>
  </si>
  <si>
    <t>6950104</t>
  </si>
  <si>
    <t>MAZDA 6 СЕД/ ХБ LHD 03/2005-2007  СТ ВЕТР ЗЛ+УО</t>
  </si>
  <si>
    <t>6962000</t>
  </si>
  <si>
    <t>6963103</t>
  </si>
  <si>
    <t>MAZDA 6 СЕД/ ХБ 03/2005-2007 СТ ВЕТР ЗЛ+УО</t>
  </si>
  <si>
    <t>6101587</t>
  </si>
  <si>
    <t>MAZDA 6 СЕД/ ХБ 2002-2007 МОЛД  ДЛЯ СТ ВЕТР</t>
  </si>
  <si>
    <t>6993975</t>
  </si>
  <si>
    <t>MAZDA 6 УН 2002-2007  СТ ЗАДН ДВ ЗЛ+СТОП+УО</t>
  </si>
  <si>
    <t>6997561</t>
  </si>
  <si>
    <t>MAZDA 6 ХБ 2002-2007  СТ ЗАДН ЗЛ+АНТ+УО</t>
  </si>
  <si>
    <t>6997560</t>
  </si>
  <si>
    <t>MAZDA 6 4Д СД 2002-2007  СТ ЗАДН ЗЛ+ИНК</t>
  </si>
  <si>
    <t>6997621</t>
  </si>
  <si>
    <t>MAZDA 6 5Д УН 2002-2007  СТ ЗАДН ДВ ОП ЛВ ЗЛ</t>
  </si>
  <si>
    <t>6900300</t>
  </si>
  <si>
    <t>MAZDA 6 5Д УН 2002-2007  СТ ФОРТ ЗАДН НЕП ЛВ ЗЛ</t>
  </si>
  <si>
    <t>6993244</t>
  </si>
  <si>
    <t>MAZDA 6 4Д СД/5Д ХБ 2002-2007 СТ ПЕР ДВ ОП ЛВ ЗЛ</t>
  </si>
  <si>
    <t>6995912</t>
  </si>
  <si>
    <t>MAZDA 6 5Д ХБ 2002-2007  СТ ЗАДН ДВ ОП ЛВ ЗЛ</t>
  </si>
  <si>
    <t>6980110</t>
  </si>
  <si>
    <t>MAZDA 6 5Д ХБ 2002-2007  СТ ФОРТ ЗАДН НЕП ЛВ ЗЛ</t>
  </si>
  <si>
    <t>6995906</t>
  </si>
  <si>
    <t>MAZDA 6 4Д СЕД 2002-2007  СТ ЗАДН ДВ ОП ЛВ ЗЛ</t>
  </si>
  <si>
    <t>6995908</t>
  </si>
  <si>
    <t>MAZDA 6 4Д СЕД 2002-2007  СТ ФОРТ ЗАДН НЕП ЛВ ЗЛ</t>
  </si>
  <si>
    <t>6997622</t>
  </si>
  <si>
    <t>MAZDA 6 5Д УН 2002-2007  СТ ЗАДН ДВ ОП ПР ЗЛ</t>
  </si>
  <si>
    <t>6900317</t>
  </si>
  <si>
    <t>MAZDA 6 5Д УН 2002-2007  СТ ФОРТ ЗАДН НЕП ПР ЗЛ</t>
  </si>
  <si>
    <t>6993245</t>
  </si>
  <si>
    <t>MAZDA 6 4Д СД/5Д ХБ 2002-2007 СТ ПЕР ДВ ОП ПР ЗЛ</t>
  </si>
  <si>
    <t>6995913</t>
  </si>
  <si>
    <t>MAZDA 6 5Д ХБ 2002-2007  СТ ЗАДН ДВ ОП ПР ЗЛ</t>
  </si>
  <si>
    <t>6980111</t>
  </si>
  <si>
    <t>MAZDA 6 5Д ХБ 2002-2007  СТ ФОРТ ЗАДН НЕП ПР ЗЛ</t>
  </si>
  <si>
    <t>6995907</t>
  </si>
  <si>
    <t>MAZDA 6 4Д СЕД 2002-2007  СТ ЗАДН ДВ ОП ПР ЗЛ</t>
  </si>
  <si>
    <t>6995909</t>
  </si>
  <si>
    <t>MAZDA 6 4Д СЕД 2002-2007  СТ ФОРТ ЗАДН НЕП ПР ЗЛ</t>
  </si>
  <si>
    <t>6 4Д СЕД 2008-</t>
  </si>
  <si>
    <t>6963064</t>
  </si>
  <si>
    <t>MAZDA 6 4Д СЕД 2008-  СТ ВЕТР ЗЛ+УО</t>
  </si>
  <si>
    <t>6963063</t>
  </si>
  <si>
    <t>MAZDA 6 4Д СЕД 2008-  СТ ВЕТР ЗЛ+ДД+УО+ИЗМ ШЕЛК+АКУСТИК</t>
  </si>
  <si>
    <t>6963170</t>
  </si>
  <si>
    <t>MAZDA 6 4Д СЕД 2008-  СТ ВЕТР ЗЛ+ДД+УО+ИЗМ ШЕЛК</t>
  </si>
  <si>
    <t>6102631</t>
  </si>
  <si>
    <t>MAZDA 6 4Д СЕД 2008- МОЛД ДЛЯ СТ ВЕТР</t>
  </si>
  <si>
    <t>6900829</t>
  </si>
  <si>
    <t>MAZDA 6 4Д СЕД 2008- СТ ПЕР ДВ ОП ЛВ  ЗЛ+2 ОТВ</t>
  </si>
  <si>
    <t>6900831</t>
  </si>
  <si>
    <t>MAZDA 6 4Д СЕД 2008- СТ ЗАДН ДВ ОП ЛВ  ЗЛ+1 ОТВ</t>
  </si>
  <si>
    <t>6900830</t>
  </si>
  <si>
    <t>MAZDA 6 4Д СЕД 2008- СТ ПЕР ДВ ОП ПР  ЗЛ+2 ОТВ</t>
  </si>
  <si>
    <t>6900832</t>
  </si>
  <si>
    <t>MAZDA 6 4Д СЕД 2008- СТ ЗАДН ДВ ОП ПР  ЗЛ+1 ОТВ</t>
  </si>
  <si>
    <t>121 3Д ХБ 1987-1991</t>
  </si>
  <si>
    <t>6964245</t>
  </si>
  <si>
    <t>MAZDA 121 3Д ХБ 1987-1991 СТ ВЕТР ГЛ</t>
  </si>
  <si>
    <t>121 СД 1991-1995</t>
  </si>
  <si>
    <t>6963638</t>
  </si>
  <si>
    <t>MAZDA 121 СЕД 1991-1995 СТ ВЕТР ГЛ</t>
  </si>
  <si>
    <t>6101187</t>
  </si>
  <si>
    <t>MAZDA 121 СЕД 1991-1995  УСТ КОМПЛ ДЛЯ СТ ВЕТР</t>
  </si>
  <si>
    <t>6995377</t>
  </si>
  <si>
    <t>MAZDA 121 СЕД 1991-1995 СТ ПЕР ДВ ОП ЛВ ГЛ</t>
  </si>
  <si>
    <t>6995724</t>
  </si>
  <si>
    <t>MAZDA 121 СЕД 1991-1995 СТ ЗАДН ДВ ОП ПР ГЛ</t>
  </si>
  <si>
    <t>121 3Д+5Д 1996-2002</t>
  </si>
  <si>
    <t>6190159</t>
  </si>
  <si>
    <t>MAZDA 121 3Д+5Д 1996-2002  СТ ВЕТР/FORD FIESTA IV 3Д+5Д 1995-2002  СТ ВЕТР</t>
  </si>
  <si>
    <t>6190839</t>
  </si>
  <si>
    <t>MAZDA 121 3Д+5Д 12/2000-2002  СТ ВЕТР/FORD FIESTA IV 3Д+5Д 12/2000-2002  СТ ВЕТР</t>
  </si>
  <si>
    <t>6190160</t>
  </si>
  <si>
    <t>MAZDA 121 3Д+5Д 1996-2002  СТ ВЕТР ЗЛ/FORD FIESTA IV 3Д+5Д 1995-2002  СТ ВЕТР ЗЛ</t>
  </si>
  <si>
    <t>6190840</t>
  </si>
  <si>
    <t>MAZDA 121 3Д+5Д 12/2000-2002  СТ ВЕТР ЗЛ/FORD FIESTA IV 3Д+5Д 12/2000-2002  СТ ВЕТР ЗЛ</t>
  </si>
  <si>
    <t>6190161</t>
  </si>
  <si>
    <t>MAZDA 121 3Д+5Д 1996-2002  СТ ВЕТР ЗЛГЛ/FORD FIESTA IV 3Д+5Д 1995-2002  СТ ВЕТР ЗЛГЛ</t>
  </si>
  <si>
    <t>6190841</t>
  </si>
  <si>
    <t>MAZDA 121 3Д+5Д 2000-2002  СТ ВЕТР ГЛБЛ/FORD FIESTA IV 3Д+5Д 12/2000-2002  СТ ВЕТР ЗЛГЛ</t>
  </si>
  <si>
    <t>6190162</t>
  </si>
  <si>
    <t>MAZDA 121 3Д+5Д 1996-2002  СТ ВЕТР ЗЛЗЛ/FORD FIESTA IV 3Д+5Д 1995-2002  СТ ВЕТР ЗЛЗЛ</t>
  </si>
  <si>
    <t>6190163</t>
  </si>
  <si>
    <t>MAZDA 121 3Д+5Д 1996-2002  СТ ВЕТР ЗЛ+ЭО/FORD FIESTA IV 3Д+5Д 2000-2002  СТ ВЕТР ЗЛ ЭО</t>
  </si>
  <si>
    <t>6190164</t>
  </si>
  <si>
    <t>MAZDA 121 3Д+5Д 1996-2002  МОЛД  ДЛЯ СТ ВЕТР С АЛЮМ ВСТАВКОЙ</t>
  </si>
  <si>
    <t>6190165</t>
  </si>
  <si>
    <t>MAZDA 121 3Д+5Д ХБ 1996-2002  СТ ЗАДН /FORD FIESTA IV 3Д+5Д 1995-2002  СТ ЗАДН</t>
  </si>
  <si>
    <t>6190166</t>
  </si>
  <si>
    <t>MAZDA 121 3Д+5Д ХБ 1996-2002  СТ ЗАДН ЗЛ/FORD FIESTA IV 3Д+5Д 1995-2002  СТ ЗАДН ЗЛ</t>
  </si>
  <si>
    <t>323 1981-1985</t>
  </si>
  <si>
    <t>6963467</t>
  </si>
  <si>
    <t>1981-1985</t>
  </si>
  <si>
    <t>MAZDA 323 1981-1985 СТ ВЕТР ГЛ</t>
  </si>
  <si>
    <t>6964140</t>
  </si>
  <si>
    <t>MAZDA 323 1981-1985 СТ ВЕТР</t>
  </si>
  <si>
    <t>323 1985-1989</t>
  </si>
  <si>
    <t>6969264</t>
  </si>
  <si>
    <t>MAZDA 323 СД+ХБ+УН 1985-1989 СТ ВЕТР ГЛ</t>
  </si>
  <si>
    <t>6100488</t>
  </si>
  <si>
    <t>MAZDA 323 СД+ХБ+УН 1985-1989 НАБОР КЛИПС ДЛЯ СТ ВЕТР</t>
  </si>
  <si>
    <t>6998950</t>
  </si>
  <si>
    <t>MAZDA 323 ХБ 1985-1989 СТ ЗАДН ДВ ГЛ</t>
  </si>
  <si>
    <t>6995321</t>
  </si>
  <si>
    <t>MAZDA 323 ХБ 5Д 1985-1989 СТ ПЕР ДВ ОП ЛВ ГЛ</t>
  </si>
  <si>
    <t>6995713</t>
  </si>
  <si>
    <t>MAZDA 323 ХБ 5Д 1985-1989 СТ ФОРТ ЗАДН НЕП ЛВ ГЛ</t>
  </si>
  <si>
    <t>6996738</t>
  </si>
  <si>
    <t>MAZDA 323 ХБ 3Д 1985-1989 СТ ПЕР ДВ ОП ПР ГЛ</t>
  </si>
  <si>
    <t>6995322</t>
  </si>
  <si>
    <t>MAZDA 323 ХБ 5Д 1985-1989 СТ ПЕР ДВ ОП ПР ГЛ</t>
  </si>
  <si>
    <t>6995714</t>
  </si>
  <si>
    <t>MAZDA 323 ХБ 5Д 1985-1989 СТ ФОРТ ЗАДН НЕП ПР ГЛ</t>
  </si>
  <si>
    <t>323 3Д ХБ 1989-1994</t>
  </si>
  <si>
    <t>6969252</t>
  </si>
  <si>
    <t>MAZDA 323 3Д ХБ 1989-1994 СТ ВЕТР ГЛ</t>
  </si>
  <si>
    <t>6964517</t>
  </si>
  <si>
    <t>MAZDA 323 3Д ХБ 1989-1994 СТ ВЕТР ЗЛГЛ</t>
  </si>
  <si>
    <t>6101170</t>
  </si>
  <si>
    <t>MAZDA 323 3Д ХБ 1989-1994  МОЛД  ДЛЯ СТ ВЕТР ВЕРХ</t>
  </si>
  <si>
    <t>6998951</t>
  </si>
  <si>
    <t>MAZDA 323 3Д ХБ 1989-1994 СТ ЗАДН ГЛ</t>
  </si>
  <si>
    <t>6996746</t>
  </si>
  <si>
    <t>MAZDA 323 3Д ХБ 1989-1994 СТ ПЕР ДВ ОП ЛВ ГЛ</t>
  </si>
  <si>
    <t>6996747</t>
  </si>
  <si>
    <t>MAZDA 323 3Д ХБ 1989-1994 СТ БОК НЕП ЛВ ГЛ ОТКР</t>
  </si>
  <si>
    <t>6996748</t>
  </si>
  <si>
    <t>MAZDA 323 3Д ХБ 1989-1994 СТ ПЕР ДВ ОП ПР ГЛ</t>
  </si>
  <si>
    <t>6996749</t>
  </si>
  <si>
    <t>MAZDA 323 3Д ХБ 1989-1994 СТ БОК НЕП ПР ГЛ ОТКР</t>
  </si>
  <si>
    <t>323 4Д СД+УН 1989-1994</t>
  </si>
  <si>
    <t>6963384</t>
  </si>
  <si>
    <t>MAZDA 323 4Д СД+УН 1989-1994 СТ ВЕТР ГЛ</t>
  </si>
  <si>
    <t>6963385</t>
  </si>
  <si>
    <t>MAZDA 323 4Д СД+УН 1989-1994 СТ ВЕТР ГЛГЛ</t>
  </si>
  <si>
    <t>6101154</t>
  </si>
  <si>
    <t>MAZDA 323 4Д СД+УН 1989-1994 МОЛД  ДЛЯ СТ ВЕТР ВЕРХ</t>
  </si>
  <si>
    <t>6998952</t>
  </si>
  <si>
    <t>MAZDA 323 4Д СД+УН 1989-1994 СТ ЗАДН ГЛ</t>
  </si>
  <si>
    <t>6995373</t>
  </si>
  <si>
    <t>MAZDA 323 4Д СД+УН 1989-1994 СТ ПЕР ДВ ОП ЛВ ГЛ</t>
  </si>
  <si>
    <t>6995375</t>
  </si>
  <si>
    <t>MAZDA 323 4Д СД+УН 1989-1994 СТ ПЕР ДВ ОП ПР ГЛ</t>
  </si>
  <si>
    <t>6995376</t>
  </si>
  <si>
    <t>MAZDA 323 4Д СД+УН 1989-1994 СТ ФОРТ ЗАДН НЕП ПР ГЛ</t>
  </si>
  <si>
    <t>323 5Д 1989-1994</t>
  </si>
  <si>
    <t>6969265</t>
  </si>
  <si>
    <t>MAZDA 323 5Д ХБ 1989-1994 СТ ВЕТР ГЛ</t>
  </si>
  <si>
    <t>6969270</t>
  </si>
  <si>
    <t>MAZDA 323 5Д ХБ 1989-1994 СТ ВЕТР ГЛГЛ</t>
  </si>
  <si>
    <t>6100490</t>
  </si>
  <si>
    <t>MAZDA 323 5Д ХБ 1989-1994 НАБ СОЕД ДЛЯ СТ ВЕТР</t>
  </si>
  <si>
    <t>6101217</t>
  </si>
  <si>
    <t>MAZDA 323 5Д ХБ 1989-1994 МОЛД  ДЛЯ СТ ВЕТР ВЕРХ</t>
  </si>
  <si>
    <t>6995715</t>
  </si>
  <si>
    <t>MAZDA 323 5Д ХБ 1989-1994 СТ ПЕР ДВ ОП ЛВ ГЛ</t>
  </si>
  <si>
    <t>6995717</t>
  </si>
  <si>
    <t>MAZDA 323 5Д ХБ 1989-1994 СТ ПЕР ДВ ОП ПР ГЛ</t>
  </si>
  <si>
    <t>6995718</t>
  </si>
  <si>
    <t>MAZDA 323 5Д ХБ 1989-1994 СТ ЗАДН ДВ ОП ПР ГЛ</t>
  </si>
  <si>
    <t>323 ХБ 3Д+СД 1994-/3Д ХБ 1997-</t>
  </si>
  <si>
    <t>6963387</t>
  </si>
  <si>
    <t>MAZDA 323 ХБ 3Д+СД 1994-1998 /3Д ХБ 1997-1998 СТ ВЕТР ГЛ</t>
  </si>
  <si>
    <t>6963223</t>
  </si>
  <si>
    <t>MAZDA 323 ХБ 3Д 1994-1998  СТ ВЕТР ГЛГЛ</t>
  </si>
  <si>
    <t>6963388</t>
  </si>
  <si>
    <t>MAZDA 323 ХБ 3Д+СД 1994-1998 /3Д ХБ 1997-1998  СТ ВЕТР ЗЛ</t>
  </si>
  <si>
    <t>6964147</t>
  </si>
  <si>
    <t>MAZDA 323 ХБ 3Д+СД 1994-1998 /3Д ХБ 1997-1998  СТ ВЕТР ЗЛГЛ</t>
  </si>
  <si>
    <t>6101137</t>
  </si>
  <si>
    <t>MAZDA 323 ХБ 3Д+СД 1994-1998 /3Д ХБ 1997-1998  МОЛД  ДЛЯ СТ ВЕТР</t>
  </si>
  <si>
    <t>6998081</t>
  </si>
  <si>
    <t>MAZDA 323 СД 4Д 1994-1998  СТ ЗАДН ГЛ</t>
  </si>
  <si>
    <t>6998082</t>
  </si>
  <si>
    <t>MAZDA 323 СД 4Д 1994-1998  СТ ЗАДН ЗЛ</t>
  </si>
  <si>
    <t>6996995</t>
  </si>
  <si>
    <t>MAZDA 323 СЕД 4Д 1994-1998  СТ ПЕР ДВ ОП ЛВ ГЛ</t>
  </si>
  <si>
    <t>6996999</t>
  </si>
  <si>
    <t>MAZDA 323 СЕД 4Д 1994-1998  СТ ПЕР ДВ ОП ЛВ ЗЛ</t>
  </si>
  <si>
    <t>6996997</t>
  </si>
  <si>
    <t>MAZDA 323 СЕД 4Д 1994-1998  СТ ПЕР ДВ ОП ПР ГЛ</t>
  </si>
  <si>
    <t>6993232</t>
  </si>
  <si>
    <t>MAZDA 323 ХБ 3Д 1997-1998  СТ ПЕР ДВ ОП ПР ЗЛ 2ОТВ</t>
  </si>
  <si>
    <t>6999107</t>
  </si>
  <si>
    <t>MAZDA 323 СЕД 4Д 1994-1998  СТ ПЕР ДВ ОП ПР ЗЛ</t>
  </si>
  <si>
    <t>6999108</t>
  </si>
  <si>
    <t>MAZDA 323 СЕД 4Д 1994-1998  СТ ЗАДН ДВ ОП ПР ЗЛ</t>
  </si>
  <si>
    <t>323F 1994-1998</t>
  </si>
  <si>
    <t>6963386</t>
  </si>
  <si>
    <t>MAZDA 323F 1994-1998  СТ ВЕТР ГЛ</t>
  </si>
  <si>
    <t>6963222</t>
  </si>
  <si>
    <t>MAZDA 323F 1994-1998  СТ ВЕТР ГЛГЛ</t>
  </si>
  <si>
    <t>6969218</t>
  </si>
  <si>
    <t>MAZDA 323F 1994-1998  СТ ВЕТР ЗЛ</t>
  </si>
  <si>
    <t>6961995</t>
  </si>
  <si>
    <t>MAZDA 323F 1994-1998  СТ ВЕТР ЗЛГЛ</t>
  </si>
  <si>
    <t>6102347</t>
  </si>
  <si>
    <t>MAZDA 323F 1994-1998  НАБ КЛИПС ДЛЯ СТ ВЕТР</t>
  </si>
  <si>
    <t>6100114</t>
  </si>
  <si>
    <t>MAZDA 323F 1994-1998  МОЛД  ДЛЯ СТ ВЕТР ВЕРХ</t>
  </si>
  <si>
    <t>6980326</t>
  </si>
  <si>
    <t>MAZDA 323 ХБ 1994-1998  СТ ЗАДН ЗЛ</t>
  </si>
  <si>
    <t>6994126</t>
  </si>
  <si>
    <t>MAZDA 323F 1994-1998  СТ ПЕР ДВ ОП ЛВ ГЛ</t>
  </si>
  <si>
    <t>6994138</t>
  </si>
  <si>
    <t>MAZDA 323F 1994-1998  СТ ЗАДН ДВ ОП ЛВ ГЛ</t>
  </si>
  <si>
    <t>6995393</t>
  </si>
  <si>
    <t>MAZDA 323F 1994-1998  СТ ПЕР ДВ ОП ЛВ ЗЛ+ФИТ</t>
  </si>
  <si>
    <t>6995394</t>
  </si>
  <si>
    <t>MAZDA 323F 1994-1998  СТ ЗАДН ДВ ОП ЛВ ЗЛ+ФИТ</t>
  </si>
  <si>
    <t>6994127</t>
  </si>
  <si>
    <t>MAZDA 323F 1994-1998  СТ ПЕР ДВ ОП ПР ГЛ</t>
  </si>
  <si>
    <t>6995395</t>
  </si>
  <si>
    <t>MAZDA 323F 1994-1998  СТ ПЕР ДВ ОП ПР ЗЛ+ФИТ</t>
  </si>
  <si>
    <t>323 4Д+5Д 1998-2003</t>
  </si>
  <si>
    <t>6965211</t>
  </si>
  <si>
    <t>MAZDA 323 4Д+5Д 1998-2003  СТ ВЕТР ЗЛ</t>
  </si>
  <si>
    <t>6960999</t>
  </si>
  <si>
    <t>MAZDA 323 4Д+5Д 1998-2003  СТ ВЕТР ЗЛГЛ</t>
  </si>
  <si>
    <t>6963210</t>
  </si>
  <si>
    <t>MAZDA 323 4Д+5Д 1998-2003  СТ ВЕТР ЗЛЗЛ</t>
  </si>
  <si>
    <t>6100116</t>
  </si>
  <si>
    <t>MAZDA 323 4Д+5Д 1998-2003  МОЛД  ДЛЯ СТ ВЕТР</t>
  </si>
  <si>
    <t>6992419</t>
  </si>
  <si>
    <t>MAZDA 323 5Д ХБ 1998-2003  СТ ЗАДН ЗЛ</t>
  </si>
  <si>
    <t>6992489</t>
  </si>
  <si>
    <t>MAZDA 323 4Д СД 1998-2003  СТ ЗАДН ЗЛ</t>
  </si>
  <si>
    <t>6992492</t>
  </si>
  <si>
    <t>MAZDA 323 5Д 1998-2003  СТ ПЕР ДВ ОП ЛВ</t>
  </si>
  <si>
    <t>6900174</t>
  </si>
  <si>
    <t>MAZDA 323 5Д 1998-2003  СТ ЗАДН ДВ ОП ЛВ ЗЛ+ФИТ</t>
  </si>
  <si>
    <t>6992420</t>
  </si>
  <si>
    <t>MAZDA 323 5Д 1998-2003  СТ ЗАДН ДВ НЕП ЛВ ЗЛ</t>
  </si>
  <si>
    <t>6992490</t>
  </si>
  <si>
    <t>MAZDA 323 4Д 1998-2003  СТ ЗАДН ДВ НЕП ЛВ ЗЛ</t>
  </si>
  <si>
    <t>6992493</t>
  </si>
  <si>
    <t>MAZDA 323 5Д 1998-2003  СТ ПЕР ДВ ОП ПР</t>
  </si>
  <si>
    <t>6992421</t>
  </si>
  <si>
    <t>MAZDA 323 5Д 1998-2003  СТ ЗАДН ДВ НЕП ПР ЗЛ</t>
  </si>
  <si>
    <t>6992491</t>
  </si>
  <si>
    <t>MAZDA 323 4Д 1998-2003  СТ ФОРТ ЗАДН НЕП ПР ЗЛ</t>
  </si>
  <si>
    <t>626 КП+ХБ 1983-1988</t>
  </si>
  <si>
    <t>6963468</t>
  </si>
  <si>
    <t>MAZDA 626 КУП+ХБ 1983-1988 СТ ВЕТР ГЛ</t>
  </si>
  <si>
    <t>626 СД 1983-1988</t>
  </si>
  <si>
    <t>6963469</t>
  </si>
  <si>
    <t>MAZDA 626 СЕД 1983-1988 СТ ВЕТР ГЛ</t>
  </si>
  <si>
    <t>6998078</t>
  </si>
  <si>
    <t>MAZDA 626 СД 1983-1988 СТ ЗАДН ГЛ</t>
  </si>
  <si>
    <t>626 1987-1992</t>
  </si>
  <si>
    <t>6969260</t>
  </si>
  <si>
    <t>MAZDA 626 СЕД+УН 1987-1992 СТ ВЕТР ГЛ</t>
  </si>
  <si>
    <t>6969268</t>
  </si>
  <si>
    <t>MAZDA 626 СЕД+УН 1987-1992 СТ ВЕТР ГЛГЛ</t>
  </si>
  <si>
    <t>6100489</t>
  </si>
  <si>
    <t>MAZDA 626 СЕД+УН 87-92 В/С МОЛД.</t>
  </si>
  <si>
    <t>6995204</t>
  </si>
  <si>
    <t>MAZDA 626 СД 1987-1992 СТ ЗАДН ГЛ</t>
  </si>
  <si>
    <t>6995202</t>
  </si>
  <si>
    <t>MAZDA 626 СЕД+УН 1987-1992 СТ ПЕР ДВ ОП ЛВ ГЛ</t>
  </si>
  <si>
    <t>6996739</t>
  </si>
  <si>
    <t>MAZDA 626 СЕД+УН 1987-1992 СТ ЗАДН ДВ ОП ЛВ ГЛ</t>
  </si>
  <si>
    <t>6995203</t>
  </si>
  <si>
    <t>MAZDA 626 СЕД+УН 1987-1992 СТ ПЕР ДВ ОП ПР ГЛ</t>
  </si>
  <si>
    <t>626 КП + 5Д 1988-1992</t>
  </si>
  <si>
    <t>6969276</t>
  </si>
  <si>
    <t>MAZDA 626 КБ+ХБ 1988-1992 СТ ВЕТР ГЛ</t>
  </si>
  <si>
    <t>6969277</t>
  </si>
  <si>
    <t>MAZDA 626 КБ+ХБ 1988-1992 СТ ВЕТР ГЛГЛ</t>
  </si>
  <si>
    <t>6100397</t>
  </si>
  <si>
    <t>MAZDA 626 КБ+ХБ 1988-1992 МОЛД  ДЛЯ СТ ВЕТР ЧЕРН</t>
  </si>
  <si>
    <t>6101514</t>
  </si>
  <si>
    <t>MAZDA 626 КБ+ХБ 1988-1992 МОЛД  ДЛЯ СТ ВЕТР ХРОМ</t>
  </si>
  <si>
    <t>6995200</t>
  </si>
  <si>
    <t>MAZDA 626 ХБ 1988-1992 СТ ПЕР ДВ ОП ЛВ ГЛ</t>
  </si>
  <si>
    <t>6996744</t>
  </si>
  <si>
    <t>MAZDA 626 ХБ 1988-1992 СТ ЗАДН ДВ ОП ЛВ ГЛ</t>
  </si>
  <si>
    <t>6995201</t>
  </si>
  <si>
    <t>MAZDA 626 ХБ 1988-1992 СТ ПЕР ДВ ОП ПР ГЛ</t>
  </si>
  <si>
    <t>6996745</t>
  </si>
  <si>
    <t>MAZDA 626 ХБ 1988-1992 СТ ЗАДН ДВ ОП ПР ГЛ</t>
  </si>
  <si>
    <t>626 4Д/СД 1992-1997</t>
  </si>
  <si>
    <t>6969257</t>
  </si>
  <si>
    <t>MAZDA 626 СЕД 1992-1997  СТ ВЕТР ГЛ</t>
  </si>
  <si>
    <t>6969258</t>
  </si>
  <si>
    <t>MAZDA 626 СЕД 1992-1997  СТ ВЕТР ГЛГЛ</t>
  </si>
  <si>
    <t>6969259</t>
  </si>
  <si>
    <t>MAZDA 626 СЕД 1992-1997  СТ ВЕТР ЗЛ</t>
  </si>
  <si>
    <t>6100112</t>
  </si>
  <si>
    <t>MAZDA 626 СЕД 1992-1997  МОЛД  ДЛЯ СТ ВЕТР</t>
  </si>
  <si>
    <t>6102511</t>
  </si>
  <si>
    <t>6998857</t>
  </si>
  <si>
    <t>MAZDA 626 СД 1992-1997  СТ ЗАДН ГЛ</t>
  </si>
  <si>
    <t>6998858</t>
  </si>
  <si>
    <t>MAZDA 626 СД 1992-1997  СТ ЗАДН ЗЛ</t>
  </si>
  <si>
    <t>6995379</t>
  </si>
  <si>
    <t>MAZDA 626 СЕД 1992-1997  СТ ПЕР ДВ ОП ЛВ ГЛ</t>
  </si>
  <si>
    <t>6995380</t>
  </si>
  <si>
    <t>MAZDA 626 СЕД 1992-1997  СТ ЗАДН ДВ ОП ЛВ ГЛ</t>
  </si>
  <si>
    <t>6995383</t>
  </si>
  <si>
    <t>MAZDA 626 СЕД 1992-1997  СТ ПЕР ДВ ОП ЛВ ЗЛ</t>
  </si>
  <si>
    <t>6995384</t>
  </si>
  <si>
    <t>MAZDA 626 СЕД 1992-1997  СТ ЗАДН ДВ ОП ЛВ ЗЛ</t>
  </si>
  <si>
    <t>6995381</t>
  </si>
  <si>
    <t>MAZDA 626 СЕД 1992-1997  СТ ПЕР ДВ ОП ПР ГЛ</t>
  </si>
  <si>
    <t>6995382</t>
  </si>
  <si>
    <t>MAZDA 626 СЕД 1992-1997  СТ ЗАДН ДВ ОП ПР ГЛ</t>
  </si>
  <si>
    <t>6995385</t>
  </si>
  <si>
    <t>MAZDA 626 СЕД 1992-1997  СТ ПЕР ДВ ОП ПР ЗЛ</t>
  </si>
  <si>
    <t>6995386</t>
  </si>
  <si>
    <t>MAZDA 626 СЕД 1992-1997  СТ ЗАДН ДВ ОП ПР ЗЛ</t>
  </si>
  <si>
    <t>626 5Д/ХБ 1992-1997</t>
  </si>
  <si>
    <t>6969255</t>
  </si>
  <si>
    <t>MAZDA 626 ХБ 1992-1997  СТ ВЕТР ГЛ</t>
  </si>
  <si>
    <t>6969256</t>
  </si>
  <si>
    <t>MAZDA 626 ХБ 1992-1997  СТ ВЕТР ГЛГЛ</t>
  </si>
  <si>
    <t>6969254</t>
  </si>
  <si>
    <t>MAZDA 626 ХБ 1992-1997  СТ ВЕТР ЗЛ</t>
  </si>
  <si>
    <t>6100113</t>
  </si>
  <si>
    <t>MAZDA 626 ХБ 1992-1997   МОЛД  ДЛЯ СТ ВЕТР</t>
  </si>
  <si>
    <t>6998859</t>
  </si>
  <si>
    <t>MAZDA 626 ХБ 1992-1997  СТ ЗАДН ГЛ</t>
  </si>
  <si>
    <t>6980046</t>
  </si>
  <si>
    <t>MAZDA 626 ХБ 1992-1997  СТ ЗАДН ЗЛ</t>
  </si>
  <si>
    <t>6995727</t>
  </si>
  <si>
    <t>MAZDA 626 ХБ 1992-1997  СТ ПЕР ДВ ОП ЛВ ГЛ</t>
  </si>
  <si>
    <t>6995387</t>
  </si>
  <si>
    <t>MAZDA 626 ХБ 1992-1997  СТ ЗАДН ДВ ОП ЛВ ГЛ</t>
  </si>
  <si>
    <t>6995389</t>
  </si>
  <si>
    <t>MAZDA 626 ХБ 1992-1997  СТ ПЕР ДВ ОП ЛВ ЗЛ</t>
  </si>
  <si>
    <t>6995390</t>
  </si>
  <si>
    <t>MAZDA 626 ХБ 1992-1997  СТ ЗАДН ДВ ОП ЛВ ЗЛ</t>
  </si>
  <si>
    <t>6995728</t>
  </si>
  <si>
    <t>MAZDA 626 ХБ 1992-1997  СТ ПЕР ДВ ОП ПР ГЛ</t>
  </si>
  <si>
    <t>6995388</t>
  </si>
  <si>
    <t>MAZDA 626 ХБ 1992-1997  СТ ЗАДН ДВ ОП ПР ГЛ</t>
  </si>
  <si>
    <t>6995391</t>
  </si>
  <si>
    <t>MAZDA 626 ХБ 1992-1997  СТ ПЕР ДВ ОП ПР ЗЛ</t>
  </si>
  <si>
    <t>6995392</t>
  </si>
  <si>
    <t>MAZDA 626 ХБ 1992-1997  СТ ЗАДН ДВ ОП ПР ЗЛ</t>
  </si>
  <si>
    <t>626 [USA] СД 1997-2002</t>
  </si>
  <si>
    <t>6963020</t>
  </si>
  <si>
    <t>MAZDA 626 [USA] СД 1997-2002 СТ ВЕТР ЗЛ</t>
  </si>
  <si>
    <t>626 СД+ХБ 1997-2002</t>
  </si>
  <si>
    <t>6965360</t>
  </si>
  <si>
    <t>MAZDA 626 СЕД+ХБ 1997-2002 СТ ВЕТР ЗЛ</t>
  </si>
  <si>
    <t>6961000</t>
  </si>
  <si>
    <t>MAZDA 626 СЕД+ХБ 1997-2002 СТ ВЕТР ЗЛГЛ</t>
  </si>
  <si>
    <t>6963243</t>
  </si>
  <si>
    <t>MAZDA 626 СЕД+ХБ 1997-2002 СТ ВЕТР ЗЛЗЛ</t>
  </si>
  <si>
    <t>6100994</t>
  </si>
  <si>
    <t>MAZDA 626 СЕД+ХБ 1997-2002 УСТ КОМПЛ ДЛЯ СТ ВЕТР</t>
  </si>
  <si>
    <t>6100115</t>
  </si>
  <si>
    <t>MAZDA 626 СЕД+ХБ 1997-2002 МОЛД  ДЛЯ СТ ВЕТР</t>
  </si>
  <si>
    <t>6998860</t>
  </si>
  <si>
    <t>MAZDA 626 ХБ 1997-2002  СТ ЗАДН ЗЛ ФИТ</t>
  </si>
  <si>
    <t>6998651</t>
  </si>
  <si>
    <t>MAZDA 626 СД 1997-2002  СТ ЗАДН ЗЛ+УО</t>
  </si>
  <si>
    <t>6995397</t>
  </si>
  <si>
    <t>MAZDA 626 СЕД+ХБ 1997-2002  СТ ПЕР ДВ ОП ЛВ ЗЛ</t>
  </si>
  <si>
    <t>6995323</t>
  </si>
  <si>
    <t>MAZDA 626 ХБ 1997-2002  СТ ЗАДН ДВ ОП ЛВ ЗЛ</t>
  </si>
  <si>
    <t>6995398</t>
  </si>
  <si>
    <t>MAZDA 626 ХБ 1997-2002  СТ БОК НЕП ЛВ ЗЛ</t>
  </si>
  <si>
    <t>6995399</t>
  </si>
  <si>
    <t>MAZDA 626 СЕД 1997-2002  СТ ЗАДН ДВ ОП ЛВ ЗЛ</t>
  </si>
  <si>
    <t>6995400</t>
  </si>
  <si>
    <t>MAZDA 626 СЕД 1997-2002  СТ ФОРТ ЗАДН НЕП ЛВ ЗЛ</t>
  </si>
  <si>
    <t>6995401</t>
  </si>
  <si>
    <t>MAZDA 626 СЕД+ХБ 1997-2002  СТ ПЕР ДВ ОП ПР ЗЛ</t>
  </si>
  <si>
    <t>6995324</t>
  </si>
  <si>
    <t>MAZDA 626 ХБ 1997-2002  СТ ЗАДН ДВ ОП ПР ЗЛ</t>
  </si>
  <si>
    <t>6995402</t>
  </si>
  <si>
    <t>MAZDA 626 ХБ 1997-2002  СТ БОК НЕП ПР ЗЛ</t>
  </si>
  <si>
    <t>6995403</t>
  </si>
  <si>
    <t>MAZDA 626 СЕД 1997-2002  СТ ЗАДН ДВ ОП ПР ЗЛ</t>
  </si>
  <si>
    <t>6995404</t>
  </si>
  <si>
    <t>MAZDA 626 СЕД 1997-2002  СТ ФОРТ ЗАДН НЕП ПР ЗЛ</t>
  </si>
  <si>
    <t>626 EST 11/1997-2002</t>
  </si>
  <si>
    <t>6963389</t>
  </si>
  <si>
    <t>MAZDA 626 УН 11/1997-2002  СТ ВЕТР ЗЛ</t>
  </si>
  <si>
    <t>6950228</t>
  </si>
  <si>
    <t>MAZDA 626 УН 11/1997-2002  СТ ВЕТР ЗЛГЛ</t>
  </si>
  <si>
    <t>6950102</t>
  </si>
  <si>
    <t>MAZDA 626 УН 11/1997-2002  СТ ВЕТР ЗЛЗЛ</t>
  </si>
  <si>
    <t>6100117</t>
  </si>
  <si>
    <t>MAZDA 626 УН 11/1997-2002 МОЛД  ДЛЯ СТ ВЕТР</t>
  </si>
  <si>
    <t>6998652</t>
  </si>
  <si>
    <t>MAZDA 626 УН 11/1997-2002  СТ ЗАДН ЭО ЗЛ ФИТ</t>
  </si>
  <si>
    <t>6994194</t>
  </si>
  <si>
    <t>MAZDA 626 УН 11/1997-2002  СТ ПЕР ДВ ОП ЛВ ЗЛ</t>
  </si>
  <si>
    <t>6994195</t>
  </si>
  <si>
    <t>MAZDA 626 УН 11/1997-2002  СТ ЗАДН ДВ ОП ЛВ ЗЛ</t>
  </si>
  <si>
    <t>6995325</t>
  </si>
  <si>
    <t>MAZDA 626 УН 11/1997-2002  СТ ФОРТ ЗАДН НЕП ЛВ ЗЛ</t>
  </si>
  <si>
    <t>6994196</t>
  </si>
  <si>
    <t>MAZDA 626 УН 11/1997-2002  СТ ПЕР ДВ ОП ПР ЗЛ</t>
  </si>
  <si>
    <t>6994197</t>
  </si>
  <si>
    <t>MAZDA 626 УН 11/1997-2002  СТ ЗАДН ДВ ОП ПР ЗЛ</t>
  </si>
  <si>
    <t>6995326</t>
  </si>
  <si>
    <t>MAZDA 626 УН 11/1997-2002  СТ ФОРТ ЗАДН НЕП ПР ЗЛ</t>
  </si>
  <si>
    <t>929 IV СД 1987/1988-2000</t>
  </si>
  <si>
    <t>6960867</t>
  </si>
  <si>
    <t>1987-2000</t>
  </si>
  <si>
    <t>MAZDA 929 IV СД 1987-2000  СТ ВЕТР ЗЛГЛ</t>
  </si>
  <si>
    <t>B2000-2200 ПИ 1985-1998</t>
  </si>
  <si>
    <t>6963472</t>
  </si>
  <si>
    <t>1985-1998</t>
  </si>
  <si>
    <t>MAZDA B2000-2200 ПИКАП 1985-1998 СТ ВЕТР</t>
  </si>
  <si>
    <t>BT50 ПИКАП 2007-</t>
  </si>
  <si>
    <t>6190843</t>
  </si>
  <si>
    <t>MAZDA BT50 ПИКАП 2007-  СТ ВЕТР ЗЛ/FORD RANGER 2007- СТ ВЕТР ЗЛ</t>
  </si>
  <si>
    <t>CX-7 2007-</t>
  </si>
  <si>
    <t>6965173</t>
  </si>
  <si>
    <t>MAZDA CX-7 2007- СТ ВЕТР ЗЛ+ДД+УО</t>
  </si>
  <si>
    <t>DEMIO 1998-2003</t>
  </si>
  <si>
    <t>6960681</t>
  </si>
  <si>
    <t>MAZDA DEMIO 1998-2003 СТ ВЕТР ЗЛ</t>
  </si>
  <si>
    <t>6962952</t>
  </si>
  <si>
    <t>MAZDA DEMIO 1998-2003  СТ ВЕТР ЗЛЗЛ</t>
  </si>
  <si>
    <t>6101054</t>
  </si>
  <si>
    <t>MAZDA DEMIO 1998-2003  МОЛД  ДЛЯ СТ ВЕТР</t>
  </si>
  <si>
    <t>6992496</t>
  </si>
  <si>
    <t>MAZDA DEMIO МИН 1998-2003  СТ ЗАДН ЗЛ</t>
  </si>
  <si>
    <t>6992497</t>
  </si>
  <si>
    <t>MAZDA DEMIO 1998-2003  СТ ПЕР ДВ ОП ЛВ ЗЛ</t>
  </si>
  <si>
    <t>6900177</t>
  </si>
  <si>
    <t>MAZDA DEMIO 1998-2003  СТ ЗАДН ДВ ОП ЛВ ЗЛ</t>
  </si>
  <si>
    <t>6992423</t>
  </si>
  <si>
    <t>MAZDA DEMIO 1998-2003  СТ ЗАДН ДВ НЕП ЛВ ЗЛ</t>
  </si>
  <si>
    <t>6992501</t>
  </si>
  <si>
    <t>MAZDA DEMIO 1998-2003  СТ ПЕР ДВ ОП ПР ЗЛ</t>
  </si>
  <si>
    <t>6900258</t>
  </si>
  <si>
    <t>MAZDA DEMIO 1998-2003  СТ ЗАДН ДВ ОП ПР ЗЛ</t>
  </si>
  <si>
    <t>6992422</t>
  </si>
  <si>
    <t>MAZDA DEMIO 1998-2003  СТ ЗАДН ДВ НЕП ПР ЗЛ</t>
  </si>
  <si>
    <t>E2000 2000-</t>
  </si>
  <si>
    <t>6950105</t>
  </si>
  <si>
    <t>MAZDA E2000 2000  СТ ВЕТР ЗЛ+УО</t>
  </si>
  <si>
    <t>E2000 МИН+ПИКАП 1984-1997</t>
  </si>
  <si>
    <t>6963470</t>
  </si>
  <si>
    <t>1984-1997</t>
  </si>
  <si>
    <t>MAZDA E2000 МИН+ПИКАП 1984-1997  СТ ВЕТР ГЛ</t>
  </si>
  <si>
    <t>6963471</t>
  </si>
  <si>
    <t>MAZDA E2000 МИН+ПИКАП 1984-1997  СТ ВЕТР ГЛГЛ</t>
  </si>
  <si>
    <t>6961424</t>
  </si>
  <si>
    <t>MAZDA E2000 МИН+ПИКАП 1984-1997  СТ ВЕТР/ASIA HI TOPIC 1995-  СТ ВЕТР</t>
  </si>
  <si>
    <t>6998856</t>
  </si>
  <si>
    <t>MAZDA E2000 МИН+ПИКАП 1984-1997  СТ ЗАДН ЭО</t>
  </si>
  <si>
    <t>6995371</t>
  </si>
  <si>
    <t>MAZDA E2000 МИН+ПИКАП 1984-1997  СТ ПЕР ДВ ОП ЛВ</t>
  </si>
  <si>
    <t>MPV 1996-1999</t>
  </si>
  <si>
    <t>6964078</t>
  </si>
  <si>
    <t>MAZDA МИН 1996-1999  СТ ВЕТР ЗЛ</t>
  </si>
  <si>
    <t>6101047</t>
  </si>
  <si>
    <t>MAZDA MPV 1996-1999  НАБ КЛИПС ДЛЯ СТ ВЕТР</t>
  </si>
  <si>
    <t>6101160</t>
  </si>
  <si>
    <t>MAZDA MPV 1996-1999  МОЛД  ДЛЯ СТ ВЕТР ВЕРХ</t>
  </si>
  <si>
    <t>MPV 2000-</t>
  </si>
  <si>
    <t>6960704</t>
  </si>
  <si>
    <t>MAZDA МИН 2000-  СТ ВЕТР ЗЛ</t>
  </si>
  <si>
    <t>6950267</t>
  </si>
  <si>
    <t>MAZDA МИН 2000-  СТ ВЕТР ЗЛГЛ</t>
  </si>
  <si>
    <t>6100615</t>
  </si>
  <si>
    <t>MAZDA MPV 2000-  МОЛД  ДЛЯ СТ ВЕТР</t>
  </si>
  <si>
    <t>6980210</t>
  </si>
  <si>
    <t>MAZDA MPV 2000-  СТ ПЕР ДВ ОП ЛВ ЗЛ</t>
  </si>
  <si>
    <t>6980212</t>
  </si>
  <si>
    <t>MAZDA MPV 2000-  СТ ПЕР ДВ ОП ПР ЗЛ</t>
  </si>
  <si>
    <t>6980213</t>
  </si>
  <si>
    <t>MAZDA MPV 2000-  СТ ЗАДН ДВ ОП ПР ЗЛ</t>
  </si>
  <si>
    <t>MX3 1991-2000</t>
  </si>
  <si>
    <t>6963639</t>
  </si>
  <si>
    <t>MAZDA MX3 1991-2000  СТ ВЕТР ГЛ</t>
  </si>
  <si>
    <t>6963640</t>
  </si>
  <si>
    <t>MAZDA MX3 1991-2000  СТ ВЕТР ГЛГЛ</t>
  </si>
  <si>
    <t>6101100</t>
  </si>
  <si>
    <t>MAZDA MX3 1991-2000  МОЛД  ДЛЯ СТ ВЕТР</t>
  </si>
  <si>
    <t>6995725</t>
  </si>
  <si>
    <t>MAZDA MX3 1991-2000  СТ ПЕР ДВ ОП ЛВ ГЛ</t>
  </si>
  <si>
    <t>6995726</t>
  </si>
  <si>
    <t>MAZDA MX3 1991-2000  СТ ПЕР ДВ ОП ПР ГЛ</t>
  </si>
  <si>
    <t>MX5 TOURER 1991-2005</t>
  </si>
  <si>
    <t>6963635</t>
  </si>
  <si>
    <t>1991-2005</t>
  </si>
  <si>
    <t>MAZDA MX5  1991-2005  СТ ВЕТР ГЛ</t>
  </si>
  <si>
    <t>6963636</t>
  </si>
  <si>
    <t>MAZDA MX5  1991-2005  СТ ВЕТР ГЛГЛ</t>
  </si>
  <si>
    <t>6969217</t>
  </si>
  <si>
    <t>MAZDA MX5  1991-2005  СТ ВЕТР ЗЛ</t>
  </si>
  <si>
    <t>6101169</t>
  </si>
  <si>
    <t>MAZDA MX5  1991-2005  УСТ КОМПЛ ДЛЯ СТ ВЕТР</t>
  </si>
  <si>
    <t>MX5 1998-2006</t>
  </si>
  <si>
    <t>6960680</t>
  </si>
  <si>
    <t>1998-2000</t>
  </si>
  <si>
    <t>MAZDA B SER 2Д+4Д 1998-2006  СТ ВЕТР ЗЛ/FORD RANGER PU 1999-  СТ ВЕТР ЗЛ</t>
  </si>
  <si>
    <t>6999907</t>
  </si>
  <si>
    <t>MAZDA B SER ПИКАП 2Д+4Д 1998-2006  СТ ЗАДН/MAZDA BT50 PICK-UP 2007- СТ ЗАДН</t>
  </si>
  <si>
    <t>6992494</t>
  </si>
  <si>
    <t>MAZDA B SER 2Д+4Д 1998-2006  СТ ПЕР ДВ ОП ЛВ ЗЛ/FORD RANGER PU 1999-  СТ ПЕР ДВ ОП ЛВ ЗЛ</t>
  </si>
  <si>
    <t>6900176</t>
  </si>
  <si>
    <t>MAZDA B SER 4Д 1998-2006  СТ ЗАДН ДВ ОП ЛВ ЗЛ+УО/FORD RANGER PU 4D 99- СТ ЗАДН ДВ ОП ЛВ ЗЛ+УО</t>
  </si>
  <si>
    <t>6992495</t>
  </si>
  <si>
    <t>MAZDA B SER 2Д 1998-2006  СТ ПЕР ДВ ОП ПР ЗЛ/FORD RANGER PU 1999-  СТ ПЕР ДВ ОП ПР ЗЛ</t>
  </si>
  <si>
    <t>6900257</t>
  </si>
  <si>
    <t>MAZDA B SER 4Д 1998-2006  СТ ЗАДН ДВ ОП ПР ЗЛ+УО/FORD RANGER PU 4D 99- СТ ЗАДН ДВ ОП ПР ЗЛ+УО</t>
  </si>
  <si>
    <t>MX5 2005-</t>
  </si>
  <si>
    <t>6961790</t>
  </si>
  <si>
    <t>MAZDA MX5 2005-  СТ ВЕТР ЗЛ</t>
  </si>
  <si>
    <t>MX6 COUPE 1992-1997</t>
  </si>
  <si>
    <t>6963641</t>
  </si>
  <si>
    <t>MAZDA MX6 COUPE 1992-1997 СТ ВЕТР ГЛ</t>
  </si>
  <si>
    <t>6964362</t>
  </si>
  <si>
    <t>MAZDA MX6 COUPE 1992-1997 СТ ВЕТР ГЛГЛ</t>
  </si>
  <si>
    <t>6101790</t>
  </si>
  <si>
    <t>MAZDA MX6 COUPE 1992-1997 МОЛД  ДЛЯ СТ ВЕТР</t>
  </si>
  <si>
    <t>6900532</t>
  </si>
  <si>
    <t>MAZDA MX6 COUPE 1992-1997  СТ ПЕР ДВ ОП ЛВ ГЛ</t>
  </si>
  <si>
    <t>6900358</t>
  </si>
  <si>
    <t>MAZDA MX6 COUPE 1992-1997  СТ ПЕР ДВ ОП ПР ГЛ</t>
  </si>
  <si>
    <t>RX8 2003-</t>
  </si>
  <si>
    <t>6962453</t>
  </si>
  <si>
    <t>MAZDA RX8 LHD 03-СТ ВЕТР ЗЛ+ИНК</t>
  </si>
  <si>
    <t>PREMACY 1999-2005</t>
  </si>
  <si>
    <t>6960682</t>
  </si>
  <si>
    <t>MAZDA PREMACY 1999-2005  СТ ВЕТР ЗЛ</t>
  </si>
  <si>
    <t>6950106</t>
  </si>
  <si>
    <t>MAZDA PREMACY 1999-2005  СТ ВЕТР ЗЛГЛ</t>
  </si>
  <si>
    <t>6962004</t>
  </si>
  <si>
    <t>MAZDA PREMACY 1999-2005  СТ ВЕТР ЗЛЗЛ</t>
  </si>
  <si>
    <t>6101197</t>
  </si>
  <si>
    <t>MAZDA PREMACY 1999-2005  МОЛД  ДЛЯ СТ ВЕТР</t>
  </si>
  <si>
    <t>6992505</t>
  </si>
  <si>
    <t>MAZDA PREMACY 1999-2005  СТ ПЕР ДВ ОП ЛВ ЗЛ</t>
  </si>
  <si>
    <t>6980208</t>
  </si>
  <si>
    <t>MAZDA PREMACY 1999-2005  СТ ЗАДН ДВ ОП ЛВ ЗЛ</t>
  </si>
  <si>
    <t>6993246</t>
  </si>
  <si>
    <t>MAZDA PREMACY 1999-2005  СТ ЗАДН ДВ НЕП ЛВ ЗЛ</t>
  </si>
  <si>
    <t>6992507</t>
  </si>
  <si>
    <t>MAZDA PREMACY 1999-2005  СТ ПЕР ДВ ОП ПР ЗЛ</t>
  </si>
  <si>
    <t>6980209</t>
  </si>
  <si>
    <t>MAZDA PREMACY 1999-2005  СТ ЗАДН ДВ ОП ПР ЗЛ</t>
  </si>
  <si>
    <t>6993247</t>
  </si>
  <si>
    <t>MAZDA PREMACY 1999-2005  СТ ЗАДН ДВ НЕП ПР ЗЛ</t>
  </si>
  <si>
    <t>TRIBUTE 2001-</t>
  </si>
  <si>
    <t>6950107</t>
  </si>
  <si>
    <t>MAZDA TRIBUTE 2001  СТ ВЕТР ЗЛГЛ+VIN+УО/FORD MAVERICK 2000- СТ ВЕТР ЗЛГЛ+VIN+УО</t>
  </si>
  <si>
    <t>6950008</t>
  </si>
  <si>
    <t>MAZDA TRIBUTE 2001- СТ ВЕТР ЗЛ+VIN+УО/FORD MAVERICK 2000- СТ ВЕТР ЗЛ+VIN+УО</t>
  </si>
  <si>
    <t>6101132</t>
  </si>
  <si>
    <t>MAZDA TRIBUTE 2001- МОЛД  ДЛЯ СТ ВЕТР</t>
  </si>
  <si>
    <t>6993248</t>
  </si>
  <si>
    <t>MAZDA TRIBUTE ВН 2001-  СТ ЗАДН ЗЛ</t>
  </si>
  <si>
    <t>6993632</t>
  </si>
  <si>
    <t>MAZDA TRIBUTE 2001-  СТ ПЕР ДВ ОП ЛВ ЗЛ</t>
  </si>
  <si>
    <t>6993647</t>
  </si>
  <si>
    <t>MAZDA TRIBUTE 2001-  СТ ЗАДН ДВ ОП ЛВ ЗЛ/FORD MAVERICK 2000- СТ ЗАДН ДВ ОП ЛВ ЗЛ</t>
  </si>
  <si>
    <t>6993657</t>
  </si>
  <si>
    <t>MAZDA TRIBUTE 2001-  СТ ПЕР ДВ ОП ПР ЗЛ</t>
  </si>
  <si>
    <t>6993658</t>
  </si>
  <si>
    <t>MAZDA TRIBUTE 2001-  СТ ЗАДН ДВ ОП ПР ЗЛ/FORD MAVERICK 2000- СТ ЗАДН ДВ ОП ПР ЗЛ</t>
  </si>
  <si>
    <t>XEDOS 6 1992-2000</t>
  </si>
  <si>
    <t>6964363</t>
  </si>
  <si>
    <t>1992-2000</t>
  </si>
  <si>
    <t>MAZDA XEDOS 6 1992-2000  СТ ВЕТР ГЛ</t>
  </si>
  <si>
    <t>6963941</t>
  </si>
  <si>
    <t>MAZDA XEDOS 6 1992-2000  СТ ВЕТР ГЛГЛ</t>
  </si>
  <si>
    <t>6963558</t>
  </si>
  <si>
    <t>MAZDA XEDOS 6 1992-2000  СТ ВЕТР БР</t>
  </si>
  <si>
    <t>6963902</t>
  </si>
  <si>
    <t>MAZDA XEDOS 6 1992-2000  СТ ВЕТР БРГЛ</t>
  </si>
  <si>
    <t>6964468</t>
  </si>
  <si>
    <t>MAZDA XEDOS 6 1992-2000  СТ ВЕТР СР</t>
  </si>
  <si>
    <t>6101035</t>
  </si>
  <si>
    <t>MAZDA XEDOS 6 1992-2000 МОЛД  ДЛЯ СТ ВЕТР</t>
  </si>
  <si>
    <t>XEDOS 9 1993-1996</t>
  </si>
  <si>
    <t>6964077</t>
  </si>
  <si>
    <t>MAZDA XEDOS 9 (ЛВРУЛЬ) 1993-1996  СТ ВЕТР ЗЛЗЛ</t>
  </si>
  <si>
    <t>6962005</t>
  </si>
  <si>
    <t>MAZDA XEDOS 9 (ЛВРУЛЬ) 1993-1996  СТ ВЕТР ЗЛЗЛ+ИЗМ КР</t>
  </si>
  <si>
    <t>MCC</t>
  </si>
  <si>
    <t>SMART 1998-2004</t>
  </si>
  <si>
    <t>6960220</t>
  </si>
  <si>
    <t>MCC SMART 1998-2004  СТ ВЕТР ГЛ</t>
  </si>
  <si>
    <t>6969799</t>
  </si>
  <si>
    <t>MCC SMART 1998-2004  СТ ВЕТР ЗЛ</t>
  </si>
  <si>
    <t>6100291</t>
  </si>
  <si>
    <t>MCC SMART 1998-2004 3Д+2Д SOFTВЕРХ 98  МОЛД  ДЛЯ СТ ВЕТР</t>
  </si>
  <si>
    <t>6990979</t>
  </si>
  <si>
    <t>MCC SMART 1998-2004  СТ ПЕР ДВ ОП ЛВ ГЛ</t>
  </si>
  <si>
    <t>6993429</t>
  </si>
  <si>
    <t>MCC SMART 1998-2004  СТ ПЕР ДВ НЕП ЛВ ИНК ГЛ</t>
  </si>
  <si>
    <t>6990982</t>
  </si>
  <si>
    <t>6991016</t>
  </si>
  <si>
    <t>6994771</t>
  </si>
  <si>
    <t>MCC SMART 1998-2004 3Д  СТ ПЕР ДВ ОП ЛВ ЗЛ</t>
  </si>
  <si>
    <t>6994772</t>
  </si>
  <si>
    <t>MCC SMART 1998-2004 3Д  СТ ПЕР ДВ НЕП ЛВ ЗЛ+ИНК</t>
  </si>
  <si>
    <t>6991054</t>
  </si>
  <si>
    <t>MCC SMART 1998-2004  СТ ПЕР ДВ ОП ЛВ ЗЛ</t>
  </si>
  <si>
    <t>6996384</t>
  </si>
  <si>
    <t>MCC SMART 1998-2004  СТ ПЕР ДВ ЛВ НЕП ЗЛ+ИНК</t>
  </si>
  <si>
    <t>6990978</t>
  </si>
  <si>
    <t>MCC SMART 1998-2004  СТ ПЕР ДВ ОП ПР ГЛ</t>
  </si>
  <si>
    <t>6990977</t>
  </si>
  <si>
    <t>MCC SMART 1998-2004  СТ ПЕР ДВ НЕП ПР ИНК ГЛ</t>
  </si>
  <si>
    <t>6990981</t>
  </si>
  <si>
    <t>6991015</t>
  </si>
  <si>
    <t>6994773</t>
  </si>
  <si>
    <t>MCC SMART 1998-2004 3Д  СТ ПЕР ДВ ОП ПР ЗЛ</t>
  </si>
  <si>
    <t>6994774</t>
  </si>
  <si>
    <t>MCC SMART 1998-2004 3Д  СТ ПЕР ДВ НЕП ПР ЗЛ+ИНК</t>
  </si>
  <si>
    <t>6991050</t>
  </si>
  <si>
    <t>MCC SMART 1998-2004 2Д  СТ ПЕР ДВ ОП ПР СТ ПЕР ДВ ОП ПР ЗЛ</t>
  </si>
  <si>
    <t>6996385</t>
  </si>
  <si>
    <t>MCC SMART 1998-2004 2Д  СТ ПЕР ДВ НЕП ПР ЗЛ+ИНК</t>
  </si>
  <si>
    <t>SMART FOR FOUR 2004-</t>
  </si>
  <si>
    <t>6960575</t>
  </si>
  <si>
    <t>MCC SMART FOR FOUR 2004-  СТ ВЕТР ГЛ+VIN</t>
  </si>
  <si>
    <t>6960766</t>
  </si>
  <si>
    <t>MCC SMART FOR FOUR 2004-  СТ ВЕТР ЗЛ+ДД+VIN</t>
  </si>
  <si>
    <t>6960464</t>
  </si>
  <si>
    <t>MCC SMART FOR FOUR 2004-  СТ ВЕТР ЗЛ+VIN</t>
  </si>
  <si>
    <t>6101574</t>
  </si>
  <si>
    <t>MCC SMART FOR FOUR 2004- МОЛД  ДЛЯ СТ ВЕТР НИЖН</t>
  </si>
  <si>
    <t>6992272</t>
  </si>
  <si>
    <t>MCC SMART FOR FOUR ХБ 2004-  СТ ЗАДН ДВ ТГЛ+УО</t>
  </si>
  <si>
    <t>6991870</t>
  </si>
  <si>
    <t>MCC SMART FOR FOUR ХБ 2004-  СТ ЗАДН ЗЛ+УО</t>
  </si>
  <si>
    <t>6992152</t>
  </si>
  <si>
    <t>MCC SMART FOR FOUR 2004-  СТ ЗАДН ДВ ОП ЛВ ГЛ</t>
  </si>
  <si>
    <t>6991895</t>
  </si>
  <si>
    <t>MCC SMART FOR FOUR 2004-  СТ ПЕР ДВ ОП ЛВ ЗЛ</t>
  </si>
  <si>
    <t>6991898</t>
  </si>
  <si>
    <t>MCC SMART FOR FOUR 2004-  СТ ЗАДН ДВ ОП ЛВ ЗЛ</t>
  </si>
  <si>
    <t>6992151</t>
  </si>
  <si>
    <t>MCC SMART FOR FOUR 2004-  СТ ПЕР ДВ ОП ПР ГЛ</t>
  </si>
  <si>
    <t>6991896</t>
  </si>
  <si>
    <t>MCC SMART FOR FOUR 2004-  СТ ПЕР ДВ ОП ПР ЗЛ</t>
  </si>
  <si>
    <t>6991899</t>
  </si>
  <si>
    <t>MCC SMART FOR FOUR 2004-  СТ ЗАДН ДВ ОП ПР ЗЛ</t>
  </si>
  <si>
    <t>SMART FOR TWO 3Д ХБ 2007-</t>
  </si>
  <si>
    <t>6961366</t>
  </si>
  <si>
    <t>MCC SMART FOR TWO 3Д ХБ 2007-  СТ ВЕТР ЗЛ+ДД+VIN</t>
  </si>
  <si>
    <t>6961144</t>
  </si>
  <si>
    <t>MCC SMART FOR TWO 3Д ХБ 2007- СТ ВЕТР ЗЛ+VIN</t>
  </si>
  <si>
    <t>6993711</t>
  </si>
  <si>
    <t>MCC SMART FOR TWO 3Д ХБ 2007- СТ ЗАДН ДВ ЗЛ+ОТКР+УО</t>
  </si>
  <si>
    <t>6993567</t>
  </si>
  <si>
    <t>MCC SMART FOR TWO 3Д ХБ 2007- СТ ПЕР ДВ ОП ЛВ ЗЛ</t>
  </si>
  <si>
    <t>6993854</t>
  </si>
  <si>
    <t>MCC SMART FOR TWO 3Д ХБ 2007- СТ ФОРТ ПЕР НЕП ЛВ ЗЛ+ИНК</t>
  </si>
  <si>
    <t>6993945</t>
  </si>
  <si>
    <t>MCC SMART FOR TWO 3Д ХБ 2007- СТ ПЕР ДВ ОП ПР ЗЛ</t>
  </si>
  <si>
    <t>6993853</t>
  </si>
  <si>
    <t>MCC SMART FOR TWO 3Д ХБ 2007- СТ ФОРТ ПЕР НЕП ПР ЗЛ+ИНК</t>
  </si>
  <si>
    <t>MERCEDES</t>
  </si>
  <si>
    <t>A CLASS 2004- / B CLASS 2005-</t>
  </si>
  <si>
    <t>6961382</t>
  </si>
  <si>
    <t>MERCEDES A CL 2004-  / B CL 2005-  СТ ВЕТР ЗЛГЛ+ДД+VIN+ИЗМ ШЕЛК</t>
  </si>
  <si>
    <t>6961381</t>
  </si>
  <si>
    <t>MERCEDES A CL 2004-  / B CL 2005-  СТ ВЕТР ЗЛГЛ+VIN</t>
  </si>
  <si>
    <t>6961380</t>
  </si>
  <si>
    <t>MERCEDES A CL 2004-  / B CL 2005-  СТ ВЕТР ЗЛ+VIN</t>
  </si>
  <si>
    <t>6996095</t>
  </si>
  <si>
    <t>MERCEDES A CL ХБ 2004-  СТ ЗАДН ЗЛ+СТОП</t>
  </si>
  <si>
    <t>6996476</t>
  </si>
  <si>
    <t>MERCEDES A CL ХБ 2004-  СТ ЗАДН ЗЛ+СТОП+КЛЕММЫ+GPS</t>
  </si>
  <si>
    <t>6996495</t>
  </si>
  <si>
    <t>MERCEDES B CL МИН 2005-  СТ ЗАДН ЗЛ</t>
  </si>
  <si>
    <t>6996494</t>
  </si>
  <si>
    <t>MERCEDES B CL МИН 2005-  СТ ЗАДН ЗЛ+GPS+КЛЕММЫ</t>
  </si>
  <si>
    <t>6997571</t>
  </si>
  <si>
    <t>MERCEDES A CL 3Д 2004-  СТ ПЕР ДВ ОП ЛВ ЗЛ</t>
  </si>
  <si>
    <t>6997572</t>
  </si>
  <si>
    <t>MERCEDES A CL 2004-  / B CL 2005-  СТ ПЕР ДВ ОП ЛВ ЗЛ</t>
  </si>
  <si>
    <t>6997620</t>
  </si>
  <si>
    <t>MERCEDES A CL 5Д 2004-  СТ ЗАДН ДВ ОП ЛВ ЗЛ</t>
  </si>
  <si>
    <t>6996448</t>
  </si>
  <si>
    <t>MERCEDES B CL 2005-  СТ ЗАДН ДВ ОП ЛВ ЗЛ</t>
  </si>
  <si>
    <t>6993880</t>
  </si>
  <si>
    <t>MERCEDES A CL 3Д 2004-  СТ ПЕР ДВ ОП ПР ЗЛ</t>
  </si>
  <si>
    <t>6993881</t>
  </si>
  <si>
    <t>MERCEDES A CL 2004-  / B CL 2005- СТ ПЕР ДВ ОП ПР ЗЛ</t>
  </si>
  <si>
    <t>6993882</t>
  </si>
  <si>
    <t>MERCEDES A CL 5Д 2004-  СТ ЗАДН ДВ ОП ПР ЗЛ</t>
  </si>
  <si>
    <t>6996447</t>
  </si>
  <si>
    <t>MERCEDES B CL 2005-  СТ ЗАДН ДВ ОП ПР ЗЛ</t>
  </si>
  <si>
    <t>A CLASS 1997-2004</t>
  </si>
  <si>
    <t>6963748</t>
  </si>
  <si>
    <t>MERCEDES A CL 1997-2004  СТ ВЕТР ЗЛГЛ+VIN</t>
  </si>
  <si>
    <t>6961044</t>
  </si>
  <si>
    <t>MERCEDES A CL 1997-2004  СТ ВЕТР ЗЛЗЛ+VIN</t>
  </si>
  <si>
    <t>6961045</t>
  </si>
  <si>
    <t>MERCEDES A CL 1997-2004  СТ ВЕТР ЗЛСР+VIN</t>
  </si>
  <si>
    <t>6969740</t>
  </si>
  <si>
    <t>MERCEDES A CL 1997-2004  СТ ВЕТР ЗЛ+VIN+КР</t>
  </si>
  <si>
    <t>6100492</t>
  </si>
  <si>
    <t>MERCEDES A CL 1997-2004  МОЛД  ДЛЯ СТ ВЕТР ВЕРХ</t>
  </si>
  <si>
    <t>6998768</t>
  </si>
  <si>
    <t>MERCEDES A CL ХБ 1997-2004  СТ ЗАДН ЭО ЗЛ АНТ+СТОП</t>
  </si>
  <si>
    <t>6994480</t>
  </si>
  <si>
    <t>MERCEDES A CL 1997-2004  СТ ПЕР ДВ ОП ЛВ ЗЛ</t>
  </si>
  <si>
    <t>6994481</t>
  </si>
  <si>
    <t>MERCEDES A CL 1997-2004  СТ ФОРТ ПЕР ДВ ЛВ ЗЛ</t>
  </si>
  <si>
    <t>6994482</t>
  </si>
  <si>
    <t>MERCEDES A CL 1997-2004  СТ ЗАДН ДВ ОП ЛВ ЗЛ</t>
  </si>
  <si>
    <t>6980106</t>
  </si>
  <si>
    <t>MERCEDES A CL 2001-2004  СТ ЗАДН ДВ ОП ЛВ ЗЛ+ИЗМ РАЗМ</t>
  </si>
  <si>
    <t>6994483</t>
  </si>
  <si>
    <t>MERCEDES A CL 1997-2004  СТ ПЕР ДВ ОП ПР ЗЛ</t>
  </si>
  <si>
    <t>6994484</t>
  </si>
  <si>
    <t>MERCEDES A CL 1997-2004  СТ ФОРТ ПЕР ДВ ПР ЗЛ</t>
  </si>
  <si>
    <t>6994485</t>
  </si>
  <si>
    <t>MERCEDES A CL 1997-2004  СТ ЗАДН ДВ ОП ПР ЗЛ</t>
  </si>
  <si>
    <t>6980107</t>
  </si>
  <si>
    <t>MERCEDES A CL 2001-2004  СТ ЗАДН ДВ ОП ПР ЗЛ+ИЗМ РАЗМ</t>
  </si>
  <si>
    <t>CL CLASS 2006-</t>
  </si>
  <si>
    <t>6962625</t>
  </si>
  <si>
    <t>MERCEDES CL CL (W216) 2006-  СТ ВЕТР+ЭО+ДД+VIN+УО</t>
  </si>
  <si>
    <t>6962624</t>
  </si>
  <si>
    <t>MERCEDES CL CL (W216) 2006-  СТ ВЕТР ЭО+ДД+VIN+УО</t>
  </si>
  <si>
    <t>CPE 2009-</t>
  </si>
  <si>
    <t>6962308</t>
  </si>
  <si>
    <t>MERCEDES CLK CPE 09 СТ ВЕТР ЗЛ+ДД+VIN+ДО</t>
  </si>
  <si>
    <t>6962340</t>
  </si>
  <si>
    <t>MERCEDES E-CL 09-СТ ВЕТР ЗЛ+АНТ+ДД+VIN+ИНК</t>
  </si>
  <si>
    <t>6962899</t>
  </si>
  <si>
    <t>MERCEDES E-CL 09-СТ ВЕТР ЗЛ+ДД+VIN+ИНК+ИЗМУО</t>
  </si>
  <si>
    <t>6962900</t>
  </si>
  <si>
    <t>6996406</t>
  </si>
  <si>
    <t>MERCEDES CPE 2009- СТ ПЕР ДВ ОП ЛВ ЗЛ</t>
  </si>
  <si>
    <t>6996409</t>
  </si>
  <si>
    <t>MERCEDES CPE 2009- СТ ЗАДН НЕП ЛВ ЗЛ+УО</t>
  </si>
  <si>
    <t>6996405</t>
  </si>
  <si>
    <t>MERCEDES CPE 2009- СТ ПЕР ДВ ОП ПР ЗЛ</t>
  </si>
  <si>
    <t>6996408</t>
  </si>
  <si>
    <t>MERCEDES CPE 2009- СТ ЗАДН НЕП ПР ЗЛ+УО</t>
  </si>
  <si>
    <t>E-CLASS 4Д W212 СД 2009-</t>
  </si>
  <si>
    <t>6965083</t>
  </si>
  <si>
    <t>MERCEDES E-CLASS 2010- СТ ВЕТР ЗЛ+ЭО+ДД</t>
  </si>
  <si>
    <t>6901278</t>
  </si>
  <si>
    <t>MERCEDES E-CLASS 4Д W212 СД 2009- СТ ПЕР ДВ ОП ЛВ ЗЛ</t>
  </si>
  <si>
    <t>6901280</t>
  </si>
  <si>
    <t>MERCEDES E-CLASS 4Д W212 СД 2009- СТ ЗАДН ДВ ОП ЛВ ЗЛ</t>
  </si>
  <si>
    <t>6901277</t>
  </si>
  <si>
    <t>MERCEDES E-CLASS 4Д W212 СД 2009- СТ ПЕР ДВ ОП ПР ЗЛ</t>
  </si>
  <si>
    <t>6901279</t>
  </si>
  <si>
    <t>MERCEDES E-CLASS 4Д W212 СД 2009- СТ ЗАДН ДВ ОП ПР ЗЛ</t>
  </si>
  <si>
    <t>G-MODEL RANGER (GELANDEVAGEN) 1983-2006</t>
  </si>
  <si>
    <t>6963561</t>
  </si>
  <si>
    <t>1983-2006</t>
  </si>
  <si>
    <t>MERCEDES RANGER 230 300 1983-2006  СТ ВЕТР</t>
  </si>
  <si>
    <t>6963562</t>
  </si>
  <si>
    <t>MERCEDES RANGER 230 300 1983-2006  СТ ВЕТР ЗЛ</t>
  </si>
  <si>
    <t>6964061</t>
  </si>
  <si>
    <t>MERCEDES RANGER 230 300 09/1997-2006  СТ ВЕТР ЗЛ</t>
  </si>
  <si>
    <t>6964264</t>
  </si>
  <si>
    <t>MERCEDES RANGER 230 300 1983-2006  СТ ВЕТР ЗЛГЛ</t>
  </si>
  <si>
    <t>6963563</t>
  </si>
  <si>
    <t>MERCEDES RANGER 230 300 1983-2006  СТ ВЕТР ЗЛЗЛ</t>
  </si>
  <si>
    <t>6950219</t>
  </si>
  <si>
    <t>MERCEDES RANGER 230 300 09/1997-2006 СТ ВЕТР ЗЛЗЛ</t>
  </si>
  <si>
    <t>6964062</t>
  </si>
  <si>
    <t>MERCEDES RANGER 230 300 09/1997-2006  СТ ВЕТР ЗЛ+ЭО</t>
  </si>
  <si>
    <t>6101128</t>
  </si>
  <si>
    <t>MERCEDES RANGER 230 300 09/1997-2006  РЕЗ ПРОФ ДЛЯ СТ ВЕТР</t>
  </si>
  <si>
    <t>6999542</t>
  </si>
  <si>
    <t>MERCEDES RANGER 230 300 1983-2006  СТ БОК НЕП</t>
  </si>
  <si>
    <t>6999717</t>
  </si>
  <si>
    <t>MERCEDES RANGER 230 300 1983-2006  СТ ПЕР ДВ ОП ЗЛ</t>
  </si>
  <si>
    <t>6999543</t>
  </si>
  <si>
    <t>MERCEDES RANGER 230 300 1983-2006  СТ БОК НЕП ЗЛ</t>
  </si>
  <si>
    <t>GLK JEEP 2008-</t>
  </si>
  <si>
    <t>6996347</t>
  </si>
  <si>
    <t>MERCEDES GLK JEEP 2008- СТ ЗАДН ОП ЛВ СР</t>
  </si>
  <si>
    <t>6996345</t>
  </si>
  <si>
    <t>MERCEDES GLK JEEP 2008- СТ ЗАДН ДВ ОП ПР ЛВ</t>
  </si>
  <si>
    <t>6996349</t>
  </si>
  <si>
    <t>MERCEDES GLK JEEP 2008- СТ ПЕР ДВ ОП ЛВ ЗЛ</t>
  </si>
  <si>
    <t>6996348</t>
  </si>
  <si>
    <t>MERCEDES GLK JEEP 2008- СТ ПЕР ДВ ОП ПР ЗЛ</t>
  </si>
  <si>
    <t>6996344</t>
  </si>
  <si>
    <t>MERCEDES GLK JEEP 2008- СТ ЗАДН ДВ ОП ПР ЗЛ</t>
  </si>
  <si>
    <t>6996346</t>
  </si>
  <si>
    <t>MERCEDES GLK JEEP 2008- СТ ЗАДН ОП ПР СР</t>
  </si>
  <si>
    <t>M CLASS (ML) 1998-2005</t>
  </si>
  <si>
    <t>6961086</t>
  </si>
  <si>
    <t>MERCEDES M CL 1999-2005  СТ ВЕТР ЗЛСР ДД+ИНК+VIN</t>
  </si>
  <si>
    <t>6963277</t>
  </si>
  <si>
    <t>MERCEDES M CL 1998-2005  СТ ВЕТР ЗЛСР+VIN+ИНК</t>
  </si>
  <si>
    <t>6961087</t>
  </si>
  <si>
    <t>MERCEDES M CL 1999-2005  СТ ВЕТР ЗЛСР+VIN+ИНК</t>
  </si>
  <si>
    <t>6961088</t>
  </si>
  <si>
    <t>MERCEDES M CL 2000-2005  СТ ВЕТР ЗЛСР+VIN+ИНК</t>
  </si>
  <si>
    <t>6998554</t>
  </si>
  <si>
    <t>MERCEDES M CL ВН 1998-2005  СТ ЗАДН ТЗЛ+АНТ+СТОП</t>
  </si>
  <si>
    <t>6998020</t>
  </si>
  <si>
    <t>MERCEDES M CL ВН 1998-2005  СТ ЗАДН ЗЛ+АНТ+СТОП</t>
  </si>
  <si>
    <t>6991931</t>
  </si>
  <si>
    <t>MERCEDES M CL 1998-2005  СТ ПЕР ДВ ОП ЛВ ЗЛ</t>
  </si>
  <si>
    <t>6993675</t>
  </si>
  <si>
    <t>MERCEDES M CL 1998-2005  СТ ЗАДН ДВ ОП ЛВ ЗЛ</t>
  </si>
  <si>
    <t>6993676</t>
  </si>
  <si>
    <t>MERCEDES M CL 1998-2005  СТ ФОРТ ЗАДН НЕП ЛВ ЗЛ</t>
  </si>
  <si>
    <t>6900639</t>
  </si>
  <si>
    <t>MERCEDES M CL 1998-2005  СТ ЗАДН ДВ ОП ЛВ СР</t>
  </si>
  <si>
    <t>6991929</t>
  </si>
  <si>
    <t>MERCEDES M CL 1998-2005  СТ ПЕР ДВ ОП ПР ЗЛ</t>
  </si>
  <si>
    <t>6993691</t>
  </si>
  <si>
    <t>MERCEDES M CL 1998-2005  СТ ЗАДН ДВ ОП ПР ЗЛ</t>
  </si>
  <si>
    <t>6993677</t>
  </si>
  <si>
    <t>MERCEDES M CL 1998-2005  СТ ФОРТ ЗАДН НЕП ПР ЗЛ</t>
  </si>
  <si>
    <t>6900246</t>
  </si>
  <si>
    <t>MERCEDES M CL 1998-2005  СТ ЗАДН ДВ ОП ПР СР</t>
  </si>
  <si>
    <t>M CLASS (W164) 2005-</t>
  </si>
  <si>
    <t>6961413</t>
  </si>
  <si>
    <t>MERCEDES M CL (W164) 2005-/ GL CL 2006-  СТ ВЕТР ГЛ+ДД+VIN+ИНК</t>
  </si>
  <si>
    <t>6961414</t>
  </si>
  <si>
    <t>MERCEDES M CL (W164) 2005-/ GL CL 2006-  СТ ВЕТР ЗЛ+ДД+VIN+ИНК</t>
  </si>
  <si>
    <t>6994021</t>
  </si>
  <si>
    <t>MERCEDES M CL (W164) 2005- / GL CL 2006-  СТ ПЕР ДВ ОП ЛВ ГЛ</t>
  </si>
  <si>
    <t>6994028</t>
  </si>
  <si>
    <t>MERCEDES M CL (W164) 2005- СТ ЗАДН ДВ ОП ЛВ ГЛ</t>
  </si>
  <si>
    <t>6994022</t>
  </si>
  <si>
    <t>MERCEDES M CL (W164) 2005- / GL CL 2006-  СТ ПЕР ДВ ОП ЛВ ЗЛ</t>
  </si>
  <si>
    <t>6994030</t>
  </si>
  <si>
    <t>MERCEDES M CL (W164) 2005- СТ ЗАДН ДВ ОП ЛВ ЗЛ</t>
  </si>
  <si>
    <t>6900171</t>
  </si>
  <si>
    <t>MERCEDES M CL (W164) 2005- СТ ЗАДН ДВ ОП ЛВ БР</t>
  </si>
  <si>
    <t>6994024</t>
  </si>
  <si>
    <t>MERCEDES M CL (W164) 2005- / GL CL 2006-  СТ ПЕР ДВ ОП ПР ГЛ</t>
  </si>
  <si>
    <t>6994032</t>
  </si>
  <si>
    <t>MERCEDES M CL (W164) 2005- СТ ЗАДН ДВ ОП ПР ГЛ</t>
  </si>
  <si>
    <t>6961841</t>
  </si>
  <si>
    <t>MERCEDES M CL (W164) 2005- / GL CL 2006-  СТ ПЕР ДВ ОП ПР+ТРИПЛ+УО</t>
  </si>
  <si>
    <t>6994026</t>
  </si>
  <si>
    <t>MERCEDES M CL (W164) 2005- / GL CL 2006-  СТ ПЕР ДВ ОП ПР ЗЛ</t>
  </si>
  <si>
    <t>6994034</t>
  </si>
  <si>
    <t>MERCEDES M CL (W164) 2005- СТ ЗАДН ДВ ОП ПР ЗЛ</t>
  </si>
  <si>
    <t>6900251</t>
  </si>
  <si>
    <t>MERCEDES M CL (W164) 2005- СТ ЗАДН ДВ ОП ПР БР</t>
  </si>
  <si>
    <t>R CLASS 2006-</t>
  </si>
  <si>
    <t>6962384</t>
  </si>
  <si>
    <t>MERCEDES R CL 2006-  СТ ВЕТР ГЛ+ДД+VIN+ИНК</t>
  </si>
  <si>
    <t>6961449</t>
  </si>
  <si>
    <t>MERCEDES R CL 2006-  СТ ВЕТР ЗЛ+ДД+VIN+ИНК</t>
  </si>
  <si>
    <t>6999979</t>
  </si>
  <si>
    <t>MERCEDES R CL 2006-  СТ ПЕР ДВ ОП ЛВ ГЛ</t>
  </si>
  <si>
    <t>6999980</t>
  </si>
  <si>
    <t>MERCEDES R CL 2006-  СТ ПЕР ДВ ОП ЛВ ЗЛ</t>
  </si>
  <si>
    <t>6900172</t>
  </si>
  <si>
    <t>MERCEDES R CL 2006-  СТ ЗАДН ДВ ОП ЛВ СР</t>
  </si>
  <si>
    <t>6900067</t>
  </si>
  <si>
    <t>MERCEDES R CL 2006-  СТ ПЕР ДВ ОП ПР ГЛ</t>
  </si>
  <si>
    <t>6900252</t>
  </si>
  <si>
    <t>MERCEDES R CL 2006-  СТ ЗАДН ДВ ОП ПР ГЛ</t>
  </si>
  <si>
    <t>6900068</t>
  </si>
  <si>
    <t>MERCEDES R CL 2006-  СТ ПЕР ДВ ОП ПР ЗЛ</t>
  </si>
  <si>
    <t>6900253</t>
  </si>
  <si>
    <t>MERCEDES R CL 2006-  СТ ЗАДН ДВ ОП ПР ЗЛ</t>
  </si>
  <si>
    <t>6900254</t>
  </si>
  <si>
    <t>MERCEDES R CL 2006-  СТ ЗАДН ДВ ОП ПР СР PR</t>
  </si>
  <si>
    <t>SL CONV 2001-2006</t>
  </si>
  <si>
    <t>6950096</t>
  </si>
  <si>
    <t>MERCEDES SL CONV 2001-2006 СТ ВЕТР ЗЛ СР+АНТ+ЭО+ТВ АНТ+ДД+УО+VIN</t>
  </si>
  <si>
    <t>6962951</t>
  </si>
  <si>
    <t>MERCEDES SL CONV 2001-2006 СТ ВЕТР ЗЛСР+АНТ+ТВ АНТ+МЕТК Д/Д+VIN+УО</t>
  </si>
  <si>
    <t>6999905</t>
  </si>
  <si>
    <t>MERCEDES SL CONV КБ 2001-2006 СТ ЗАДН ЗЛ+УО</t>
  </si>
  <si>
    <t>6999984</t>
  </si>
  <si>
    <t>MERCEDES SL CONV 2001-2006 СТ ПЕР ДВ ОП ЛВ ЗЛ</t>
  </si>
  <si>
    <t>6900071</t>
  </si>
  <si>
    <t>MERCEDES SL CONV 2001-2006 СТ ПЕР ДВ ОП ПР ЗЛ</t>
  </si>
  <si>
    <t>SLK ROADSTER 1996-2004</t>
  </si>
  <si>
    <t>6963316</t>
  </si>
  <si>
    <t>MERCEDES SLK ROADSTER 1996-2004  СТ ВЕТР ЗЛ+VIN</t>
  </si>
  <si>
    <t>6100985</t>
  </si>
  <si>
    <t>MERCEDES SLK ROADSTER 1996-2004 МОЛД  ДЛЯ СТ ВЕТР ВЕРХ</t>
  </si>
  <si>
    <t>6998900</t>
  </si>
  <si>
    <t>MERCEDES SLK ROADSTER КБ 1996-2004  СТ ЗАДН ЗЛ+ИНК</t>
  </si>
  <si>
    <t>6994472</t>
  </si>
  <si>
    <t>MERCEDES SLK ROADSTER 1996-2004  СТ ПЕР ДВ ОП ЛВ ЗЛ</t>
  </si>
  <si>
    <t>6995563</t>
  </si>
  <si>
    <t>MERCEDES SLK ROADSTER 1996-2004  СТ БОК НЕП ЛВ ЗЛ ОТКР</t>
  </si>
  <si>
    <t>6994473</t>
  </si>
  <si>
    <t>MERCEDES SLK ROADSTER 1996-2004  СТ ПЕР ДВ ОП ПР ЗЛ</t>
  </si>
  <si>
    <t>6995564</t>
  </si>
  <si>
    <t>MERCEDES SLK ROADSTER 1996-2004  СТ БОК НЕП ПР ЗЛ ОТКР</t>
  </si>
  <si>
    <t>W123, 200-300 + T/TE 1976-1986</t>
  </si>
  <si>
    <t>6969701</t>
  </si>
  <si>
    <t>MERCEDES 200 300, W123 СД+УН 1976-1987  СТ ВЕТР</t>
  </si>
  <si>
    <t>6969702</t>
  </si>
  <si>
    <t>MERCEDES 200 300, W123 СД+УН 1976-1987  СТ ВЕТР ЗЛ</t>
  </si>
  <si>
    <t>6969706</t>
  </si>
  <si>
    <t>MERCEDES 200 300, W123 СД+УН 1976-1987  СТ ВЕТР ЗЛГЛ</t>
  </si>
  <si>
    <t>6969703</t>
  </si>
  <si>
    <t>MERCEDES 200 300, W123 СД+УН 1976-1987  СТ ВЕТР ЗЛЗЛ</t>
  </si>
  <si>
    <t>6100396</t>
  </si>
  <si>
    <t>MERCEDES 200 300, W123 СД+УН 1976-1987 РЕЗ ПРОФ ДЛЯ СТ ВЕТР</t>
  </si>
  <si>
    <t>6998954</t>
  </si>
  <si>
    <t>1976-1986</t>
  </si>
  <si>
    <t>MERCEDES 200 300, W123 СД+УН 1976-1987  СТ ЗАДН ЭО ЗЛ</t>
  </si>
  <si>
    <t>6100491</t>
  </si>
  <si>
    <t>MERCEDES 200 300, W123 СД+УН 1976-1987 РЕЗ С МОЛД ДЛЯ СТ ЗАДН</t>
  </si>
  <si>
    <t>6995729</t>
  </si>
  <si>
    <t>MERCEDES 200 300, W123 СД 1976-1986 СТ ПЕР ДВ ОП ЛВ</t>
  </si>
  <si>
    <t>6996751</t>
  </si>
  <si>
    <t>MERCEDES 200 300, W123 СД 1976-1986 СТ ФОРТ ЗАДН НЕП ЛВ</t>
  </si>
  <si>
    <t>6996754</t>
  </si>
  <si>
    <t>MERCEDES 200 300, W123 УН 1976-1986 СТ ФОРТ ЗАДН НЕП ЛВ ЗЛ</t>
  </si>
  <si>
    <t>6996755</t>
  </si>
  <si>
    <t>MERCEDES 200 300, W123 СД 1976-1986 СТ ПЕР ДВ ОП ЛВ ЗЛ</t>
  </si>
  <si>
    <t>6996756</t>
  </si>
  <si>
    <t>MERCEDES 200 300, W123 СД 1976-1986 СТ ЗАДН ДВ ОП ЛВ ЗЛ</t>
  </si>
  <si>
    <t>6996757</t>
  </si>
  <si>
    <t>MERCEDES 200 300, W123 СД 1976-1986 СТ ФОРТ ЗАДН НЕП ЛВ ЗЛ</t>
  </si>
  <si>
    <t>6995730</t>
  </si>
  <si>
    <t>MERCEDES 200 300, W123 СД 1976-1986 СТ ПЕР ДВ ОП ПР</t>
  </si>
  <si>
    <t>6996753</t>
  </si>
  <si>
    <t>MERCEDES 200 300, W123 СД 1976-1986 СТ ФОРТ ЗАДН НЕП ПР</t>
  </si>
  <si>
    <t>6996759</t>
  </si>
  <si>
    <t>MERCEDES 200 300, W123 СД 1976-1986 СТ ПЕР ДВ ОП ПР ЗЛ</t>
  </si>
  <si>
    <t>6996760</t>
  </si>
  <si>
    <t>MERCEDES 200 300, W123 СД 1976-1986 СТ ЗАДН ДВ ОП ПР ЗЛ</t>
  </si>
  <si>
    <t>6996761</t>
  </si>
  <si>
    <t>MERCEDES 200 300, W123 СД 1976-1986 СТ ФОРТ ЗАДН НЕП ПР ЗЛ</t>
  </si>
  <si>
    <t>W123, 230-280 CE КП 1977-1987</t>
  </si>
  <si>
    <t>6963560</t>
  </si>
  <si>
    <t>1977-1987</t>
  </si>
  <si>
    <t>MERCEDES 230 280 1977-1987 СТ ВЕТР ЗЛ</t>
  </si>
  <si>
    <t>W124, 200-320 КП + КБ 1987-1993</t>
  </si>
  <si>
    <t>6969727</t>
  </si>
  <si>
    <t>MERCEDES W 124 КП 1987-06/1993 СТ ВЕТР ЗЛ</t>
  </si>
  <si>
    <t>6969729</t>
  </si>
  <si>
    <t>MERCEDES W 124 КП 1987-06/1993 СТ ВЕТР ЗЛГЛ</t>
  </si>
  <si>
    <t>6969728</t>
  </si>
  <si>
    <t>MERCEDES W 124 КП 1987-06/1993 СТ ВЕТР ЗЛЗЛ</t>
  </si>
  <si>
    <t>6998897</t>
  </si>
  <si>
    <t>MERCEDES W 124 КП 1987-1993  СТ ЗАДН ЗЛ+ТРИПЛ</t>
  </si>
  <si>
    <t>6994445</t>
  </si>
  <si>
    <t>MERCEDES W 124 КП 1987-1993  СТ ПЕР ДВ ОП ЛВ ЗЛ</t>
  </si>
  <si>
    <t>6994446</t>
  </si>
  <si>
    <t>MERCEDES W 124 КП 1987-1993  СТ ПЕР ДВ ОП ПР ЗЛ</t>
  </si>
  <si>
    <t>W124, 200-500E СЕД УН 1985-1993</t>
  </si>
  <si>
    <t>6969720</t>
  </si>
  <si>
    <t>1985-1993</t>
  </si>
  <si>
    <t>MERCEDES W124, 200-500E СЕД УН 1985-1993 СТ ВЕТР</t>
  </si>
  <si>
    <t>6969721</t>
  </si>
  <si>
    <t>MERCEDES W124, 200-500E СЕД УН 1985-1993 СТ ВЕТР ЗЛ</t>
  </si>
  <si>
    <t>6969723</t>
  </si>
  <si>
    <t>MERCEDES 200 300, W124 1985-06/1993 СТ ВЕТР ЗЛГЛ</t>
  </si>
  <si>
    <t>6969722</t>
  </si>
  <si>
    <t>MERCEDES 200 300, W124 1985-06/1993 СТ ВЕТР ЗЛЗЛ</t>
  </si>
  <si>
    <t>6961167</t>
  </si>
  <si>
    <t>MERCEDES 200 300, W124 1985-06/1993 СТ ВЕТ ЗЛЗЛ+РЕЗ+VIN</t>
  </si>
  <si>
    <t>6969781</t>
  </si>
  <si>
    <t>MERCEDES 200 300, W124 1985-06/1993 СТ ВЕТР ЗЛЗЛ+УО</t>
  </si>
  <si>
    <t>6963698</t>
  </si>
  <si>
    <t>MERCEDES 200 300, W124 1985-06/1993 СТ ВЕТР ЗЛ+УО</t>
  </si>
  <si>
    <t>6100118</t>
  </si>
  <si>
    <t>MERCEDES 200 300, W124 1985-06/1993 МОЛД  ДЛЯ СТ ВЕТР НИЖН</t>
  </si>
  <si>
    <t>6998764</t>
  </si>
  <si>
    <t>MERCEDES 200 300, W124 СД 1985-06/1993 СТ ЗАДН</t>
  </si>
  <si>
    <t>6995305</t>
  </si>
  <si>
    <t>MERCEDES 200 300, W124 УН 1985-06/1993 СТ ЗАДН ЗЛ</t>
  </si>
  <si>
    <t>6995304</t>
  </si>
  <si>
    <t>MERCEDES 200 300, W124 СД 1985-06/1993 СТ ЗАДН ЭО ЗЛ</t>
  </si>
  <si>
    <t>6996770</t>
  </si>
  <si>
    <t>MERCEDES 200 300, W124 СЕД 1985-06/1993 СТ ПЕР ДВ ОП ЛВ</t>
  </si>
  <si>
    <t>6996771</t>
  </si>
  <si>
    <t>MERCEDES 200 300, W124 СЕД 1985-06/1993 СТ ЗАДН ДВ ОП ЛВ</t>
  </si>
  <si>
    <t>6996772</t>
  </si>
  <si>
    <t>MERCEDES 200 300, W124 СЕД 1985-06/1993 СТ ФОРТ ЗАДН НЕП ЛВ</t>
  </si>
  <si>
    <t>6996776</t>
  </si>
  <si>
    <t>MERCEDES 200 300, W124 УН 1985-06/1993 СТ ЗАДН ДВ ОП ЛВ ЗЛ</t>
  </si>
  <si>
    <t>6995735</t>
  </si>
  <si>
    <t>MERCEDES 200 300, W124 УН 1985-06/1993 СТ БОК НЕП ЛВ ЗЛ</t>
  </si>
  <si>
    <t>6995299</t>
  </si>
  <si>
    <t>6995300</t>
  </si>
  <si>
    <t>MERCEDES 200 300, W124 СЕД 1985-06/1993 СТ ПЕР ДВ ОП ЛВ ЗЛ</t>
  </si>
  <si>
    <t>6995302</t>
  </si>
  <si>
    <t>MERCEDES 200 300, W124 СЕД 1985-06/1993 СТ ЗАДН ДВ ОП ЛВ ЗЛ</t>
  </si>
  <si>
    <t>6999101</t>
  </si>
  <si>
    <t>MERCEDES 200 300, W124 СЕД 1985-06/1993 СТ БОК НЕП ЛВ ЗЛ</t>
  </si>
  <si>
    <t>6996773</t>
  </si>
  <si>
    <t>MERCEDES 200 300, W124 СЕД 1985-06/1993 СТ ПЕР ДВ ОП ПР</t>
  </si>
  <si>
    <t>6996774</t>
  </si>
  <si>
    <t>MERCEDES 200 300, W124 СЕД 1985-06/1993 СТ ЗАДН ДВ ОП ПР</t>
  </si>
  <si>
    <t>6996775</t>
  </si>
  <si>
    <t>MERCEDES 200 300, W124 СЕД 1985-06/1993 СТ ФОРТ ЗАДН НЕП ПР</t>
  </si>
  <si>
    <t>6996777</t>
  </si>
  <si>
    <t>MERCEDES 200 300, W124 УН 1985-06/1993 СТ ЗАДН ДВ ОП ПР ЗЛ</t>
  </si>
  <si>
    <t>6995736</t>
  </si>
  <si>
    <t>MERCEDES 200 300, W124 УН 1985-06/1993 СТ БОК НЕП ПР ЗЛ</t>
  </si>
  <si>
    <t>6995298</t>
  </si>
  <si>
    <t>6995301</t>
  </si>
  <si>
    <t>MERCEDES 200 300, W124 СЕД 1985-06/1993 СТ ПЕР ДВ ОП ПР ЗЛ</t>
  </si>
  <si>
    <t>6995303</t>
  </si>
  <si>
    <t>MERCEDES 200 300, W124 СЕД 1985-06/1993 СТ ЗАДН ДВ ОП ПР ЗЛ</t>
  </si>
  <si>
    <t>6999100</t>
  </si>
  <si>
    <t>MERCEDES 200 300, W124 СЕД 1985-06/1993 СТ БОК НЕП ПР ЗЛ</t>
  </si>
  <si>
    <t>W126, 260-560 СЕД (LHD) 1979-1991</t>
  </si>
  <si>
    <t>6964372</t>
  </si>
  <si>
    <t>1979-1991</t>
  </si>
  <si>
    <t>MERCEDES 280 500 1979-1991 СТ ВЕТР</t>
  </si>
  <si>
    <t>6969725</t>
  </si>
  <si>
    <t>MERCEDES 280 500 1979-1991 СТ ВЕТР ЗЛ</t>
  </si>
  <si>
    <t>6969724</t>
  </si>
  <si>
    <t>MERCEDES 280 500 1979-1991 СТ ВЕТР ЗЛЗЛ</t>
  </si>
  <si>
    <t>6190242</t>
  </si>
  <si>
    <t>MERCEDES 280 500 1979-1991 СТ ПЕР ДВ ОП ЛВ ЗЛ/MERCEDES 280 500 1979-1991 СТ ПЕР ДВ ОП ЛВ ЗЛ</t>
  </si>
  <si>
    <t>6190245</t>
  </si>
  <si>
    <t>MERCEDES 280 500 1979-1991 СТ ФОРТ ЗАДН НЕП ЛВ ЗЛ/MERCEDES 280 500 1979-1991 СТ ФОРТ ЗАДН НЕП ЛВ ЗЛ</t>
  </si>
  <si>
    <t>6190250</t>
  </si>
  <si>
    <t>MERCEDES 280 500 1979-1991 СТ ПЕР ДВ ОП ПР ЗЛ/MERCEDES 280 500 1979-1991 СТ ПЕР ДВ ОП ПР ЗЛ</t>
  </si>
  <si>
    <t>6190253</t>
  </si>
  <si>
    <t>MERCEDES 280 500 1979-1991 СТ ФОРТ ЗАДН НЕП ПР ЗЛ/MERCEDES 280 500 1979-1991 СТ ФОРТ ЗАДН НЕП ПР ЗЛ</t>
  </si>
  <si>
    <t>W126, 260-560 СЕД (RHD) 1979-1991</t>
  </si>
  <si>
    <t>6995731</t>
  </si>
  <si>
    <t>6995732</t>
  </si>
  <si>
    <t>6995733</t>
  </si>
  <si>
    <t>6995734</t>
  </si>
  <si>
    <t>W126, 380-560 СЕД КП (LHD) 1981-1992</t>
  </si>
  <si>
    <t>6963747</t>
  </si>
  <si>
    <t>MERCEDES 280 500 1981-1992 СТ ВЕТР ЗЛЗЛ</t>
  </si>
  <si>
    <t>W129, 300-500 SL 280-600 1989-2001</t>
  </si>
  <si>
    <t>6963699</t>
  </si>
  <si>
    <t>1989-2001</t>
  </si>
  <si>
    <t>MERCEDES 380 500 SL SPORTS 1989-2001  СТ ВЕТР ЗЛЗЛ</t>
  </si>
  <si>
    <t>6999395</t>
  </si>
  <si>
    <t>MERCEDES 380 500 SL SPORTS 1989-2001  СТ ПЕР ДВ ОП ЛВ ЗЛ</t>
  </si>
  <si>
    <t>6999396</t>
  </si>
  <si>
    <t>MERCEDES 380 500 SL SPORTS 1989-2001  СТ ПЕР ДВ ОП ПР ЗЛ</t>
  </si>
  <si>
    <t>W140, S CLASS 280-600 (LHD) 1991-1998</t>
  </si>
  <si>
    <t>6969779</t>
  </si>
  <si>
    <t>MERCEDES S CL W140(ЛВРУЛЬ) 1991-1998  СТ ВЕТР ЗЛЗЛ</t>
  </si>
  <si>
    <t>6969780</t>
  </si>
  <si>
    <t>MERCEDES S CL W140(ЛВРУЛЬ) 1991-1998  СТ ВЕТ ЗЛЗЛ+VIN</t>
  </si>
  <si>
    <t>6969717</t>
  </si>
  <si>
    <t>MERCEDES S CL W140(ЛВРУЛЬ) 1991-1998  СТ ВЕТ ЗЛСР+VIN+ДД</t>
  </si>
  <si>
    <t>6961988</t>
  </si>
  <si>
    <t>MERCEDES S CL W140(ЛВРУЛЬ) 1991-1998  СТ ВЕТР ЗЛСР+VIN</t>
  </si>
  <si>
    <t>6998654</t>
  </si>
  <si>
    <t>MERCEDES S CL W140 СД 1991-1998  СТ ЗАДН ЗЛ+АНТ+ТРИПЛ/MERCEDES S CL W140 91  СТ ЗАДН ЗЛ+АНТ+ТРИПЛ</t>
  </si>
  <si>
    <t>6994447</t>
  </si>
  <si>
    <t>MERCEDES S CL W140 1991-1998  СТ ПЕР ДВ ОП ЛВ ЗЛ ДВ/MERCEDES S CL W140 91  СТ ПЕР ДВ ОП ЛВ ЗЛ+СТ ПАКЕТ</t>
  </si>
  <si>
    <t>6994448</t>
  </si>
  <si>
    <t>MERCEDES S CL W140 1991-1998  СТ ЗАДН ДВ ОП ЛВ ЗЛ ДВ/MERCEDES S CL W140 91  СТ ЗАДН ДВ ОП ЛВ ЗЛ+СТ ПАКЕТ</t>
  </si>
  <si>
    <t>6994449</t>
  </si>
  <si>
    <t>6994450</t>
  </si>
  <si>
    <t>MERCEDES S CL W140 1991-1998  СТ ФОРТ ЗАДН НЕП ЛВ ЗЛ ДВ/MERCEDES S CL W140 91  СТ ФОРТ ЗАДН НЕП ЛВ ЗЛ+СТ ПАКЕТ</t>
  </si>
  <si>
    <t>6994453</t>
  </si>
  <si>
    <t>MERCEDES S CL W140 1991-1998  СТ ЗАДН ДВ ОП ПР ЗЛ ДВ/MERCEDES S CL W140 91  СТ ЗАДН ДВ ОП ПР ЗЛ+СТ ПАКЕТ</t>
  </si>
  <si>
    <t>W140 1991-1998</t>
  </si>
  <si>
    <t>6190267</t>
  </si>
  <si>
    <t>MERCEDES S CL W140 СД 1991-1998 СТ ЗАДН ЗЛ+АНТ+ТРИПЛ/MERCEDES S CL W140 1991-1998  СТ ЗАДН ЗЛ+АНТ+ТРИПЛ</t>
  </si>
  <si>
    <t>6190268</t>
  </si>
  <si>
    <t>MERCEDES S CL W140 1991-1998 СТ ПЕР ДВ ОП ЛВ ЗЛ+СТ ПАКЕТ/MERCEDES S CL W140 1991-1998  СТ ПЕР ДВ ОП ЛВ ЗЛ ДВ</t>
  </si>
  <si>
    <t>6190269</t>
  </si>
  <si>
    <t>MERCEDES S CL W140 1991-1998 СТ ЗАДН ДВ ОП ЛВ ЗЛ+СТ ПАКЕТ/MERCEDES S CL W140 1991-1998  СТ ЗАДН ДВ ОП ЛВ ЗЛ ДВ</t>
  </si>
  <si>
    <t>6190270</t>
  </si>
  <si>
    <t>6190271</t>
  </si>
  <si>
    <t>MERCEDES S CL W140 1991-1998 СТ ФОРТ ЗАДН НЕП ЛВ ЗЛ+СТ ПАКЕТ/MERCEDES S CL W140 1991-1998  СТ ФОРТ ЗАДН НЕП ЛВ ЗЛ ДВ</t>
  </si>
  <si>
    <t>6190274</t>
  </si>
  <si>
    <t>MERCEDES S CL W140 1991-1998 СТ ЗАДН ДВ ОП ПР ЗЛ+СТ ПАКЕТ/MERCEDES S CL W140 1991-1998  СТ ЗАДН ДВ ОП ПР ЗЛ ДВ</t>
  </si>
  <si>
    <t>W140, S CLASS КП 500 1992-1998</t>
  </si>
  <si>
    <t>6964518</t>
  </si>
  <si>
    <t>MERCEDES 380 560 SEC/W140 (ЛВРУЛЬ) 1992-1998  СТ ВЕТР ЗЛЗЛ</t>
  </si>
  <si>
    <t>6962946</t>
  </si>
  <si>
    <t>MERCEDES 380 560 SEC/W140 (ЛВРУЛЬ) 1992-1998  СТ ВЕТР ЗЛСР</t>
  </si>
  <si>
    <t>6962165</t>
  </si>
  <si>
    <t>MERCEDES 380 560 SEC/W140 (ЛВРУЛЬ) 1992-1998  СТ ВЕТР ЗЛСР+ДД+VIN</t>
  </si>
  <si>
    <t>6962947</t>
  </si>
  <si>
    <t>MERCEDES 380 560 SEC/W140 (ЛВРУЛЬ) 1992-1998  СТ ВЕТР ЗЛСР+ИЗМ Ш+VIN</t>
  </si>
  <si>
    <t>6962920</t>
  </si>
  <si>
    <t>MERCEDES 380 560 SEC/W140 (ЛВРУЛЬ) КП 1992-1998  СТ ЗАДН ЗЛ+АНТ+ТРИПЛ</t>
  </si>
  <si>
    <t>W171, SLK 2004-</t>
  </si>
  <si>
    <t>6962096</t>
  </si>
  <si>
    <t>MERCEDES SLK (W171) 2004-  СТ ВЕТР ЗЛ+ДД+VIN+УО</t>
  </si>
  <si>
    <t>6999983</t>
  </si>
  <si>
    <t>MERCEDES SLK (W171) 2004-  СТ ПЕР ДВ ОП ЛВ ЗЛ</t>
  </si>
  <si>
    <t>6900070</t>
  </si>
  <si>
    <t>MERCEDES SLK (W171) 2004-  СТ ПЕР ДВ ОП ПР ЗЛ</t>
  </si>
  <si>
    <t>W201, I 190/E 1982-12/1985</t>
  </si>
  <si>
    <t>6969730</t>
  </si>
  <si>
    <t>1983-1985</t>
  </si>
  <si>
    <t>MERCEDES 190,W201 СД 4D 1983-1985 СТ ВЕТР</t>
  </si>
  <si>
    <t>6969731</t>
  </si>
  <si>
    <t>MERCEDES 190,W201 СД 4D 1983-1985 СТ ВЕТР ЗЛ</t>
  </si>
  <si>
    <t>6969736</t>
  </si>
  <si>
    <t>MERCEDES 190,W201 СД 4D 1983-1985 СТ ВЕТР ЗЛГЛ</t>
  </si>
  <si>
    <t>6969732</t>
  </si>
  <si>
    <t>MERCEDES 190,W201 СД 4D 1983-1985 СТ ВЕТР ЗЛЗЛ</t>
  </si>
  <si>
    <t>6998762</t>
  </si>
  <si>
    <t>MERCEDES 190,W201 СД 4D СД 1983-1985 СТ ЗАДН /MERCEDES 190,W201 1985-1993 СТ ЗАДН</t>
  </si>
  <si>
    <t>6998763</t>
  </si>
  <si>
    <t>MERCEDES 190,W201 СД 4D СД 1983-1985 СТ ЗАДН ЗЛ/MERCEDES 190,W201 1985-1993 СТ ЗАДН ЗЛ</t>
  </si>
  <si>
    <t>6996762</t>
  </si>
  <si>
    <t>MERCEDES 190,W201 СД 4D 1983-1985 СТ ПЕР ДВ ОП ЛВ/MERCEDES 190,W201 1985-1993 СТ ПЕР ДВ ОП ЛВ</t>
  </si>
  <si>
    <t>6996763</t>
  </si>
  <si>
    <t>MERCEDES 190,W201 СД 4D 1983-1985 СТ ЗАДН ДВ ОП ЛВ/MERCEDES 190,W201 1985-1993 СТ ЗАДН ДВ ОП ЛВ</t>
  </si>
  <si>
    <t>6996764</t>
  </si>
  <si>
    <t>MERCEDES 190,W201 СД 4D 1983-1985 СТ БОК НЕП ЛВ/MERCEDES 190,W201 1985-1993 СТ ФОРТ ЗАДН НЕП ЛВ</t>
  </si>
  <si>
    <t>6999032</t>
  </si>
  <si>
    <t>MERCEDES 190,W201 СД 4D 1983-1985 СТ ПЕР ДВ ОП ЛВ ЗЛ/MERCEDES 190,W201 1985-1993 СТ ПЕР ДВ ОП ЛВ ЗЛ</t>
  </si>
  <si>
    <t>6996768</t>
  </si>
  <si>
    <t>MERCEDES 190,W201 СД 4D 1983-1985 СТ ЗАДН ДВ ОП ЛВ ЗЛ/MERCEDES 190,W201 1985-1993 СТ ЗАДН ДВ ОП ЛВ ЗЛ</t>
  </si>
  <si>
    <t>6999099</t>
  </si>
  <si>
    <t>MERCEDES 190,W201 СД 4D 1983-1985 СТ БОК НЕП ЛВ ЗЛ/MERCEDES 190,W201 1985-1993 СТ ФОРТ ЗАДН НЕП ЛВ ЗЛ</t>
  </si>
  <si>
    <t>6996765</t>
  </si>
  <si>
    <t>MERCEDES 190,W201 СД 4D 1983-1985 СТ ПЕР ДВ ОП ПР/MERCEDES 190,W201 1985-1993 СТ ПЕР ДВ ОП ПР</t>
  </si>
  <si>
    <t>6996766</t>
  </si>
  <si>
    <t>MERCEDES 190,W201 СД 4D 1983-1985 СТ ЗАДН ДВ ОП ПР/MERCEDES 190,W201 1985-1993 СТ ЗАДН ДВ ОП ПР</t>
  </si>
  <si>
    <t>6996767</t>
  </si>
  <si>
    <t>MERCEDES 190,W201 СД 4D 1983-1985 СТ БОК НЕП ПР/MERCEDES 190,W201 1985-1993 СТ ФОРТ ЗАДН НЕП ПР</t>
  </si>
  <si>
    <t>6999031</t>
  </si>
  <si>
    <t>MERCEDES 190,W201 СД 4D 1983-1985 СТ ПЕР ДВ ОП ПР ЗЛ/MERCEDES 190,W201 1985-1993 СТ ПЕР ДВ ОП ПР ЗЛ</t>
  </si>
  <si>
    <t>6996769</t>
  </si>
  <si>
    <t>MERCEDES 190,W201 СД 4D 1983-1985 СТ ЗАДН ДВ ОП ПР ЗЛ/MERCEDES 190,W201 1985-1993 СТ ЗАДН ДВ ОП ПР ЗЛ</t>
  </si>
  <si>
    <t>6999098</t>
  </si>
  <si>
    <t>MERCEDES 190,W201 СД 4D 1983-1985 СТ БОК НЕП ПР ЗЛ/MERCEDES 190,W201 1985-1993 СТ ФОРТ ЗАДН НЕП ПР ЗЛ</t>
  </si>
  <si>
    <t>190,W201 1985-1993</t>
  </si>
  <si>
    <t>6969733</t>
  </si>
  <si>
    <t>MERCEDES 190,W201 1985-1993 СТ ВЕТР</t>
  </si>
  <si>
    <t>6969734</t>
  </si>
  <si>
    <t>MERCEDES 190,W201 1985-1993 СТ ВЕТР ЗЛ</t>
  </si>
  <si>
    <t>6969937</t>
  </si>
  <si>
    <t>MERCEDES 190,W201 1985-1993 СТ ВЕТР ЗЛГЛ</t>
  </si>
  <si>
    <t>6969735</t>
  </si>
  <si>
    <t>MERCEDES 190,W201 1985-1993 СТ ВЕТР ЗЛЗЛ</t>
  </si>
  <si>
    <t>6190255</t>
  </si>
  <si>
    <t>MERCEDES 190,W201 1985-1993 СТ ПЕР ДВ ОП ЛВ/MERCEDES 190,W201 СД 4D 1983-1985 СТ ПЕР ДВ ОП ЛВ</t>
  </si>
  <si>
    <t>6190256</t>
  </si>
  <si>
    <t>MERCEDES 190,W201 1985-1993 СТ ЗАДН ДВ ОП ЛВ/MERCEDES 190,W201 СД 4D 1983-1985 СТ ЗАДН ДВ ОП ЛВ</t>
  </si>
  <si>
    <t>6190257</t>
  </si>
  <si>
    <t>MERCEDES 190,W201 1985-1993 СТ ФОРТ ЗАДН НЕП ЛВ/MERCEDES 190,W201 СД 4D 1983-1985 СТ БОК НЕП ЛВ</t>
  </si>
  <si>
    <t>6190258</t>
  </si>
  <si>
    <t>MERCEDES 190,W201 1985-1993 СТ ПЕР ДВ ОП ЛВ ЗЛ/MERCEDES 190,W201 СД 4D 1983-1985 СТ ПЕР ДВ ОП ЛВ ЗЛ</t>
  </si>
  <si>
    <t>6190259</t>
  </si>
  <si>
    <t>MERCEDES 190,W201 1985-1993 СТ ЗАДН ДВ ОП ЛВ ЗЛ/MERCEDES 190,W201 СД 4D 1983-1985 СТ ЗАДН ДВ ОП ЛВ ЗЛ</t>
  </si>
  <si>
    <t>6190260</t>
  </si>
  <si>
    <t>MERCEDES 190,W201 1985-1993 СТ ФОРТ ЗАДН НЕП ЛВ ЗЛ/MERCEDES 190,W201 СД 4D 1983-1985 СТ БОК НЕП ЛВ ЗЛ</t>
  </si>
  <si>
    <t>6190261</t>
  </si>
  <si>
    <t>MERCEDES 190,W201 1985-1993 СТ ПЕР ДВ ОП ПР/MERCEDES 190,W201 СД 4D 1983-1985 СТ ПЕР ДВ ОП ПР</t>
  </si>
  <si>
    <t>6190262</t>
  </si>
  <si>
    <t>MERCEDES 190,W201 1985-1993 СТ ЗАДН ДВ ОП ПР/MERCEDES 190,W201 СД 4D 1983-1985 СТ ЗАДН ДВ ОП ПР</t>
  </si>
  <si>
    <t>6190263</t>
  </si>
  <si>
    <t>MERCEDES 190,W201 1985-1993 СТ ФОРТ ЗАДН НЕП ПР/MERCEDES 190,W201 СД 4D 1983-1985 СТ БОК НЕП ПР</t>
  </si>
  <si>
    <t>6190264</t>
  </si>
  <si>
    <t>MERCEDES 190,W201 1985-1993 СТ ПЕР ДВ ОП ПР ЗЛ/MERCEDES 190,W201 СД 4D 1983-1985 СТ ПЕР ДВ ОП ПР ЗЛ</t>
  </si>
  <si>
    <t>6190265</t>
  </si>
  <si>
    <t>MERCEDES 190,W201 1985-1993 СТ ЗАДН ДВ ОП ПР ЗЛ/MERCEDES 190,W201 СД 4D 1983-1985 СТ ЗАДН ДВ ОП ПР ЗЛ</t>
  </si>
  <si>
    <t>6190266</t>
  </si>
  <si>
    <t>MERCEDES 190,W201 1985-1993 СТ ФОРТ ЗАДН НЕП ПР ЗЛ/MERCEDES 190,W201 СД 4D 1983-1985 СТ БОК НЕП ПР ЗЛ</t>
  </si>
  <si>
    <t>MERSEDES (W202) C 180-280 1993-2000</t>
  </si>
  <si>
    <t>6963390</t>
  </si>
  <si>
    <t>MERCEDES C CL (W202) СД 1993-2000 /УН 1996-2000  СТ ВЕТР</t>
  </si>
  <si>
    <t>6969756</t>
  </si>
  <si>
    <t>MERCEDES C CL (W202) СД 1993-2000 /УН 1996-2000  СТ ВЕТР ЗЛ</t>
  </si>
  <si>
    <t>6969755</t>
  </si>
  <si>
    <t>MERCEDES C CL (W202) СД 1993-2000 /УН 1996-2000  СТ ВЕТР ЗЛГЛ</t>
  </si>
  <si>
    <t>6969757</t>
  </si>
  <si>
    <t>MERCEDES C CL (W202) СД 1993-2000 /УН 1996-2000  СТ ВЕТР ЗЛЗЛ</t>
  </si>
  <si>
    <t>6969772</t>
  </si>
  <si>
    <t>MERCEDES C CL (W202) СД 1993-2000 /УН 1996-2000  СТ ВЕТР ЗЛЗЛ+VIN</t>
  </si>
  <si>
    <t>6969714</t>
  </si>
  <si>
    <t>MERCEDES C CL (W202) СД 1993-2000 /УН 1996-2000  СТ ВЕТР ЗЛСР+ДД+VIN</t>
  </si>
  <si>
    <t>6962450</t>
  </si>
  <si>
    <t>MERCEDES C CL (W202) СД 1993-2000 /УН 1996-2000  СТ ВЕТР ЗЛСР+VIN+ИЗМ Ш</t>
  </si>
  <si>
    <t>6969773</t>
  </si>
  <si>
    <t>MERCEDES C CL (W202) СД 1993-2000 /УН 1993-2000  СТ ВЕТР ЗЛСР+VIN</t>
  </si>
  <si>
    <t>6101273</t>
  </si>
  <si>
    <t>MERCEDES C CL (W202) СД 1993-2000 /УН 1993-2000  МОЛД ВЕРХ ДЛЯ СТ ВЕТР ВЕРХ ПЛАСТИК</t>
  </si>
  <si>
    <t>6102164</t>
  </si>
  <si>
    <t>MERCEDES C CL (W202) СД 1993-2000 МОЛД  ДЛЯ СТ ВЕТР ВЕРХ МЕТЛ</t>
  </si>
  <si>
    <t>6998765</t>
  </si>
  <si>
    <t>MERCEDES C CL (W202) УН 1996-2000  СТ ЗАДН ЭО ЗЛ ОТВ</t>
  </si>
  <si>
    <t>6998766</t>
  </si>
  <si>
    <t>MERCEDES C CL (W202) УН 1996-2000  СТ ЗАДН ЭО ЗЛ+АНТ+КЛЕММЫ+ОТВ</t>
  </si>
  <si>
    <t>6998176</t>
  </si>
  <si>
    <t>MERCEDES C CL (W202) СД 1993-2000  СТ ЗАДН ЭО ЗЛ</t>
  </si>
  <si>
    <t>6998177</t>
  </si>
  <si>
    <t>MERCEDES C CL (W202) СД 1993-2000  СТ ЗАДН ЭО ЗЛ+АНТ</t>
  </si>
  <si>
    <t>6995737</t>
  </si>
  <si>
    <t>MERCEDES C CL (W202) СД 1993-2000 /УН 1996-2000  СТ ПЕР ДВ ОП ЛВ</t>
  </si>
  <si>
    <t>6995406</t>
  </si>
  <si>
    <t>MERCEDES C CL (W202) СД 1993-2000  СТ ФОРТ ЗАДН НЕП ЛВ</t>
  </si>
  <si>
    <t>6994455</t>
  </si>
  <si>
    <t>MERCEDES C CL (W202) УН 1996-2000  СТ ЗАДН ДВ ОП ЛВ ЗЛ</t>
  </si>
  <si>
    <t>6994456</t>
  </si>
  <si>
    <t>MERCEDES C CL (W202) УН 1996-2000  СТ БОК ЛВ ЗЛ+АНТ</t>
  </si>
  <si>
    <t>6994457</t>
  </si>
  <si>
    <t>MERCEDES C CL (W202) УН 1996-2000  СТ ФОРТ ЗАДН НЕП ЛВ ЗЛ</t>
  </si>
  <si>
    <t>6998179</t>
  </si>
  <si>
    <t>MERCEDES C CL (W202) СД 1993-2000 /УН 1996-2000  СТ ПЕР ДВ ОП ЛВ ЗЛ</t>
  </si>
  <si>
    <t>6995739</t>
  </si>
  <si>
    <t>MERCEDES C CL (W202) СД 1993-2000  СТ ЗАДН ДВ ОП ЛВ ЗЛ</t>
  </si>
  <si>
    <t>6995740</t>
  </si>
  <si>
    <t>MERCEDES C CL (W202) СД 1993-2000  СТ БОК НЕП ЛВ ЗЛ</t>
  </si>
  <si>
    <t>6995738</t>
  </si>
  <si>
    <t>MERCEDES C CL (W202) СД 1993-2000 /УН 1996-2000  СТ ПЕР ДВ ОП ПР</t>
  </si>
  <si>
    <t>6995407</t>
  </si>
  <si>
    <t>MERCEDES C CL (W202) СД 1993-2000  СТ ЗАДН ДВ ОП ПР</t>
  </si>
  <si>
    <t>6995408</t>
  </si>
  <si>
    <t>MERCEDES C CL (W202) СД 1993-2000  СТ ФОРТ ЗАДН НЕП ПР</t>
  </si>
  <si>
    <t>6994458</t>
  </si>
  <si>
    <t>MERCEDES C CL (W202) УН 1996-2000  СТ ЗАДН ДВ ОП ПР ЗЛ</t>
  </si>
  <si>
    <t>6994461</t>
  </si>
  <si>
    <t>MERCEDES C CL (W202) УН 1996-2000  СТ ФОРТ ЗАДН НЕП ПР ЗЛ</t>
  </si>
  <si>
    <t>6998178</t>
  </si>
  <si>
    <t>MERCEDES C CL (W202) СД 1993-2000 /УН 1996-2000  СТ ПЕР ДВ ОП ПР ЗЛ</t>
  </si>
  <si>
    <t>6995741</t>
  </si>
  <si>
    <t>MERCEDES C CL (W202) СД 1993-2000  СТ ЗАДН ДВ ОП ПР ЗЛ</t>
  </si>
  <si>
    <t>6995742</t>
  </si>
  <si>
    <t>MERCEDES C CL (W202) СД 1993-2000  СТ БОК НЕП ПР ЗЛ</t>
  </si>
  <si>
    <t>W203, C CLASS СД УН 2000-2007</t>
  </si>
  <si>
    <t>6960939</t>
  </si>
  <si>
    <t>MERCEDES W203, C CLASS СД УН 2000-2007 СТ ВЕТР ГЛСР+ДД 3ОТВ+VIN+УО</t>
  </si>
  <si>
    <t>6961141</t>
  </si>
  <si>
    <t>MERCEDES W203, C CLASS СД УН 2003-2007 СТ ВЕТР ГЛСР+ДД 2ОТВ+VIN+УО</t>
  </si>
  <si>
    <t>6961066</t>
  </si>
  <si>
    <t>MERCEDES W203, C CLASS СД УН 2003-2007 СТ ВЕТР ГЛСР+ДД 10ОТВ+VIN+УО</t>
  </si>
  <si>
    <t>6962403</t>
  </si>
  <si>
    <t>MERCEDES W203, C CLASS СД УН 2003-2007 СТ ВЕТР ГЛСР+ИЗМ ШЕЛК+VIN+УО</t>
  </si>
  <si>
    <t>6960936</t>
  </si>
  <si>
    <t>MERCEDES W203, C CLASS СД УН 2000-2007 СТ ВЕТР ГЛСР+ИЗМ ШЕЛК+VIN+УО+ИЗМ Д</t>
  </si>
  <si>
    <t>6960938</t>
  </si>
  <si>
    <t>MERCEDES W203, C CLASS СД УН 2000-2007 СТ ВЕТР ГЛ+ДД 3ОТВ+VIN+УО</t>
  </si>
  <si>
    <t>6962401</t>
  </si>
  <si>
    <t>MERCEDES W203, C CLASS СД УН 2003-2007 СТ ВЕТР ГЛ+ДД+VIN+УО</t>
  </si>
  <si>
    <t>6961137</t>
  </si>
  <si>
    <t>MERCEDES W203, C CLASS СД УН 2003-2007 СТ ВЕТР ГЛ+ДД 10ОТВ+VIN+УО</t>
  </si>
  <si>
    <t>6960940</t>
  </si>
  <si>
    <t>MERCEDES W203, C CLASS СД УН 2000-2007 СТ ВЕТР ЗЛСР+ДД 3ОТВ+VIN+УО</t>
  </si>
  <si>
    <t>6961138</t>
  </si>
  <si>
    <t>MERCEDES W203, C CLASS СД УН 2003-2007 СТ ВЕТР ЗЛСР+ДД 2ОТВ+VIN+УО</t>
  </si>
  <si>
    <t>6961067</t>
  </si>
  <si>
    <t>MERCEDES W203, C CLASS СД УН 2003-2007 СТ ВЕТР ЗЛСР+ДД 10ОТВ+VIN+УО</t>
  </si>
  <si>
    <t>6960937</t>
  </si>
  <si>
    <t>MERCEDES W203, C CLASS СД УН 2000-2007 СТ ВЕТР ЗЛСР+ИЗМ ШЕЛК+VIN+УО</t>
  </si>
  <si>
    <t>6961558</t>
  </si>
  <si>
    <t>MERCEDES W203, C CLASS СД УН 2003-2007 СТ ВЕТР ЗЛ+ДД+2ОТВ+VIN+УО</t>
  </si>
  <si>
    <t>6961717</t>
  </si>
  <si>
    <t>MERCEDES W203, C CLASS СД УН 2003-2007 СТ ВЕТР ЗЛ+ДД 10 ОТВ+VIN+УО</t>
  </si>
  <si>
    <t>6100292</t>
  </si>
  <si>
    <t>MERCEDES W203, C CLASS СД УН 2000-2007 МОЛД  ДЛЯ СТ ВЕТР ВЕРХ</t>
  </si>
  <si>
    <t>6980314</t>
  </si>
  <si>
    <t>MERCEDES W203, C CLASS СД 2000-2007 СТ ЗАДН ГЛ+АНТ+GPS+ТВ АНТ+МОБ ТЕЛ АНТ+КЛЕММЫ</t>
  </si>
  <si>
    <t>6996094</t>
  </si>
  <si>
    <t>MERCEDES W203, C CLASS УН 2001-2007 СТ ЗАДН ДВ ЗЛ+GPS+ТВ АНТ+КЛЕММЫ</t>
  </si>
  <si>
    <t>6980315</t>
  </si>
  <si>
    <t>MERCEDES W203, C CLASS СД 2000-2007 СТ ЗАДН ЗЛ+АНТ+GPS+ТВ АНТ+МОБ ТЕЛ АНТ+КЛЕММЫ</t>
  </si>
  <si>
    <t>6997014</t>
  </si>
  <si>
    <t>MERCEDES W203, C CLASS УН 2003-2007 СТ ЗАДН ДВ ОП ЛВ ГЛ</t>
  </si>
  <si>
    <t>6980518</t>
  </si>
  <si>
    <t>MERCEDES W203, C CLASS СД 2000-2007 СТ ПЕР ДВ ОП ЛВ ГЛ</t>
  </si>
  <si>
    <t>6980519</t>
  </si>
  <si>
    <t>MERCEDES W203, C CLASS СД 2000-2007 СТ ЗАДН ДВ ОП ЛВ ГЛ</t>
  </si>
  <si>
    <t>6980520</t>
  </si>
  <si>
    <t>MERCEDES W203, C CLASS СД 2000-2007 СТ ФОРТ ЗАДН НЕП ЛВ ГЛ+ИНК</t>
  </si>
  <si>
    <t>6999483</t>
  </si>
  <si>
    <t>MERCEDES W203, C CLASS УН 2001-2003 СТ ЗАДН ДВ ОП ЛВ ЗЛ</t>
  </si>
  <si>
    <t>6997015</t>
  </si>
  <si>
    <t>MERCEDES W203, C CLASS УН 2003-2007 СТ ЗАДН ДВ ОП ЛВ ЗЛ</t>
  </si>
  <si>
    <t>6993125</t>
  </si>
  <si>
    <t>MERCEDES W203, C CLASS СД 2000-2007 СТ ПЕР ДВ ОП ЛВ ЗЛ</t>
  </si>
  <si>
    <t>6995990</t>
  </si>
  <si>
    <t>MERCEDES W203, C CLASS УН 2003-2007 СТ ПЕР ДВ ОП ЛВ ЗЛ</t>
  </si>
  <si>
    <t>6980100</t>
  </si>
  <si>
    <t>2000-2003</t>
  </si>
  <si>
    <t>MERCEDES W203, C CLASS СД 2000-2003 СТ ЗАДН ДВ ОП ЛВ ЗЛ</t>
  </si>
  <si>
    <t>6997484</t>
  </si>
  <si>
    <t>MERCEDES W203, C CLASS СД 2003-2007 СТ ЗАДН ДВ ОП ЛВ ЗЛ</t>
  </si>
  <si>
    <t>6997016</t>
  </si>
  <si>
    <t>MERCEDES W203, C CLASS УН 2003-2007 СТ ЗАДН ДВ ОП ПР ГЛ</t>
  </si>
  <si>
    <t>6980522</t>
  </si>
  <si>
    <t>MERCEDES W203, C CLASS СД 2000-2007 СТ ПЕР ДВ ОП ПР ГЛ</t>
  </si>
  <si>
    <t>6980523</t>
  </si>
  <si>
    <t>MERCEDES W203, C CLASS СД 2000-2007 СТ ЗАДН ДВ ОП ПР ГЛ</t>
  </si>
  <si>
    <t>6980524</t>
  </si>
  <si>
    <t>MERCEDES W203, C CLASS СД 2000-2007 СТ ФОРТ ЗАДН НЕП ПР ГЛ+ИНК</t>
  </si>
  <si>
    <t>6993934</t>
  </si>
  <si>
    <t>MERCEDES W203, C CLASS УН 2001-2003 СТ ЗАДН ДВ ОП ПР ЗЛ</t>
  </si>
  <si>
    <t>6993935</t>
  </si>
  <si>
    <t>MERCEDES W203, C CLASS УН 2003-2007 СТ ЗАДН ДВ ОП ПР ЗЛ</t>
  </si>
  <si>
    <t>6993135</t>
  </si>
  <si>
    <t>MERCEDES W203, C CLASS СД 2000-2007 СТ ПЕР ДВ ОП ПР ЗЛ</t>
  </si>
  <si>
    <t>6993936</t>
  </si>
  <si>
    <t>MERCEDES W203, C CLASS СД 2003-2007 СТ ПЕР ДВ ОП ПР ЗЛ</t>
  </si>
  <si>
    <t>6993878</t>
  </si>
  <si>
    <t>MERCEDES W203, C CLASS СД 2000-2003 СТ ЗАДН ДВ ОП ПР ЗЛ</t>
  </si>
  <si>
    <t>6993937</t>
  </si>
  <si>
    <t>MERCEDES W203, C CLASS СД 2003-2007 СТ ЗАДН ДВ ОП ПР ЗЛ</t>
  </si>
  <si>
    <t>6980525</t>
  </si>
  <si>
    <t>MERCEDES W203, C CLASS СД 2000-2007 СТ ФОРТ ЗАДН НЕП ПР+ИНК</t>
  </si>
  <si>
    <t>W203, C CLASS КП 2001-</t>
  </si>
  <si>
    <t>6950086</t>
  </si>
  <si>
    <t>MERCEDES C CL SPORT COUPE (W203) 2001-  СТ ВЕТР ЗЛСР+ДД+VIN+УО</t>
  </si>
  <si>
    <t>6961991</t>
  </si>
  <si>
    <t>MERCEDES C CL SPORT COUPE (W203) 2003-  СТ ВЕТР ЗЛСР+ДД+VIN+УО+ИЗМ ДД</t>
  </si>
  <si>
    <t>6961990</t>
  </si>
  <si>
    <t>6101652</t>
  </si>
  <si>
    <t>MERCEDES C CL SPORT COUPE (W203) 2001- МОЛД ДЛЯ СТ ВЕТР</t>
  </si>
  <si>
    <t>6980317</t>
  </si>
  <si>
    <t>MERCEDES C CL SPORT COUPE (W203) КП 2001-  СТ ЗАДН ЗЛ+АНТ+GPS+МОБ ТЕЛ АНТ+УО+КЛЕММЫ</t>
  </si>
  <si>
    <t>6980526</t>
  </si>
  <si>
    <t>MERCEDES C CL SPORT COUPE (W203) 2001-  СТ ПЕР ДВ ОП ЛВ ЗЛ</t>
  </si>
  <si>
    <t>6980101</t>
  </si>
  <si>
    <t>MERCEDES C CL SPORT COUPE (W203) 2001-  СТ ПЕР ДВ ОП ПР ЗЛ</t>
  </si>
  <si>
    <t>W204, C CLASS СД УН 2007-</t>
  </si>
  <si>
    <t>6962871</t>
  </si>
  <si>
    <t>MERCEDES W204, C CLASS СД УН 2007-  СТ ВЕТР ЗЛ+ДД+VIN+ИНК</t>
  </si>
  <si>
    <t>6962872</t>
  </si>
  <si>
    <t>MERCEDES W204, C CLASS УН 2007-  СТ ВЕТР ЗЛ+АНТ+ДД+VIN+ИНК</t>
  </si>
  <si>
    <t>6962630</t>
  </si>
  <si>
    <t>MERCEDES C CLASS 2007 СТ ВЕТР ЗЛ+АНТ+ДД</t>
  </si>
  <si>
    <t>6962335</t>
  </si>
  <si>
    <t>MERCEDES W204, C CLASS СД УН 2007- СТ ВЕТР ЗЛ+ДД+VIN+ИНК</t>
  </si>
  <si>
    <t>6965486</t>
  </si>
  <si>
    <t>MERCEDES W204, C CLASS СД УН 2007- СТ ВЕТР+ДД</t>
  </si>
  <si>
    <t>6102637</t>
  </si>
  <si>
    <t>MERCEDES W204, C CLASS СД УН 2007- МОЛД ДЛЯ СТ ВЕТР</t>
  </si>
  <si>
    <t>6993787</t>
  </si>
  <si>
    <t>MERCEDES W204, C CLASS  УН 2007-  СТ ЗАДН ЗЛ+АНТ</t>
  </si>
  <si>
    <t>6993951</t>
  </si>
  <si>
    <t>MERCEDES W204, C CLASS  УН 2007-  СТ ЗАДН ЗЛ+АНТ+ТВ АНТ+КЛЕММЫ</t>
  </si>
  <si>
    <t>6993952</t>
  </si>
  <si>
    <t>MERCEDES W204, C CLASS  УН 2007-  СТ ЗАДН ЗЛ+АНТ+КЛЕММЫ</t>
  </si>
  <si>
    <t>6998549</t>
  </si>
  <si>
    <t>MERCEDES W204, C CLASS  УН 2007- СТ ЗАДН ДВ СР PR</t>
  </si>
  <si>
    <t>6901379</t>
  </si>
  <si>
    <t>MERCEDES W204, C CLASS  УН 2007- СТ ЗАДН ЗЛ+АНТ+GPS</t>
  </si>
  <si>
    <t>6993781</t>
  </si>
  <si>
    <t>MERCEDES W204, C CLASS  УН 2007- СТ ЗАДН ДВ ОП ЛВ ЗЛ</t>
  </si>
  <si>
    <t>6993783</t>
  </si>
  <si>
    <t>MERCEDES W204, C CLASS  УН 2007-  УН 5Д СТ ФОРТ ЗАДН НЕП ЗЛ ЛВ</t>
  </si>
  <si>
    <t>6901381</t>
  </si>
  <si>
    <t>MERCEDES W204, C CLASS  СД 2007- СТ ПЕР ДВ ОП ЛВ ЗЛ</t>
  </si>
  <si>
    <t>6995983</t>
  </si>
  <si>
    <t>MERCEDES W204, C CLASS  СД 2007- СТ ЗАДН ДВ ОП ЛВ ЗЛ</t>
  </si>
  <si>
    <t>6993782</t>
  </si>
  <si>
    <t>MERCEDES W204, C CLASS  УН 2007- СТ ЗАДН ДВ ОП ПР ЗЛ</t>
  </si>
  <si>
    <t>6993784</t>
  </si>
  <si>
    <t>MERCEDES W204, C CLASS  УН 2007- СТ ФОРТ ЗАДН НЕП ЗЛ ПР</t>
  </si>
  <si>
    <t>6901380</t>
  </si>
  <si>
    <t>MERCEDES W204, C CLASS  СД 2007- СТ ПЕР ДВ ОП ПР ЗЛ</t>
  </si>
  <si>
    <t>6995984</t>
  </si>
  <si>
    <t>MERCEDES W204, C CLASS  СД 2007- СТ ЗАДН ДВ ОП ПР ЗЛ</t>
  </si>
  <si>
    <t>W208, CLK КП+КБ 1997-2004.02</t>
  </si>
  <si>
    <t>6960952</t>
  </si>
  <si>
    <t>MERCEDES W208, CLK КП+КБ 1997-2004.02  СТ ВЕТР ГЛСР+VIN</t>
  </si>
  <si>
    <t>6962673</t>
  </si>
  <si>
    <t>MERCEDES W208, CLK КП+КБ 1997-2004.02  СТ ВЕТР ГЛ+ДД+VIN</t>
  </si>
  <si>
    <t>6963317</t>
  </si>
  <si>
    <t>MERCEDES CLK КП 1997-2004  СТ ВЕТР ЗЛСР+VIN+ДД</t>
  </si>
  <si>
    <t>6965362</t>
  </si>
  <si>
    <t>MERCEDES CLK КП 1997-2004  СТ ВЕТР ШЕЛК ДД+ИЗМ ДЕРЖ ЗЕРК</t>
  </si>
  <si>
    <t>6950174</t>
  </si>
  <si>
    <t>MERCEDES CLK КП 1997-2004  СТ ВЕТР ЗЛСР+ ИЗМ ШЕЛК+VIN</t>
  </si>
  <si>
    <t>6963701</t>
  </si>
  <si>
    <t>MERCEDES CLK КП 1997-2004  СТ ВЕТР ЗЛСР+VIN</t>
  </si>
  <si>
    <t>6965363</t>
  </si>
  <si>
    <t>MERCEDES CLK КБ 1997-2004  СТ ВЕТР</t>
  </si>
  <si>
    <t>6965361</t>
  </si>
  <si>
    <t>MERCEDES CLK КП 1997-2004  СТ ВЕТР+ДД</t>
  </si>
  <si>
    <t>6962948</t>
  </si>
  <si>
    <t>MERCEDES CLK КП 1997-2004  СТ ВЕТР ЗЛ+VIN+ИЗМ ШЕЛК</t>
  </si>
  <si>
    <t>6963318</t>
  </si>
  <si>
    <t>MERCEDES CLK КП 1997-2004  СТ ВЕТР ЗЛ+VIN</t>
  </si>
  <si>
    <t>6998693</t>
  </si>
  <si>
    <t>MERCEDES CLK КП 1997-2002  СТ ЗАДН ЗЛ+АНТ+ИНК</t>
  </si>
  <si>
    <t>6994474</t>
  </si>
  <si>
    <t>MERCEDES CLK КП 1997-2002  СТ ПЕР ДВ ОП ЛВ ЗЛ</t>
  </si>
  <si>
    <t>6999978</t>
  </si>
  <si>
    <t>6994475</t>
  </si>
  <si>
    <t>MERCEDES CLK КП 1997-2002  СТ БОК НЕП ЛВ ЗЛ</t>
  </si>
  <si>
    <t>6994477</t>
  </si>
  <si>
    <t>MERCEDES CLK КП 1997-2002  СТ ПЕР ДВ ОП ПР ЗЛ</t>
  </si>
  <si>
    <t>6900066</t>
  </si>
  <si>
    <t>6994478</t>
  </si>
  <si>
    <t>MERCEDES CLK КП 1997-2002  СТ БОК НЕП ПР ЗЛ</t>
  </si>
  <si>
    <t>6994479</t>
  </si>
  <si>
    <t>MERCEDES CLK КБ 1997-2002  СТ ПЕР ДВ ОП ПР ЗЛ</t>
  </si>
  <si>
    <t>W209, CLK КП 2002-</t>
  </si>
  <si>
    <t>6961191</t>
  </si>
  <si>
    <t>MERCEDES W209, CLK КП 2002- СТ ВЕТР ГЛСР+ДД+VIN+УО</t>
  </si>
  <si>
    <t>6961329</t>
  </si>
  <si>
    <t>MERCEDES W209, CLK КП 2002- СТ ВЕТР ГЛСР+ДД+УО</t>
  </si>
  <si>
    <t>6961192</t>
  </si>
  <si>
    <t>MERCEDES W209, CLK КП 2002- СТ ВЕТР ГЛ+ДД+VIN+УО</t>
  </si>
  <si>
    <t>6961330</t>
  </si>
  <si>
    <t>MERCEDES W209, CLK КП 2002- СТ ВЕТР ГЛ+ДД+УО</t>
  </si>
  <si>
    <t>6961333</t>
  </si>
  <si>
    <t>MERCEDES W209, CLK КП 2002- СТ ВЕТР ЗЛГЛ+ДД+VIN+УО</t>
  </si>
  <si>
    <t>6962632</t>
  </si>
  <si>
    <t>MERCEDES CLK 02-СТ ВЕТР ЗЛ+ДД+УО</t>
  </si>
  <si>
    <t>6999904</t>
  </si>
  <si>
    <t>MERCEDES W209, CLK КП 2002-  СТ ЗАДН ЗЛ+АНТ+GPS+АНТ Д/ОТКР ДВ+ИНК</t>
  </si>
  <si>
    <t>6999981</t>
  </si>
  <si>
    <t>MERCEDES W209, CLK КП 2002-  СТ ПЕР ДВ ОП ЛВ ГЛ</t>
  </si>
  <si>
    <t>6999982</t>
  </si>
  <si>
    <t>MERCEDES W209, CLK КП 2002-  СТ ПЕР ДВ ОП ЛВ ЗЛ</t>
  </si>
  <si>
    <t>6900069</t>
  </si>
  <si>
    <t>MERCEDES W209, CLK КП 2002-  СТ ПЕР ДВ ОП ПР ГЛ</t>
  </si>
  <si>
    <t>6993883</t>
  </si>
  <si>
    <t>MERCEDES W209, CLK КП 2002-  СТ ПЕР ДВ ОП ПР ЗЛ</t>
  </si>
  <si>
    <t>W210, E CLASS 200-430 1995-2003</t>
  </si>
  <si>
    <t>6969778</t>
  </si>
  <si>
    <t>MERCEDES W210, E CLASS 200-430 1995-2003 СТ ВЕТР ГЛСР+VIN</t>
  </si>
  <si>
    <t>6969716</t>
  </si>
  <si>
    <t>MERCEDES W210, E CLASS 200-430 1995-2003 СТ ВЕТР ГЛ+ДД+VIN</t>
  </si>
  <si>
    <t>6969777</t>
  </si>
  <si>
    <t>MERCEDES W210, E CLASS 200-430 1995-2003 СТ ВЕТР ГЛ+VIN</t>
  </si>
  <si>
    <t>6969776</t>
  </si>
  <si>
    <t>MERCEDES W210, E CLASS 200-430 1995-2003 СТ ВЕТР ЗЛЗЛ+VIN</t>
  </si>
  <si>
    <t>6969715</t>
  </si>
  <si>
    <t>MERCEDES W210, E CLASS 200-430 1995-2003 СТ ВЕТР ЗЛСР+VIN+ДД</t>
  </si>
  <si>
    <t>6969775</t>
  </si>
  <si>
    <t>MERCEDES W210, E CLASS 200-430 1995-2003 СТ ВЕТР ЗЛСР+VIN+ИЗМ ШЕЛК</t>
  </si>
  <si>
    <t>6969774</t>
  </si>
  <si>
    <t>MERCEDES W210, E CLASS 200-430 1995-2003 СТ ВЕТР ЗЛСР+VIN</t>
  </si>
  <si>
    <t>6101171</t>
  </si>
  <si>
    <t>MERCEDES W210, E CLASS 200-430 1995-2003  МОЛД  ДЛЯ СТ ВЕТР ВЕРХ</t>
  </si>
  <si>
    <t>6995313</t>
  </si>
  <si>
    <t>MERCEDES W210, E CLASS 200-430 1995-2003 УН СТ ЗАДН ДВ ГЛ+СТОП</t>
  </si>
  <si>
    <t>6998767</t>
  </si>
  <si>
    <t>MERCEDES W210, E CLASS 200-430 1995-2003 СД СТ ЗАДН ГЛ+АНТ</t>
  </si>
  <si>
    <t>6995312</t>
  </si>
  <si>
    <t>MERCEDES W210, E CLASS 200-430 1995-2003 УН СТ ЗАДН ДВ ЗЛ+СТОП</t>
  </si>
  <si>
    <t>6998898</t>
  </si>
  <si>
    <t>MERCEDES W210, E CLASS 200-430 1995-2003 СД СТ ЗАДН ЭО ЗЛ+АНТ</t>
  </si>
  <si>
    <t>6992773</t>
  </si>
  <si>
    <t>MERCEDES W210, E CLASS 200-430 1995-2003 СД СТ ЗАДН ЗЛ+АНТ+СТОП</t>
  </si>
  <si>
    <t>6998899</t>
  </si>
  <si>
    <t>MERCEDES W210, E CLASS 200-430 1995-2003 СД СТ ЗАДН ЗЛ+АНТ+ТРИПЛ</t>
  </si>
  <si>
    <t>6994462</t>
  </si>
  <si>
    <t>MERCEDES W210, E CLASS 200-430 1995-2003 УН   СТ ЗАДН ДВ ОП ЛВ ГЛ</t>
  </si>
  <si>
    <t>6995557</t>
  </si>
  <si>
    <t>MERCEDES W210, E CLASS 200-430 1995-2003 УН СТ БОК НЕП ЛВ ГЛ+АНТ+КЛЕММЫ</t>
  </si>
  <si>
    <t>6994463</t>
  </si>
  <si>
    <t>MERCEDES W210, E CLASS 200-430 1995-2003 УН СТ ФОРТ ЗАДН НЕП ЛВ ГЛ</t>
  </si>
  <si>
    <t>6994200</t>
  </si>
  <si>
    <t>MERCEDES W210, E CLASS 200-430 1995-2003 СД СТ ФОРТ ЗАДН НЕП ЛВ ГЛ</t>
  </si>
  <si>
    <t>6994466</t>
  </si>
  <si>
    <t>MERCEDES W210, E CLASS 200-430 1995-2003 УН СТ ЗАДН ДВ ОП ЛВ ЗЛ</t>
  </si>
  <si>
    <t>6994467</t>
  </si>
  <si>
    <t>MERCEDES W210, E CLASS 200-430 1995-2003 УН СТ БОК НЕП ЛВ ЗЛ+АНТ</t>
  </si>
  <si>
    <t>6995561</t>
  </si>
  <si>
    <t>MERCEDES W210, E CLASS 200-430 1995-2003 УН СТ БОК НЕП ЛВ ЗЛ+АНТ+КЛЕММЫ</t>
  </si>
  <si>
    <t>6994468</t>
  </si>
  <si>
    <t>MERCEDES W210, E CLASS 200-430 1995-2003 УН СТ ФОРТ ЗАДН НЕП ЛВ ЗЛ</t>
  </si>
  <si>
    <t>6995211</t>
  </si>
  <si>
    <t>MERCEDES W210, E CLASS 200-430 1995-2003 СТ ПЕР ДВ ОП ЛВ ЗЛ</t>
  </si>
  <si>
    <t>6995213</t>
  </si>
  <si>
    <t>MERCEDES W210, E CLASS 200-430 1995-2003 СД СТ ЗАДН ДВ ОП ЛВ ЗЛ</t>
  </si>
  <si>
    <t>6995215</t>
  </si>
  <si>
    <t>MERCEDES W210, E CLASS 200-430 1995-2003 СД СТ БОК НЕП ЛВ ЗЛ</t>
  </si>
  <si>
    <t>6994464</t>
  </si>
  <si>
    <t>MERCEDES W210, E CLASS 200-430 1995-2003 УН СТ ЗАДН ДВ ОП ПР ГЛ</t>
  </si>
  <si>
    <t>6995559</t>
  </si>
  <si>
    <t>MERCEDES W210, E CLASS 200-430 1995-2003 УН СТ БОК НЕП ПР ГЛ+КЛЕММЫ</t>
  </si>
  <si>
    <t>6994465</t>
  </si>
  <si>
    <t>MERCEDES W210, E CLASS 200-430 1995-2003 УН СТ ФОРТ ЗАДН НЕП ПР ГЛ</t>
  </si>
  <si>
    <t>6994201</t>
  </si>
  <si>
    <t>MERCEDES W210, E CLASS 200-430 1995-2003 СД СТ ЗАДН ДВ ОП ПР ГЛ</t>
  </si>
  <si>
    <t>6994469</t>
  </si>
  <si>
    <t>MERCEDES W210, E CLASS 200-430 1995-2003 УН СТ ЗАДН ДВ ОП ПР ЗЛ</t>
  </si>
  <si>
    <t>6994470</t>
  </si>
  <si>
    <t>MERCEDES W210, E CLASS 200-430 1995-2003 УН СТ БОК НЕП ПР ЗЛ</t>
  </si>
  <si>
    <t>6995562</t>
  </si>
  <si>
    <t>MERCEDES W210, E CLASS 200-430 1995-2003 УН СТ БОК НЕП ПР ЗЛ+КЛЕММЫ</t>
  </si>
  <si>
    <t>6994471</t>
  </si>
  <si>
    <t>MERCEDES W210, E CLASS 200-430 1995-2003 УН СТ ФОРТ ЗАДН НЕП ПР ЗЛ</t>
  </si>
  <si>
    <t>6995210</t>
  </si>
  <si>
    <t>MERCEDES W210, E CLASS 200-430 1995-2003 СТ ПЕР ДВ ОП ПР ЗЛ</t>
  </si>
  <si>
    <t>6995212</t>
  </si>
  <si>
    <t>MERCEDES W210, E CLASS 200-430 1995-2003 СД СТ ЗАДН ДВ ОП ПР ЗЛ</t>
  </si>
  <si>
    <t>6995214</t>
  </si>
  <si>
    <t>MERCEDES W210, E CLASS 200-430 1995-2003 СД СТ БОК НЕП ПР ЗЛ</t>
  </si>
  <si>
    <t>W211, E CLASS (GLASS ROOF) 2002-</t>
  </si>
  <si>
    <t>6962451</t>
  </si>
  <si>
    <t>MERCEDES W211, E CLASS (GLASS ROOF) 2002- СТ ВЕТР+ДД+VIN</t>
  </si>
  <si>
    <t>6962961</t>
  </si>
  <si>
    <t>MERCEDES W211, E CLASS (GLASS ROOF) 2002- СТ ВЕТР ЗЛСР+ДД+VIN</t>
  </si>
  <si>
    <t>W211, E CLASS 2002-</t>
  </si>
  <si>
    <t>6960919</t>
  </si>
  <si>
    <t>MERCEDES W211, E CLASS 2002- СТ ВЕТР ГЛ+ДД+VIN+УО</t>
  </si>
  <si>
    <t>6962622</t>
  </si>
  <si>
    <t>MERCEDES W211, E CLASS 2002- СТ ВЕТР ЗЛ+ДД+VIN+УО</t>
  </si>
  <si>
    <t>6962620</t>
  </si>
  <si>
    <t>MERCEDES W211, E CLASS 2007- СТ ВЕТР ГЛ+ДД+VIN+УО</t>
  </si>
  <si>
    <t>6960921</t>
  </si>
  <si>
    <t>MERCEDES W211, E CLASS 2002- СТ ВЕТР ЗЛСР+ДД+VIN+УО</t>
  </si>
  <si>
    <t>6962621</t>
  </si>
  <si>
    <t>MERCEDES W211, E CLASS 2007- СТ ВЕТР ЗЛСР+ДД+VIN+УО</t>
  </si>
  <si>
    <t>6998546</t>
  </si>
  <si>
    <t>MERCEDES W211, E CLASS СД 2002- СТ ЗАДН ГЛ+АНТ+GPS+ТВ АНТ+АНТ Д/МОБ ТЕЛ+ИНК</t>
  </si>
  <si>
    <t>6997559</t>
  </si>
  <si>
    <t>MERCEDES W211, E CLASS УН 2003- СТ ЗАДН ДВ ЗЛ+КЛЕММЫ+ИНК</t>
  </si>
  <si>
    <t>6996411</t>
  </si>
  <si>
    <t>MERCEDES W211, E CLASS СД 2002- СТ ЗАДН ЗЛ+АНТ+GPS+ТВ АНТ+АНТ Д/МОБ ТЕЛ+ИНК</t>
  </si>
  <si>
    <t>6997619</t>
  </si>
  <si>
    <t>MERCEDES W211, E CLASS 2003- СТ ЗАДН ДВ ОП ЛВ ЗЛ</t>
  </si>
  <si>
    <t>6980102</t>
  </si>
  <si>
    <t>MERCEDES W211, E CLASS 2002- СТ ПЕР ДВ ОП ЛВ ЗЛ</t>
  </si>
  <si>
    <t>6980104</t>
  </si>
  <si>
    <t>MERCEDES W211, E CLASS 2002- СТ ЗАДН ДВ ОП ЛВ ЗЛ</t>
  </si>
  <si>
    <t>6993879</t>
  </si>
  <si>
    <t>MERCEDES W211, E CLASS 2003- СТ ЗАДН ДВ ОП ПР ЗЛ</t>
  </si>
  <si>
    <t>6980103</t>
  </si>
  <si>
    <t>MERCEDES W211, E CLASS 2002- СТ ПЕР ДВ ОП ПР ЗЛ</t>
  </si>
  <si>
    <t>6980105</t>
  </si>
  <si>
    <t>MERCEDES W211, E CLASS 2002- СТ ЗАДН ДВ ОП ПР ЗЛ</t>
  </si>
  <si>
    <t>W215, CL CLASS 2001-2006</t>
  </si>
  <si>
    <t>6950302</t>
  </si>
  <si>
    <t>MERCEDES W215, CL CLASS 2001-2006 СТ ВЕТР ТЕПЛООТРСР ЭО+ИЗМ Ш+VIN+УО</t>
  </si>
  <si>
    <t>6950088</t>
  </si>
  <si>
    <t>MERCEDES W215, CL CLASS 2001-2006 СТ ВЕТР ТЕПЛООТРСР+АНТ Д/МОБ ТЕЛ+VIN+УО</t>
  </si>
  <si>
    <t>W219, CLS 2004-</t>
  </si>
  <si>
    <t>6962626</t>
  </si>
  <si>
    <t>MERCEDES W219, CLS 2004- СТ ВЕТР ГЛ+ИНК+ДД+VIN</t>
  </si>
  <si>
    <t>6962831</t>
  </si>
  <si>
    <t>MERCEDES W219, CLS 2006/09- СТ ВЕТР ГЛ+ДД+VIN+ИНК</t>
  </si>
  <si>
    <t>6962815</t>
  </si>
  <si>
    <t>MERCEDES W219, CLS 2006/09- СТ ВЕТР ТЕПЛООТР+ДД+VIN+ИНК</t>
  </si>
  <si>
    <t>6961908</t>
  </si>
  <si>
    <t>MERCEDES W219, CLS 2004- СТ ВЕТР ЗЛ+ДД+VIN+ИНК</t>
  </si>
  <si>
    <t>6962832</t>
  </si>
  <si>
    <t>MERCEDES W219, CLS 2006/09- СТ ВЕТР ЗЛ+ДД+VIN+ИНК</t>
  </si>
  <si>
    <t>6999976</t>
  </si>
  <si>
    <t>MERCEDES W219, CLS 2004- СТ ПЕР ДВ ОП ЛВ ГЛ</t>
  </si>
  <si>
    <t>6900169</t>
  </si>
  <si>
    <t>MERCEDES W219, CLS 2004- СТ ЗАДН ДВ ОП ЛВ ГЛ</t>
  </si>
  <si>
    <t>6999977</t>
  </si>
  <si>
    <t>MERCEDES W219, CLS 2004- СТ ПЕР ДВ ОП ЛВ ЗЛ</t>
  </si>
  <si>
    <t>6900170</t>
  </si>
  <si>
    <t>MERCEDES W219, CLS 2004- СТ ЗАДН ДВ ОП ЛВ ЗЛ</t>
  </si>
  <si>
    <t>6900064</t>
  </si>
  <si>
    <t>MERCEDES W219, CLS 2004- СТ ПЕР ДВ ОП ПР ГЛ</t>
  </si>
  <si>
    <t>6900247</t>
  </si>
  <si>
    <t>MERCEDES W219, CLS 2004- СТ ЗАДН ДВ ОП ПР ГЛ</t>
  </si>
  <si>
    <t>6900065</t>
  </si>
  <si>
    <t>MERCEDES W219, CLS 2004- СТ ПЕР ДВ ОП ПР ЗЛ</t>
  </si>
  <si>
    <t>6900250</t>
  </si>
  <si>
    <t>MERCEDES W219, CLS 2004- СТ ЗАДН ДВ ОП ПР ЗЛ</t>
  </si>
  <si>
    <t>W220, S CLASS 1998-2006</t>
  </si>
  <si>
    <t>6950092</t>
  </si>
  <si>
    <t>MERCEDES W220, S CLASS 1998-2006 СТ ВЕТР ПРСР ЭО+ДД+VIN+УО+ИЗМ ДД</t>
  </si>
  <si>
    <t>6962950</t>
  </si>
  <si>
    <t>MERCEDES W220, S CLASS 1998-2006 СТ ВЕТР ТЕПЛООТРСР ЭО+ИЗМ ШЕЛК+VIN+УО</t>
  </si>
  <si>
    <t>6950093</t>
  </si>
  <si>
    <t>MERCEDES W220, S CLASS 1998-2006 СТ ВЕТР ЗЛСР+ЭО+ДД+VIN+УО+ИЗМ ДД</t>
  </si>
  <si>
    <t>6950094</t>
  </si>
  <si>
    <t>MERCEDES W220, S CLASS 2003-2006 СТ ВЕТР ЗЛСР ЭО+VIN+УО+ИЗМ ДД</t>
  </si>
  <si>
    <t>6962855</t>
  </si>
  <si>
    <t>MERCEDES W220, S CLASS 1998-2006 СТ ВЕТР ЗЛСР ЭО+ИЗМ ШЕЛК+VIN+УО</t>
  </si>
  <si>
    <t>6962949</t>
  </si>
  <si>
    <t>MERCEDES W220, S CLASS 1998-2006 СТ ВЕТР ЗЛСР+ИЗМ ШЕЛК+VIN+УО</t>
  </si>
  <si>
    <t>6962921</t>
  </si>
  <si>
    <t>MERCEDES W220, S CLASS СД 1998-2006 СТ ЗАДН ТЕПЛООТР+АНТ+СТОП+GPS+ТРИПЛ+ПОЛ</t>
  </si>
  <si>
    <t>6950001</t>
  </si>
  <si>
    <t>MERCEDES W220, S CLASS СД 1998-2006 СТ ЗАДН ЗЛ+АНТ+СТОП+GPS+ТРИПЛ</t>
  </si>
  <si>
    <t>6962923</t>
  </si>
  <si>
    <t>MERCEDES W220, S CLASS 1998-2006 СТ ПЕР ДВ ОП ЛВ ЗЛ+ТРИПЛ</t>
  </si>
  <si>
    <t>6962926</t>
  </si>
  <si>
    <t>MERCEDES W220, S CLASS 1998-2006 СТ ЗАДН ДВ ОП ЛВ ЗЛ+ТРИПЛ</t>
  </si>
  <si>
    <t>6962931</t>
  </si>
  <si>
    <t>MERCEDES W220, S CLASS 1998-2006 СТ ФОРТ ЗАДН НЕП ЛВ ЗЛ+ТРИПЛ</t>
  </si>
  <si>
    <t>6961992</t>
  </si>
  <si>
    <t>MERCEDES W220, S CLASS 1998-2006 СТ ПЕР ДВ ОП ПР ЗЛ+ТРИПЛ</t>
  </si>
  <si>
    <t>6962929</t>
  </si>
  <si>
    <t>MERCEDES W220, S CLASS 1998-2006 СТ ЗАДН ДВ ОП ПР ЗЛ+ТРИПЛ</t>
  </si>
  <si>
    <t>6962932</t>
  </si>
  <si>
    <t>MERCEDES W220, S CLASS 1998-2006 СТ ФОРТ ЗАДН НЕП ПР ЗЛ+ТРИПЛ</t>
  </si>
  <si>
    <t>W221, S CLASS 2005-</t>
  </si>
  <si>
    <t>6962629</t>
  </si>
  <si>
    <t>MERCEDES W221, S CLASS 2005- СТ ВЕТР ТЕПЛООТР ЭО+ДД+VIN+ИНК</t>
  </si>
  <si>
    <t>6962628</t>
  </si>
  <si>
    <t>MERCEDES W221, S CLASS 2005- СТ ВЕТР ЗЛ ЭО+ДД+VIN+ИНК</t>
  </si>
  <si>
    <t>6961909</t>
  </si>
  <si>
    <t>MS S-CLASS 05-СТ ВЕТР ПР+СИСТ.НОЧН.ВИД.+ДД+VIN+УО</t>
  </si>
  <si>
    <t>207/307-410 1977-1996</t>
  </si>
  <si>
    <t>6969705</t>
  </si>
  <si>
    <t>1976-1996</t>
  </si>
  <si>
    <t>MERCEDES 207/307-410 1977-1996  СТ ВЕТР</t>
  </si>
  <si>
    <t>6969707</t>
  </si>
  <si>
    <t>MERCEDES 207/307-410 1977-1996  СТ ВЕТР ЗЛЗЛ</t>
  </si>
  <si>
    <t>6100121</t>
  </si>
  <si>
    <t>MERCEDES 207/307-410 1977-1996 РЕЗ ПРОФ ДЛЯ СТ ВЕТР</t>
  </si>
  <si>
    <t>6996780</t>
  </si>
  <si>
    <t>MERCEDES 207/307-410 1977-1996  СТ ПЕР ДВ ОП</t>
  </si>
  <si>
    <t>6996781</t>
  </si>
  <si>
    <t>MERCEDES 207/307-410 1977-1996  СТ ФОРТ ПЕР НЕП</t>
  </si>
  <si>
    <t>381 I 383/385/387 1973-1982</t>
  </si>
  <si>
    <t>6969709</t>
  </si>
  <si>
    <t>1973-1982</t>
  </si>
  <si>
    <t>MERCEDES 1617 2632 1973-1982  СТ ВЕТР</t>
  </si>
  <si>
    <t>6964586</t>
  </si>
  <si>
    <t>MERCEDES 1617 2632 1973-1982  СТ ВЕТР ЗЛ</t>
  </si>
  <si>
    <t>6969710</t>
  </si>
  <si>
    <t>6969711</t>
  </si>
  <si>
    <t>MERCEDES 1617 2632 1973-1982  СТ ВЕТР ЗЛЗЛ</t>
  </si>
  <si>
    <t>6100395</t>
  </si>
  <si>
    <t>MERCEDES 1617 2632 1973-1982  РЕЗ ПРОФ ДЛЯ СТ ВЕТР</t>
  </si>
  <si>
    <t>6996778</t>
  </si>
  <si>
    <t>MERCEDES 1617 2632 1973-1982  СТ ПЕР ДВ ОП</t>
  </si>
  <si>
    <t>406/408-613, HIGH VAN 1967-1985</t>
  </si>
  <si>
    <t>6963475</t>
  </si>
  <si>
    <t>1967-1985</t>
  </si>
  <si>
    <t>MERCEDES 406/408-613, HIGH VAN 1967-1985 СТ ВЕТР</t>
  </si>
  <si>
    <t>6100494</t>
  </si>
  <si>
    <t>MERCEDES 406/408-613, HIGH VAN 1967-1985 РЕЗ ПРОФ ДЛЯ СТ ВЕТР</t>
  </si>
  <si>
    <t>406/408-613, LOW VAN 1967-1985</t>
  </si>
  <si>
    <t>6963476</t>
  </si>
  <si>
    <t>MERCEDES 406/408-613, LOW VAN 1967-1985 СТ ВЕТР</t>
  </si>
  <si>
    <t>6100495</t>
  </si>
  <si>
    <t>MERCEDES 406/408-613, LOW VAN 1967-1985 РЕЗ ПРОФ ДЛЯ СТ ВЕТР</t>
  </si>
  <si>
    <t>608/808/813/913/1620 VAN 1965-1984</t>
  </si>
  <si>
    <t>6963474</t>
  </si>
  <si>
    <t>MERCEDES LP 608/808/813/913/1620 VAN 1965-1984 СТ ВЕТР</t>
  </si>
  <si>
    <t>670/676/668/669 1986-</t>
  </si>
  <si>
    <t>6969752</t>
  </si>
  <si>
    <t>MERCEDES T2,507 811 1986-  СТ ВЕТР</t>
  </si>
  <si>
    <t>6963977</t>
  </si>
  <si>
    <t>MERCEDES T2,507 811 1986-  СТ ВЕТР ЗЛГЛ</t>
  </si>
  <si>
    <t>6100123</t>
  </si>
  <si>
    <t>MERCEDES T2,507 811 1986- РЕЗ ПРОФ ДЛЯ СТ ВЕТР</t>
  </si>
  <si>
    <t>673-679 BM 1984-1997</t>
  </si>
  <si>
    <t>6969753</t>
  </si>
  <si>
    <t>MERCEDES 809/814/1114 1984-1997  СТ ВЕТР</t>
  </si>
  <si>
    <t>6969754</t>
  </si>
  <si>
    <t>MERCEDES 809/814/1114 1984-1997  СТ ВЕТР ЗЛЗЛ</t>
  </si>
  <si>
    <t>6100122</t>
  </si>
  <si>
    <t>MERCEDES 673-679 BM 1984-1997 РЕЗ ПРОФ ДЛЯ СТ ВЕТР</t>
  </si>
  <si>
    <t>6996782</t>
  </si>
  <si>
    <t>MERCEDES 809/814/1114 1984-1997  СТ ПЕР ДВ ОП</t>
  </si>
  <si>
    <t>ACTROS 1996-</t>
  </si>
  <si>
    <t>6963791</t>
  </si>
  <si>
    <t>MERCEDES ACTROS 1996- СТ ВЕТР</t>
  </si>
  <si>
    <t>6963792</t>
  </si>
  <si>
    <t>MERCEDES ACTROS 1996- СТ ВЕТР ЗЛ</t>
  </si>
  <si>
    <t>6963793</t>
  </si>
  <si>
    <t>MERCEDES ACTROS 1996- СТ ВЕТР ЗЛЗЛ</t>
  </si>
  <si>
    <t>6100498</t>
  </si>
  <si>
    <t>MERCEDES ACTROS 1996- РЕЗ ПРОФ ДЛЯ СТ ВЕТР</t>
  </si>
  <si>
    <t>6996242</t>
  </si>
  <si>
    <t>MERCEDES ACTROS 1996- СТ ПЕР ДВ ОП ЛВ</t>
  </si>
  <si>
    <t>6993673</t>
  </si>
  <si>
    <t>MERCEDES ACTROS 1996- СТ ПЕР ДВ ОП ЛВ ЗЛ</t>
  </si>
  <si>
    <t>6996243</t>
  </si>
  <si>
    <t>MERCEDES ACTROS 1996- СТ ПЕР ДВ ОП ПР</t>
  </si>
  <si>
    <t>6993674</t>
  </si>
  <si>
    <t>MERCEDES ACTROS 1996- СТ ПЕР ДВ ОП ПР ЗЛ</t>
  </si>
  <si>
    <t>6996245</t>
  </si>
  <si>
    <t>MERCEDES ACTROS 1996- СТ ПЕР ДВ ОП ПР ЗЛ+УО</t>
  </si>
  <si>
    <t>ATEGO/AXOR 04/1998-</t>
  </si>
  <si>
    <t>6960918</t>
  </si>
  <si>
    <t>MERCEDES ATEGO/AXOR 04/1998- СТ ВЕТР</t>
  </si>
  <si>
    <t>6962367</t>
  </si>
  <si>
    <t>MERCEDES ATEGO/AXOR 04/1998- СТ ВЕТР ЗЛ</t>
  </si>
  <si>
    <t>6963274</t>
  </si>
  <si>
    <t>6963275</t>
  </si>
  <si>
    <t>MERCEDES ATEGO/AXOR 04/1998- СТ ВЕТР  ЗЛ</t>
  </si>
  <si>
    <t>6961047</t>
  </si>
  <si>
    <t>MERCEDES ATEGO 2000- СТ ВЕТР ЗЛЗЛ</t>
  </si>
  <si>
    <t>6100616</t>
  </si>
  <si>
    <t>MERCEDES ATEGO/AXOR 04/1998-  МОЛД  ДЛЯ СТ ВЕТР</t>
  </si>
  <si>
    <t>6102322</t>
  </si>
  <si>
    <t>MERCEDES ATEGO 2005-  МОЛД ДЛЯ СТ ВЕТР</t>
  </si>
  <si>
    <t>6980203</t>
  </si>
  <si>
    <t>MERCEDES ATEGO 04/1998- СТ ПЕР ДВ ОП ЛВ</t>
  </si>
  <si>
    <t>6980204</t>
  </si>
  <si>
    <t>MERCEDES ATEGO 04/1998- СТ ПЕР ДВ ОП ЛВ ЗЛ</t>
  </si>
  <si>
    <t>6980205</t>
  </si>
  <si>
    <t>MERCEDES ATEGO 04/1998- СТ ПЕР ДВ ОП ПР</t>
  </si>
  <si>
    <t>6980206</t>
  </si>
  <si>
    <t>MERCEDES ATEGO 04/1998- СТ ПЕР ДВ ОП ПР ЗЛ</t>
  </si>
  <si>
    <t>MB100 1988-1996</t>
  </si>
  <si>
    <t>6969990</t>
  </si>
  <si>
    <t>MERCEDES MB100 1988-1996  СТ ВЕТР</t>
  </si>
  <si>
    <t>6969991</t>
  </si>
  <si>
    <t>MERCEDES MB100 1988-1996  СТ ВЕТР ЗЛЗЛ</t>
  </si>
  <si>
    <t>6994486</t>
  </si>
  <si>
    <t>MERCEDES MB100 1988-1996  СТ ПЕР ДВ ОП ЛВ</t>
  </si>
  <si>
    <t>6994487</t>
  </si>
  <si>
    <t>MERCEDES MB100 1988-1996  СТ ПЕР ДВ ОП ПР</t>
  </si>
  <si>
    <t>MB1630 (389 I) 1983-1998</t>
  </si>
  <si>
    <t>6969995</t>
  </si>
  <si>
    <t>1983-1998</t>
  </si>
  <si>
    <t>MERCEDES 1630 1983-1998 СТ ВЕТР</t>
  </si>
  <si>
    <t>6100124</t>
  </si>
  <si>
    <t>MERCEDES MB1630 (389 I) 1989-1998 РЕЗ ПРОФ ДЛЯ СТ ВЕТР</t>
  </si>
  <si>
    <t>SPRINTER (HIGH) 1994-2006</t>
  </si>
  <si>
    <t>6969766</t>
  </si>
  <si>
    <t>MERCEDES SPRINTER 1994-2006  СТ ВЕТР БОЛ/VOLKSWAGEN LT HIGH 1996-  СТ ВЕТР</t>
  </si>
  <si>
    <t>6969767</t>
  </si>
  <si>
    <t>MERCEDES SPRINTER высок. 1994-2006 СТ ВЕТР +КР</t>
  </si>
  <si>
    <t>6969768</t>
  </si>
  <si>
    <t>MERCEDES SPRINTER высок. 1994-2006 СТ ВЕТР ЗЛ/VOLKSWAGEN LT HIGH 96  СТ ВЕТР ЗЛ</t>
  </si>
  <si>
    <t>6969769</t>
  </si>
  <si>
    <t>MERCEDES SPRINTER высок. 1994-2006 СТ ВЕТР ЗЛ+КР</t>
  </si>
  <si>
    <t>6969770</t>
  </si>
  <si>
    <t>MERCEDES SPRINTER 1994-2006  СТ ВЕТР БОЛ ЗЛЗЛ/VOLKSWAGEN LT HIGH 1996-  СТ ВЕТР ЗЛЗЛ</t>
  </si>
  <si>
    <t>6969771</t>
  </si>
  <si>
    <t>MERCEDES SPRINTER высок. 1994-2006 СТ ВЕТР ЗЛЗЛ+КР</t>
  </si>
  <si>
    <t>6100126</t>
  </si>
  <si>
    <t>MERCEDES SPRINTER высок. 1994-2006  МОЛД  ДЛЯ СТ ВЕТР</t>
  </si>
  <si>
    <t>6190278</t>
  </si>
  <si>
    <t>MERCEDES SPRINTER высок. МИН 1994-2006  СТ ЗАДН ЛВ/MERCEDES SPRINTER LOW 94  СТ ЗАДН ЛВ</t>
  </si>
  <si>
    <t>6190280</t>
  </si>
  <si>
    <t>MERCEDES SPRINTER высок. МИН 1994-2006  СТ ЗАДН ПР/MERCEDES SPRINTER LOW 94  СТ ЗАДН ПР</t>
  </si>
  <si>
    <t>6190281</t>
  </si>
  <si>
    <t>MERCEDES SPRINTER высок. МИН 1994-2006  СТ ЗАДН ПР+Б/ЭО/MERCEDES SPRINTER LOW 94  СТ ЗАДН ПР Б/ЭО</t>
  </si>
  <si>
    <t>6190282</t>
  </si>
  <si>
    <t>MERCEDES SPRINTER высок. МИН 1994-2006  СТ ЗАДН ЗЛ ЛВ/MERCEDES SPRINTER LOW 94  СТ ЗАДН ЗЛ ЛВ</t>
  </si>
  <si>
    <t>6190284</t>
  </si>
  <si>
    <t>MERCEDES SPRINTER высок. МИН 1994-2006  СТ ЗАДН ЗЛ ПР/MERCEDES SPRINTER LOW 94  СТ ЗАДН ЗЛ ПР</t>
  </si>
  <si>
    <t>6190285</t>
  </si>
  <si>
    <t>MERCEDES SPRINTER высок. 1994-2006  СТ ЗАДН ДВ НЕП/MERCEDES SPRINTER LOW 94  СТ БОК НЕП</t>
  </si>
  <si>
    <t>6190286</t>
  </si>
  <si>
    <t>MERCEDES SPRINTER высок. 1994-2006  СТ ПЕР ДВ ОП ЛВ/MERCEDES SPRINTER 94  СТ ПЕР ДВ ОП ЛВ</t>
  </si>
  <si>
    <t>6190287</t>
  </si>
  <si>
    <t>MERCEDES SPRINTER высок. 1994-2006  СТ ФОРТ ПЕР НЕП ЛВ/MERCEDES SPRINTER 94  СТ ФОРТ ПЕР ДВ ЛВ</t>
  </si>
  <si>
    <t>6190288</t>
  </si>
  <si>
    <t>MERCEDES SPRINTER высок. 1994-2006  СТ ПЕР ДВ ОП ЛВ ЗЛ/MERCEDES SPRINTER LOW 94  СТ ПЕР ДВ ОП ЛВ ЗЛ</t>
  </si>
  <si>
    <t>6190289</t>
  </si>
  <si>
    <t>MERCEDES SPRINTER высок. 1994-2006  СТ ФОРТ ПЕР НЕП ЛВ ЗЛ/MERCEDES SPRINTER LOW 94  СТ ФОРТ ПЕР НЕП ЛВ ЗЛ</t>
  </si>
  <si>
    <t>6190290</t>
  </si>
  <si>
    <t>MERCEDES SPRINTER высок. 1994-2006  СТ ПЕР ДВ ОП ПР/MERCEDES SPRINTER 94  СТ ПЕР ДВ ОП ПР</t>
  </si>
  <si>
    <t>6190291</t>
  </si>
  <si>
    <t>MERCEDES SPRINTER высок. 1994-2006  СТ ФОРТ ПЕР НЕП ПР/MERCEDES SPRINTER 94  СТ ФОРТ ПЕР ДВ ПР</t>
  </si>
  <si>
    <t>6190292</t>
  </si>
  <si>
    <t>MERCEDES SPRINTER высок. 1994-2006  СТ ПЕР ДВ ОП ПР ЗЛ/MERCEDES SPRINTER LOW 94  СТ ПЕР ДВ ОП ПР ЗЛ</t>
  </si>
  <si>
    <t>6190293</t>
  </si>
  <si>
    <t>MERCEDES SPRINTER высок. 1994-2006  СТ ФОРТ ПЕР НЕП ПР ЗЛ/MERCEDES SPRINTER LOW 94  СТ ФОРТ ПЕР НЕП ПР ЗЛ</t>
  </si>
  <si>
    <t>SPRINTER (LOW) 1994-2006</t>
  </si>
  <si>
    <t>6969760</t>
  </si>
  <si>
    <t>MERCEDES SPRINTER 1994-2006  СТ ВЕТР МАЛ</t>
  </si>
  <si>
    <t>6969761</t>
  </si>
  <si>
    <t>MERCEDES SPRINTER 1994-2006  СТ ВЕТР МАЛ+КР</t>
  </si>
  <si>
    <t>6969762</t>
  </si>
  <si>
    <t>MERCEDES SPRINTER 1994-2006  СТ ВЕТР МАЛ ЗЛ</t>
  </si>
  <si>
    <t>6969763</t>
  </si>
  <si>
    <t>MERCEDES SPRINTER 1994-2006  СТ ВЕТР МАЛ ЗЛ+КР</t>
  </si>
  <si>
    <t>6969764</t>
  </si>
  <si>
    <t>MERCEDES SPRINTER 1994-2006  СТ ВЕТР МАЛ ЗЛЗЛ</t>
  </si>
  <si>
    <t>6969765</t>
  </si>
  <si>
    <t>MERCEDES SPRINTER 1994-2006  СТ ВЕТР МАЛ ЗЛЗЛ+КР</t>
  </si>
  <si>
    <t>6100125</t>
  </si>
  <si>
    <t>MERCEDES SPRINTER 1994-2006  МОЛД  ДЛЯ СТ ВЕТР</t>
  </si>
  <si>
    <t>6980043</t>
  </si>
  <si>
    <t>MERCEDES SPRINTER LOW МИН 1994-2006 СТ ЗАДН ЛВ/MERCEDES SPRINT HIGH 191994-2006-2006  СТ ЗАДН ЛВ</t>
  </si>
  <si>
    <t>6980042</t>
  </si>
  <si>
    <t>MERCEDES SPRINTER LOW МИН 1994-2006  СТ ЗАДН ПР/MERCEDES SPRINT HIGH 1994-2006  СТ ЗАДН ПР</t>
  </si>
  <si>
    <t>6998656</t>
  </si>
  <si>
    <t>MERCEDES SPRINTER LOW МИН 1994-2006  СТ ЗАДН ПР Б/ЭО /MERCEDES SPRINT HIGH 1994-2006  СТ ЗАДН ПР+Б/ЭО</t>
  </si>
  <si>
    <t>6998657</t>
  </si>
  <si>
    <t>MERCEDES SPRINTER LOW МИН 1994-2006  СТ ЗАДН ЗЛ ЛВ/MERCEDES SPRINT HIGH 1994-2006  СТ ЗАДН ЗЛ ЛВ</t>
  </si>
  <si>
    <t>6998655</t>
  </si>
  <si>
    <t>MERCEDES SPRINTER МИН 1994-2006  СТ ЗАДН ПР ЛВ БЭО</t>
  </si>
  <si>
    <t>6998658</t>
  </si>
  <si>
    <t>MERCEDES SPRINTER LOW МИН 1994-2006  СТ ЗАДН ЗЛ ПР/MERCEDES SPRINT HIGH 1994-2006  СТ ЗАДН ЗЛ ПР</t>
  </si>
  <si>
    <t>6991300</t>
  </si>
  <si>
    <t>MERCEDES SPRINTER LOW 1994-2006  СТ БОК НЕП/MERCEDES SPRINT HIGH 1994-2006  СТ ЗАДН ДВ НЕП</t>
  </si>
  <si>
    <t>6995743</t>
  </si>
  <si>
    <t>MERCEDES SPRINTER 1994-2006  СТ ПЕР ДВ ОП ЛВ/MERCEDES SPRINT HIGH 1994-2006  СТ ПЕР ДВ ОП ЛВ</t>
  </si>
  <si>
    <t>6995744</t>
  </si>
  <si>
    <t>MERCEDES SPRINTER 1994-2006  СТ ФОРТ ПЕР ДВ ЛВ/MERCEDES SPRINT HIGH 1994-2006  СТ ФОРТ ПЕР НЕП ЛВ</t>
  </si>
  <si>
    <t>6900080</t>
  </si>
  <si>
    <t>MERCEDES SPRINTER HIGH 1994-2006  СТ СР ЛВ</t>
  </si>
  <si>
    <t>6995409</t>
  </si>
  <si>
    <t>MERCEDES SPRINTER LOW 1994-2006  СТ ПЕР ДВ ОП ЛВ ЗЛ/MERCEDES SPRINT HIGH 1994-2006  СТ ПЕР ДВ ОП ЛВ ЗЛ</t>
  </si>
  <si>
    <t>6995410</t>
  </si>
  <si>
    <t>MERCEDES SPRINTER LOW 1994-2006  СТ ФОРТ ПЕР НЕП ЛВ ЗЛ/MERCEDES SPRINT HIGH 1994-2006  СТ ФОРТ ПЕР НЕП ЛВ ЗЛ</t>
  </si>
  <si>
    <t>6995745</t>
  </si>
  <si>
    <t>MERCEDES SPRINTER 1994-2006  СТ ПЕР ДВ ОП ПР/MERCEDES SPRINT HIGH 1994-2006  СТ ПЕР ДВ ОП ПР</t>
  </si>
  <si>
    <t>6995746</t>
  </si>
  <si>
    <t>MERCEDES SPRINTER 1994-2006  СТ ФОРТ ПЕР ДВ ПР/MERCEDES SPRINT HIGH 1994-2006  СТ ФОРТ ПЕР НЕП ПР</t>
  </si>
  <si>
    <t>6999599</t>
  </si>
  <si>
    <t>MERCEDES SPRINTER 09/02  VAN 2Д СТ СР ПР</t>
  </si>
  <si>
    <t>6995411</t>
  </si>
  <si>
    <t>MERCEDES SPRINTER LOW 1994-2006  СТ ПЕР ДВ ОП ПР ЗЛ/MERCEDES SPRINT HIGH 1994-2006  СТ ПЕР ДВ ОП ПР ЗЛ</t>
  </si>
  <si>
    <t>6995412</t>
  </si>
  <si>
    <t>MERCEDES SPRINTER LOW 1994-2006  СТ ФОРТ ПЕР НЕП ПР ЗЛ/MERCEDES SPRINT HIGH 1994-2006  СТ ФОРТ ПЕР НЕП ПР ЗЛ</t>
  </si>
  <si>
    <t>SPRINTER 2006-</t>
  </si>
  <si>
    <t>6962177</t>
  </si>
  <si>
    <t>MERCEDES SPRINTER SWB 2006- СТ ВЕТР</t>
  </si>
  <si>
    <t>6962634</t>
  </si>
  <si>
    <t>MERCEDES SPRINTER SWB 2006- СТ ВЕТР ЭО</t>
  </si>
  <si>
    <t>6962636</t>
  </si>
  <si>
    <t>MERCEDES SPRINTER SWB 2006- СТ ВЕТР ЭО+ДД</t>
  </si>
  <si>
    <t>6962330</t>
  </si>
  <si>
    <t>MERCEDES SPRINTER SWB 2006- СТ ВЕТР+ДД</t>
  </si>
  <si>
    <t>6961788</t>
  </si>
  <si>
    <t>MERCEDES SPRINTER SWB 2006- СТ ВЕТР ЗЛ/VOLKSWAGEN CRAFTER 2006-  СТ ВЕТР ЗЛ</t>
  </si>
  <si>
    <t>6962178</t>
  </si>
  <si>
    <t>MERCEDES SPRINTER SWB 2006- СТ ВЕТР ЗЛГЛ/VOLKSWAGEN CRAFTER 2006-  СТ ВЕТР ЗЛГЛ</t>
  </si>
  <si>
    <t>6962638</t>
  </si>
  <si>
    <t>MERCEDES SPRINTER SWB 2006- СТ ВЕТР ЗЛГЛ ЭО+ДД/VOLKSWAGEN CRAFTER 2006-  СТ ВЕТР ЗЛГЛ+ЭО+ДД</t>
  </si>
  <si>
    <t>6961789</t>
  </si>
  <si>
    <t>MERCEDES SPRINTER SWB 2006- СТ ВЕТР ЗЛГЛ+ДД/VOLKSWAGEN CRAFTER 2006-  СТ ВЕТР ЗЛГЛ+ДД</t>
  </si>
  <si>
    <t>6102092</t>
  </si>
  <si>
    <t>MERCEDES SPRINTER SWB 2006- МОЛД ДЛЯ СТ ВЕТР</t>
  </si>
  <si>
    <t>6998555</t>
  </si>
  <si>
    <t>MERCEDES SPRINTER SWB 2006-  СТ ПЕР ДВ ОП ЛВ</t>
  </si>
  <si>
    <t>6998557</t>
  </si>
  <si>
    <t>MERCEDES SPRINTER SWB 2006-  СТ ПЕР ДВ ОП ЛВ ЗЛ</t>
  </si>
  <si>
    <t>6998556</t>
  </si>
  <si>
    <t>MERCEDES SPRINTER SWB 2006-  СТ ПЕР ДВ ОП ПР</t>
  </si>
  <si>
    <t>6998558</t>
  </si>
  <si>
    <t>MERCEDES SPRINTER SWB 2006-  СТ ПЕР ДВ ОП ПР ЗЛ</t>
  </si>
  <si>
    <t>VANEO 2002-2003</t>
  </si>
  <si>
    <t>6960917</t>
  </si>
  <si>
    <t>2002-2003</t>
  </si>
  <si>
    <t>MERCEDES VANEO 2002-2003 СТ ВЕТР ЗЛГЛ+УО</t>
  </si>
  <si>
    <t>6992774</t>
  </si>
  <si>
    <t>MERCEDES VANEO МИН 2002-2003 СТ ЗАДН ЗЛ</t>
  </si>
  <si>
    <t>6980108</t>
  </si>
  <si>
    <t>MERCEDES VANEO 2Д/4Д 2002-2003  СТ ПЕР ДВ ОП ЛВ ЗЛ</t>
  </si>
  <si>
    <t>6980109</t>
  </si>
  <si>
    <t>MERCEDES VANEO 2002-2003  СТ ПЕР ДВ ОП ПР ЗЛ</t>
  </si>
  <si>
    <t>VITO (W638) 1996-2003</t>
  </si>
  <si>
    <t>6969785</t>
  </si>
  <si>
    <t>MERCEDES V CL (W638) 1996-2003  СТ ВЕТР</t>
  </si>
  <si>
    <t>6969786</t>
  </si>
  <si>
    <t>MERCEDES V CL (W638) 1996-2003  СТ ВЕТР КР</t>
  </si>
  <si>
    <t>6969787</t>
  </si>
  <si>
    <t>MERCEDES V CL (W638) 1996-2003  СТ ВЕТР ЗЛ</t>
  </si>
  <si>
    <t>6969788</t>
  </si>
  <si>
    <t>MERCEDES V CL (W638) 1996-2003  СТ ВЕТР ЗЛ КР</t>
  </si>
  <si>
    <t>6961051</t>
  </si>
  <si>
    <t>MERCEDES V CL (W638) 1996-2003  СТ ВЕТР ЗЛГЛ</t>
  </si>
  <si>
    <t>6961052</t>
  </si>
  <si>
    <t>MERCEDES V CL (W638) 1996-2003  СТ ВЕТР ЗЛГЛ+ИЗМ КР</t>
  </si>
  <si>
    <t>6969789</t>
  </si>
  <si>
    <t>MERCEDES V CL (W638) 1996-2003  СТ ВЕТР ЗЛЗЛ</t>
  </si>
  <si>
    <t>6969790</t>
  </si>
  <si>
    <t>MERCEDES V CL (W638) 1996-2003  СТ ВЕТР ЗЛЗЛ+ИЗМ КР</t>
  </si>
  <si>
    <t>6961053</t>
  </si>
  <si>
    <t>6101247</t>
  </si>
  <si>
    <t>MERCEDES V CL (W638) 1996-2003  НАБ КЛИПС ДЛЯ  СТ БОК</t>
  </si>
  <si>
    <t>6102168</t>
  </si>
  <si>
    <t>MERCEDES V CL (W638) 1996-2003  МОЛД  ДЛЯ СТ ВЕТР ЛВ+ПР</t>
  </si>
  <si>
    <t>6100127</t>
  </si>
  <si>
    <t>MERCEDES V CL (W638) 1996-2003  МОЛД  ДЛЯ СТ ВЕТР ВЕРХ</t>
  </si>
  <si>
    <t>6998255</t>
  </si>
  <si>
    <t>MERCEDES V CL (W638) МИН 1996-2003  СТ ЗАДН</t>
  </si>
  <si>
    <t>6980322</t>
  </si>
  <si>
    <t>MERCEDES V CL (W638) МИН 1996-2003  СТ ЗАДН ЛВ</t>
  </si>
  <si>
    <t>6980323</t>
  </si>
  <si>
    <t>MERCEDES V CL (W638) МИН 1996-2003  СТ ЗАДН ПР</t>
  </si>
  <si>
    <t>6980041</t>
  </si>
  <si>
    <t>MERCEDES V CL (W638) МИН 1996-2003  СТ ЗАДН ЗЛ</t>
  </si>
  <si>
    <t>6998769</t>
  </si>
  <si>
    <t>MERCEDES V CL (W638) МИН 1996-2003  СТ ЗАДН ЗЛ+СТОП</t>
  </si>
  <si>
    <t>6980324</t>
  </si>
  <si>
    <t>MERCEDES V CL (W638) МИН 1996-2003  СТ ЗАДН ЗЛ ЛВ</t>
  </si>
  <si>
    <t>6980325</t>
  </si>
  <si>
    <t>MERCEDES V CL (W638) МИН 1996-2003  СТ ЗАДН ЗЛ ПР</t>
  </si>
  <si>
    <t>6995413</t>
  </si>
  <si>
    <t>MERCEDES V CL (W638) 1996-2003  СТ ПЕР ДВ ОП ЛВ+ФИТ</t>
  </si>
  <si>
    <t>6994488</t>
  </si>
  <si>
    <t>MERCEDES V CL (W638) 1996-2003  VAN 4Д СТ СР ЛВ</t>
  </si>
  <si>
    <t>6980201</t>
  </si>
  <si>
    <t>MERCEDES V CL (W638) 1996-2003  СТ ЗАДН ДВ ОП ЛВ</t>
  </si>
  <si>
    <t>6900333</t>
  </si>
  <si>
    <t>MERCEDES V CL (W638) 1996-2003  СТ БОК НЕП ЛВ</t>
  </si>
  <si>
    <t>6900334</t>
  </si>
  <si>
    <t>MERCEDES V CL (W638) 1996-2003  СТ БОК НЕП ЛВ+ИНК</t>
  </si>
  <si>
    <t>6995415</t>
  </si>
  <si>
    <t>MERCEDES V CL (W638) 1996-2003  СТ ПЕР ДВ ОП ЛВ ЗЛ+ФИТ</t>
  </si>
  <si>
    <t>6994491</t>
  </si>
  <si>
    <t>MERCEDES V CL (W638) 1996-2003  VAN 4Д СТ СР ЛВ ЗЛ</t>
  </si>
  <si>
    <t>6900122</t>
  </si>
  <si>
    <t>MERCEDES V CL (W638) 1996-2003  СТ СР ЛВ ЗЛ ОТКР+ФИТ+ИЗМ ОТВ</t>
  </si>
  <si>
    <t>6980202</t>
  </si>
  <si>
    <t>MERCEDES V CL (W638) 1996-2003  СТ ЗАДН ДВ ОП ЛВ ЗЛ</t>
  </si>
  <si>
    <t>6996247</t>
  </si>
  <si>
    <t>MERCEDES V CL (W638) 1996-2003  СТ БОК НЕП ЛВ ЗЛ</t>
  </si>
  <si>
    <t>6999066</t>
  </si>
  <si>
    <t>MERCEDES V CL (W638) 1996-2003  СТ БОК НЕП ЛВ ЗЛ+ИНК+ИЗМ РАЗМ</t>
  </si>
  <si>
    <t>6995414</t>
  </si>
  <si>
    <t>MERCEDES V CL (W638) 1996-2003  СТ ПЕР ДВ ОП ПР+ФИТ</t>
  </si>
  <si>
    <t>6994490</t>
  </si>
  <si>
    <t>MERCEDES V CL (W638) 1996-2003  СТ ЗАДН ДВ ОП ПР</t>
  </si>
  <si>
    <t>6994115</t>
  </si>
  <si>
    <t>MERCEDES V CL (W638) 1996-2003  СТ БОК НЕП ПР</t>
  </si>
  <si>
    <t>6995416</t>
  </si>
  <si>
    <t>MERCEDES V CL (W638) 1996-2003  СТ ПЕР ДВ ОП ПР ЗЛ+УО</t>
  </si>
  <si>
    <t>6997791</t>
  </si>
  <si>
    <t>MERCEDES V CL (W638) 1996-2003  СТ ЗАДН ДВ ОП ПР ЗЛ</t>
  </si>
  <si>
    <t>6994494</t>
  </si>
  <si>
    <t>MERCEDES V CL (W638) 1996-2003  СТ БОК НЕП ПР ЗЛ</t>
  </si>
  <si>
    <t>VITO (W639) 2003-</t>
  </si>
  <si>
    <t>6961097</t>
  </si>
  <si>
    <t>MERCEDES V CL (W639) 2003-  СТ ВЕТР ЗЛ+АНТ</t>
  </si>
  <si>
    <t>6961994</t>
  </si>
  <si>
    <t>MERCEDES V CL (W639) 2003-  СТ ВЕТР ЗЛ+АНТ+ДД</t>
  </si>
  <si>
    <t>6950101</t>
  </si>
  <si>
    <t>MERCEDES V CL (W639) 2003-  СТ ВЕТР ЗЛЗЛ+АНТ</t>
  </si>
  <si>
    <t>6961993</t>
  </si>
  <si>
    <t>MERCEDES V CL (W639) 2003-  СТ ВЕТР ЗЛЗЛ+АНТ+ДД</t>
  </si>
  <si>
    <t>6101595</t>
  </si>
  <si>
    <t>MERCEDES V CL (W639) 2003-  МОЛД  ДЛЯ СТ ВЕТР</t>
  </si>
  <si>
    <t>6996498</t>
  </si>
  <si>
    <t>MERCEDES V CL (W639) МИН 2003-  СТ ЗАДН ЗЛ</t>
  </si>
  <si>
    <t>6996496</t>
  </si>
  <si>
    <t>MERCEDES V CL (W639) МИН 2003-  СТ ЗАДН ЗЛ ЛВ</t>
  </si>
  <si>
    <t>6996497</t>
  </si>
  <si>
    <t>MERCEDES V CL (W639) МИН 2003-  СТ ЗАДН ЗЛ ПР</t>
  </si>
  <si>
    <t>6997017</t>
  </si>
  <si>
    <t>MERCEDES V CL (W639) 2003-  СТ ПЕР ДВ ОП ЛВ ЗЛ</t>
  </si>
  <si>
    <t>6997792</t>
  </si>
  <si>
    <t>MERCEDES V CL (W639) 2003-  СТ СР ЗЛ ЛВ</t>
  </si>
  <si>
    <t>6900335</t>
  </si>
  <si>
    <t>MERCEDES V CL (W639) 2003-  СТ ЗАДН ДВ НЕП ЛВ ЗЛ ОТКР+УО</t>
  </si>
  <si>
    <t>6900726</t>
  </si>
  <si>
    <t>MERCEDES V CL ПРРУЛЬ 2003- СТ ЗАДН ДВ ОП ЛВЗЛ</t>
  </si>
  <si>
    <t>6996252</t>
  </si>
  <si>
    <t>MERCEDES V CL (W639) 2003-  СТ ПЕР ДВ ОП ПР ЗЛ</t>
  </si>
  <si>
    <t>6997793</t>
  </si>
  <si>
    <t>MERCEDES V CL (W639) 2003-  СТ ЗАДН ДВ ОП ПР ЗЛ</t>
  </si>
  <si>
    <t>6900349</t>
  </si>
  <si>
    <t>MERCEDES V CL (W639) 2003-  СТ ЗАДН ДВ НЕП ПР ЗЛ ОТКР+УО</t>
  </si>
  <si>
    <t>SMART</t>
  </si>
  <si>
    <t>SMART ROADSTER 2003-</t>
  </si>
  <si>
    <t>6960574</t>
  </si>
  <si>
    <t>SMART ROADSTER 2003-  СТ ВЕТР ЗЛ</t>
  </si>
  <si>
    <t>6960749</t>
  </si>
  <si>
    <t>SMART ROADSTER 2003-  СТ ВЕТР ЗЛ ДД</t>
  </si>
  <si>
    <t>6101581</t>
  </si>
  <si>
    <t>SMART ROADSTER 2003- МОЛД  ДЛЯ СТ ВЕТР</t>
  </si>
  <si>
    <t>6991950</t>
  </si>
  <si>
    <t>SMART ROADSTER КП 2003-  СТ ЗАДН Б/ЭО</t>
  </si>
  <si>
    <t>6993474</t>
  </si>
  <si>
    <t>SMART ROADSTER КП 2003-  СТ ЗАДН ВЕРХ</t>
  </si>
  <si>
    <t>6993070</t>
  </si>
  <si>
    <t>SMART ROADSTER КБ 2003-  СТ ЗАДН ЗЛ</t>
  </si>
  <si>
    <t>6993498</t>
  </si>
  <si>
    <t>SMART ROADSTER 2003-  СТ ПЕР ДВ ОП ЛВ ЗЛ</t>
  </si>
  <si>
    <t>6993499</t>
  </si>
  <si>
    <t>SMART ROADSTER 2003-  СТ ПЕР ДВ ОП ПР ЗЛ</t>
  </si>
  <si>
    <t>MITSUBISHI</t>
  </si>
  <si>
    <t>3000 GT 1993-1999</t>
  </si>
  <si>
    <t>6961985</t>
  </si>
  <si>
    <t>MITSUBISHI 3000 GT 1993-1999  СТ ВЕТР ЗЛГЛ</t>
  </si>
  <si>
    <t>6961986</t>
  </si>
  <si>
    <t>MITSUBISHI 3000 GT 1993-1999  СТ ВЕТР СРСР</t>
  </si>
  <si>
    <t>ASX  5Д 06/2010-</t>
  </si>
  <si>
    <t>6965209</t>
  </si>
  <si>
    <t>MITSUBISHI  ASX  5Д 06/2010- СТ ВЕТР ЗЛ+VIN</t>
  </si>
  <si>
    <t>6965262</t>
  </si>
  <si>
    <t>MITSUBISHI ASX 2010 4W СТ ВЕТР ЗЛ+ДД+VIN</t>
  </si>
  <si>
    <t>CANTER FX VAN 1986-1996</t>
  </si>
  <si>
    <t>6963749</t>
  </si>
  <si>
    <t>1986-1996</t>
  </si>
  <si>
    <t>MITSUBISHI CANTER FX VAN 1986-1996  СТ ВЕТР</t>
  </si>
  <si>
    <t>CARISMA 1995-2003</t>
  </si>
  <si>
    <t>6969290</t>
  </si>
  <si>
    <t>MITSUBISHI CARISMA 5Д 1995-2003  СТ ВЕТР ЗЛ</t>
  </si>
  <si>
    <t>6950078</t>
  </si>
  <si>
    <t>MITSUBISHI CARISMA 5Д 1995-2003  СТ ВЕТР ЗЛГЛ</t>
  </si>
  <si>
    <t>6961707</t>
  </si>
  <si>
    <t>MITSUBISHI CARISMA 5Д 1995-2003  СТ ВЕТР ЗЛ ЗЛ</t>
  </si>
  <si>
    <t>6100133</t>
  </si>
  <si>
    <t>MITSUBISHI CARISMA 5Д 1995-2003  МОЛД  ДЛЯ СТ ВЕТР ВЕРХ</t>
  </si>
  <si>
    <t>6994775</t>
  </si>
  <si>
    <t>MITSUBISHI CARISMA 5Д ХБ 1995-2003  СТ ЗАДН ЭО ЗЛ</t>
  </si>
  <si>
    <t>6990340</t>
  </si>
  <si>
    <t>MITSUBISHI CARISMA 5Д ХБ 2000-2003  СТ ЗАДН ЭО ГЛ+ИЗМ РАЗМ</t>
  </si>
  <si>
    <t>6994776</t>
  </si>
  <si>
    <t>MITSUBISHI CARISMA 4Д СД 1995-2003  СТ ЗАДН ЭО ЗЛ</t>
  </si>
  <si>
    <t>6996786</t>
  </si>
  <si>
    <t>MITSUBISHI CARISMA 5Д 1995-2003  СТ ПЕР ДВ ОП ЛВ ЗЛ</t>
  </si>
  <si>
    <t>6996787</t>
  </si>
  <si>
    <t>MITSUBISHI CARISMA 5Д 1995-2003  СТ ЗАДН ДВ ОП ЛВ ЗЛ</t>
  </si>
  <si>
    <t>6996788</t>
  </si>
  <si>
    <t>MITSUBISHI CARISMA 5Д 1995-2003  СТ БОК НЕП ЛВ ЗЛ</t>
  </si>
  <si>
    <t>6996789</t>
  </si>
  <si>
    <t>MITSUBISHI CARISMA 4Д 1995-2003  СТ ЗАДН ДВ ОП ЛВ ЗЛ+2ОТВ</t>
  </si>
  <si>
    <t>6996790</t>
  </si>
  <si>
    <t>MITSUBISHI CARISMA 4Д 1995-2003  СТ БОК НЕП ЛВ ЗЛ</t>
  </si>
  <si>
    <t>6996791</t>
  </si>
  <si>
    <t>MITSUBISHI CARISMA 5Д 1995-2003  СТ ПЕР ДВ ОП ПР ЗЛ</t>
  </si>
  <si>
    <t>6996792</t>
  </si>
  <si>
    <t>MITSUBISHI CARISMA 5Д 1995-2003  СТ ЗАДН ДВ ОП ПР ЗЛ</t>
  </si>
  <si>
    <t>6996793</t>
  </si>
  <si>
    <t>MITSUBISHI CARISMA 5Д 1995-2003  СТ БОК НЕП ПР ЗЛ</t>
  </si>
  <si>
    <t>6996794</t>
  </si>
  <si>
    <t>MITSUBISHI CARISMA 4Д 1995-2003  СТ ЗАДН ДВ ОП ПР ЗЛ</t>
  </si>
  <si>
    <t>6996795</t>
  </si>
  <si>
    <t>MITSUBISHI CARISMA 4Д 1995-2003  СТ БОК НЕП ПР ЗЛ</t>
  </si>
  <si>
    <t>COLT 3Д 1988-1992</t>
  </si>
  <si>
    <t>6965602</t>
  </si>
  <si>
    <t>MITSUBISHI  LANCER ХБ 1988-1992 СТ ВЕТР ГЛ</t>
  </si>
  <si>
    <t>6965603</t>
  </si>
  <si>
    <t>MITSUBISHI  LANCER ХБ 1988-1992 СТ ВЕТР ГЛГЛ</t>
  </si>
  <si>
    <t>6101150</t>
  </si>
  <si>
    <t>MITSUBISHI  LANCER ХБ 1988-1992  НАБ КЛИПС ДЛЯ СТ ВЕТР</t>
  </si>
  <si>
    <t>6101208</t>
  </si>
  <si>
    <t>MITSUBISHI LANCER ХБK 1988-1992 МОЛД  ДЛЯ СТ ВЕТР ВЕРХ</t>
  </si>
  <si>
    <t>6998959</t>
  </si>
  <si>
    <t>MITSUBISHI  LANCER ХБ 1988-1992 СТ ЗАДН ДВ ГЛ</t>
  </si>
  <si>
    <t>6995757</t>
  </si>
  <si>
    <t>MITSUBISHI  LANCER ХБ 1988-1992 СТ ПЕР ДВ ОП ЛВ ГЛ</t>
  </si>
  <si>
    <t>6995758</t>
  </si>
  <si>
    <t>MITSUBISHI  LANCER ХБ 1988-1992 СТ ПЕР ДВ ОП ПР</t>
  </si>
  <si>
    <t>COLT 3Д/4Д 1992-1995</t>
  </si>
  <si>
    <t>6961426</t>
  </si>
  <si>
    <t>1992-1995</t>
  </si>
  <si>
    <t>MITSUBISHI  COLT 3Д CC 1992-1995 СТ ВЕТР ГЛ/PROTON PERSONA (M24)/300 95  СТ ВЕТР ГЛ</t>
  </si>
  <si>
    <t>6963401</t>
  </si>
  <si>
    <t>MITSUBISHI  COLT 3Д CC 1992-1995 СТ ВЕТР ЗЛ</t>
  </si>
  <si>
    <t>6100132</t>
  </si>
  <si>
    <t>MITSUBISHI  COLT 3Д CC 1992-1995 МОЛД  ДЛЯ СТ ВЕТР ВЕРХ</t>
  </si>
  <si>
    <t>6999409</t>
  </si>
  <si>
    <t>MITSUBISHI  COLT 3Д CC 1992-1995 СТ ПЕР ДВ ОП ЛВ ГЛ</t>
  </si>
  <si>
    <t>6999410</t>
  </si>
  <si>
    <t>MITSUBISHI  COLT 3Д CC 1992-1995 СТ ПЕР ДВ ОП ПР ГЛ</t>
  </si>
  <si>
    <t>COLT 3Д 1996-2004</t>
  </si>
  <si>
    <t>6963751</t>
  </si>
  <si>
    <t>MITSUBISHI COLT 3Д 1996-2004  СТ ВЕТР ЗЛ</t>
  </si>
  <si>
    <t>6963244</t>
  </si>
  <si>
    <t>MITSUBISHI COLT 3Д 1996-2004  СТ ВЕТР ЗЛГЛ</t>
  </si>
  <si>
    <t>6963909</t>
  </si>
  <si>
    <t>MITSUBISHI COLT 3Д 1996-2004  СТ ВЕТР ЗЛЗЛ</t>
  </si>
  <si>
    <t>6101080</t>
  </si>
  <si>
    <t>MITSUBISHI COLT 3Д 1996-2004  НАБ КЛИПС ДЛЯ СТ ВЕТР</t>
  </si>
  <si>
    <t>6101109</t>
  </si>
  <si>
    <t>MITSUBISHI COLT 3Д 1996-2004 МОЛД  ДЛЯ СТ ВЕТР ВЕРХ</t>
  </si>
  <si>
    <t>6992411</t>
  </si>
  <si>
    <t>MITSUBISHI COLT 3Д ХБ 1996-2004  СТ ЗАДН ЗЛ+УО</t>
  </si>
  <si>
    <t>6995319</t>
  </si>
  <si>
    <t>MITSUBISHI COLT 3Д 1996-2004  СТ ПЕР ДВ ОП ЛВ ЗЛ</t>
  </si>
  <si>
    <t>6995902</t>
  </si>
  <si>
    <t>MITSUBISHI COLT 3Д 1996-2004  СТ ПЕР ДВ ОП ПР ЗЛ</t>
  </si>
  <si>
    <t>COLT 3Д 2005-</t>
  </si>
  <si>
    <t>6960469</t>
  </si>
  <si>
    <t>MITSUBISHI COLT 3Д 2005-  СТ ВЕТР ЗЛ</t>
  </si>
  <si>
    <t>6960933</t>
  </si>
  <si>
    <t>MITSUBISHI COLT 3Д 2005-  СТ ВЕТР ЗЛГЛ</t>
  </si>
  <si>
    <t>6961466</t>
  </si>
  <si>
    <t>MITSUBISHI COLT 3Д 2005-  СТ ВЕТР ЗЛ+ДД+ИЗМ ШЕЛК</t>
  </si>
  <si>
    <t>6190773</t>
  </si>
  <si>
    <t>MITSUBISHI COLT 3Д 2005-  МОЛД ДЛЯ СТ ВЕТР</t>
  </si>
  <si>
    <t>6991977</t>
  </si>
  <si>
    <t>MITSUBISHI COLT ХБ 3Д 2005- СТ ПЕР ДВ ОП ЛВ ЗЛ</t>
  </si>
  <si>
    <t>6991958</t>
  </si>
  <si>
    <t>MITSUBISHI COLT 3Д 2005-  СТ БОК НЕП ЛВ ЗЛ+ИНК</t>
  </si>
  <si>
    <t>6993034</t>
  </si>
  <si>
    <t>MITSUBISHI COLT 2005-  СТ БОК НЕП ЛВ ЗЛ+ИНК</t>
  </si>
  <si>
    <t>6992004</t>
  </si>
  <si>
    <t>MITSUBISHI COLT ХБ 3Д 2005- СТ ПЕР ДВ ОП ПР ЗЛ</t>
  </si>
  <si>
    <t>6991959</t>
  </si>
  <si>
    <t>MITSUBISHI COLT 3Д 2005-  СТ БОК НЕП ПР ЗЛ+ИНК</t>
  </si>
  <si>
    <t>6993036</t>
  </si>
  <si>
    <t>MITSUBISHI COLT 2005-  СТ БОК НЕП ПР ЗЛ+ИНК</t>
  </si>
  <si>
    <t>COLT 5Д 2004-</t>
  </si>
  <si>
    <t>6963079</t>
  </si>
  <si>
    <t>MITSUBISHI COLT 5Д 02/2007- СТ ВЕТР ЗЛ</t>
  </si>
  <si>
    <t>6963081</t>
  </si>
  <si>
    <t>MITSUBISHI COLT 5Д 02/2007- СТ ВЕТР ЗЛ+ДД</t>
  </si>
  <si>
    <t>6961334</t>
  </si>
  <si>
    <t>MITSUBISHI COLT 5Д 2004- СТ ВЕТР ЗЛ</t>
  </si>
  <si>
    <t>6962312</t>
  </si>
  <si>
    <t>MITSUBISHI COLT 5Д 2004-  СТ ВЕТР ЗЛ</t>
  </si>
  <si>
    <t>6961337</t>
  </si>
  <si>
    <t>MITSUBISHI COLT 5Д 2004-  СТ ВЕТР ЗЛГЛ</t>
  </si>
  <si>
    <t>6962616</t>
  </si>
  <si>
    <t>MITSUBISHI COLT 5Д 2004-  СТ ВЕТР ЗЛ+ДД</t>
  </si>
  <si>
    <t>6101659</t>
  </si>
  <si>
    <t>MITSUBISHI COLT 5Д 2004-  МОЛД  ДЛЯ СТ ВЕТР</t>
  </si>
  <si>
    <t>6992191</t>
  </si>
  <si>
    <t>MITSUBISHI COLT ХБ 2004-  СТ ЗАДН ЗЛ+СТОП</t>
  </si>
  <si>
    <t>6992400</t>
  </si>
  <si>
    <t>MITSUBISHI COLT 5Д ХБ 2004-  СТ ЗАДН СР PR+СТОП</t>
  </si>
  <si>
    <t>6992192</t>
  </si>
  <si>
    <t>MITSUBISHI COLT 5Д 2004-  СТ ПЕР ДВ ОП ЛВ ЗЛ</t>
  </si>
  <si>
    <t>6992194</t>
  </si>
  <si>
    <t>MITSUBISHI COLT 2005-  СТ БОК ПЕР НЕП ЛВ ЗЛ+ИНК/MITSUBISHI CZC CABRIO 2006- СТ БОК ПЕР НЕП ЛВ ЗЛ+И</t>
  </si>
  <si>
    <t>6992196</t>
  </si>
  <si>
    <t>MITSUBISHI COLT 5Д 2004-  СТ ЗАДН ДВ ОП ЛВ ЗЛ+УО</t>
  </si>
  <si>
    <t>6996356</t>
  </si>
  <si>
    <t>6992198</t>
  </si>
  <si>
    <t>MITSUBISHI COLT 5Д 2004-  СТ БОК НЕП ЛВ ЗЛ+ИНК</t>
  </si>
  <si>
    <t>6993044</t>
  </si>
  <si>
    <t>MITSUBISHI COLT 2004-  СТ ПЕР ДВ ОП ЛВ ЗЛ</t>
  </si>
  <si>
    <t>6993046</t>
  </si>
  <si>
    <t>MITSUBISHI COLT 2004-  СТ ЗАДН ДВ ОП ЛВ ЗЛ+УО</t>
  </si>
  <si>
    <t>6991093</t>
  </si>
  <si>
    <t>MITSUBISHI COLT 5Д 2004-  СТ ЗАДН ДВ ОП ЛВ СР PR+УО</t>
  </si>
  <si>
    <t>6996354</t>
  </si>
  <si>
    <t>6992405</t>
  </si>
  <si>
    <t>MITSUBISHI COLT 5Д 2004-  СТ БОК НЕП ЛВ СР PR+ИНК</t>
  </si>
  <si>
    <t>6992193</t>
  </si>
  <si>
    <t>MITSUBISHI COLT 5Д 2004-  СТ ПЕР ДВ ОП ПР ЗЛ</t>
  </si>
  <si>
    <t>6992195</t>
  </si>
  <si>
    <t>MITSUBISHI COLT 2005-  СТ БОК ПЕР НЕП ПР ЗЛ+ИНК/MITSUBISHI CZC CABRIO 2006- СТ БОК ПЕР НЕП ПР ЗЛ+ИНК</t>
  </si>
  <si>
    <t>6992197</t>
  </si>
  <si>
    <t>MITSUBISHI COLT 5Д 2004-  СТ ЗАДН ДВ ОП ПР ЗЛ+УО</t>
  </si>
  <si>
    <t>6996355</t>
  </si>
  <si>
    <t>6992199</t>
  </si>
  <si>
    <t>MITSUBISHI COLT 5Д 2004-  СТ БОК НЕП ПР ЗЛ+ИНК</t>
  </si>
  <si>
    <t>6993040</t>
  </si>
  <si>
    <t>MITSUBISHI COLT 2004-  СТ ПЕР ДВ ОП ПР ЗЛ</t>
  </si>
  <si>
    <t>6993045</t>
  </si>
  <si>
    <t>MITSUBISHI COLT 2004-  СТ ЗАДН ДВ ОП ПР ЗЛ+УО</t>
  </si>
  <si>
    <t>6992283</t>
  </si>
  <si>
    <t>MITSUBISHI COLT 5Д 2004-  СТ ЗАДН ДВ ОП ПР СР PR+УО</t>
  </si>
  <si>
    <t>6996353</t>
  </si>
  <si>
    <t>6992406</t>
  </si>
  <si>
    <t>MITSUBISHI COLT 5Д 2004-  СТ БОК НЕП ПР СР PR+ИНК</t>
  </si>
  <si>
    <t>ECLIPSE (D2) 1992-1995</t>
  </si>
  <si>
    <t>6963647</t>
  </si>
  <si>
    <t>MITSUBISHI ECLIPSE 2Д КП 1992-1995 СТ ВЕТР ЗЛГЛ</t>
  </si>
  <si>
    <t>6101014</t>
  </si>
  <si>
    <t>MITSUBISHI ECLIPSE 2Д КП 1992-1995 МОЛД  ДЛЯ СТ ВЕТР ВЕРХ</t>
  </si>
  <si>
    <t>6999407</t>
  </si>
  <si>
    <t>MITSUBISHI ECLIPSE КП 1992-1995  СТ ПЕР ДВ ОП ЛВ ЗЛ</t>
  </si>
  <si>
    <t>ECLIPSE (D3) 1996-1999</t>
  </si>
  <si>
    <t>6963729</t>
  </si>
  <si>
    <t>MITSUBISHI ECLIPSE 1996-1999  СТ ВЕТР ЗЛГЛ</t>
  </si>
  <si>
    <t>ECLIPSE КП 2006-</t>
  </si>
  <si>
    <t>6900523</t>
  </si>
  <si>
    <t>MITSUBISHI ECLIPSE КП 2006- СТ ПЕР ДВ ОП ЛВ ЗЛ</t>
  </si>
  <si>
    <t>GALANT 1984-1988</t>
  </si>
  <si>
    <t>6969279</t>
  </si>
  <si>
    <t>MITSUBISHI GALANT СЕД+УН 1984-1988 СТ ВЕТР ГЛ</t>
  </si>
  <si>
    <t>6969286</t>
  </si>
  <si>
    <t>MITSUBISHI GALANT СЕД+УН 1984-1988 СТ ВЕТР БР</t>
  </si>
  <si>
    <t>GALANT E30 4Д СД 1988-1993</t>
  </si>
  <si>
    <t>6963391</t>
  </si>
  <si>
    <t>MITSUBISHI GALANT E30 4Д СД 1988-1993 СТ ВЕТР ГЛ</t>
  </si>
  <si>
    <t>6963392</t>
  </si>
  <si>
    <t>MITSUBISHI GALANT E30 СД 1988-1993 СТ ВЕТР ГЛГЛ</t>
  </si>
  <si>
    <t>6963393</t>
  </si>
  <si>
    <t>MITSUBISHI GALANT E30 4Д СД 1988-1993 СТ ВЕТР БР</t>
  </si>
  <si>
    <t>6101050</t>
  </si>
  <si>
    <t>MITSUBISHI GALANT E30 4Д СЕД 1988-1993 НАБ КЛИПС ДЛЯ СТ ВЕТР</t>
  </si>
  <si>
    <t>6998958</t>
  </si>
  <si>
    <t>MITSUBISHI GALANT E30 4Д СД 1988-1993 СТ ЗАДН ГЛ</t>
  </si>
  <si>
    <t>6995753</t>
  </si>
  <si>
    <t>MITSUBISHI GALANT E30 СД 1988-1993 СТ ПЕР ДВ ОП ЛВ ГЛ</t>
  </si>
  <si>
    <t>6995754</t>
  </si>
  <si>
    <t>MITSUBISHI GALANT E30 СД 1988-1993 СТ ЗАДН ДВ ОП ЛВ ГЛ</t>
  </si>
  <si>
    <t>6900332</t>
  </si>
  <si>
    <t>MITSUBISHI GALANT E30 СД 1988-1993 СТ БОК НЕП ЛВ ГЛ+ИНК</t>
  </si>
  <si>
    <t>6995755</t>
  </si>
  <si>
    <t>MITSUBISHI GALANT E30 СД 1988-1993 СТ ПЕР ДВ ОП ПР ГЛ</t>
  </si>
  <si>
    <t>GALANT LTB 1990-1993</t>
  </si>
  <si>
    <t>6963396</t>
  </si>
  <si>
    <t>MITSUBISHI GALANT LTB 1990-1993 СТ ВЕТР ГЛ</t>
  </si>
  <si>
    <t>6964107</t>
  </si>
  <si>
    <t>MITSUBISHI GALANT LTB 1990-1993 СТ ВЕТР ГЛГЛ</t>
  </si>
  <si>
    <t>6963480</t>
  </si>
  <si>
    <t>MITSUBISHI GALANT LTB 1990-1993 СТ ВЕТР БР</t>
  </si>
  <si>
    <t>6101123</t>
  </si>
  <si>
    <t>MITSUBISHI GALANT LTB 1990-1993  НАБ КЛИПС ДЛЯ СТ ВЕТР</t>
  </si>
  <si>
    <t>6998257</t>
  </si>
  <si>
    <t>MITSUBISHI GALANT LTB ХБ 1990-1993 СТ ЗАДН ДВ ГЛ</t>
  </si>
  <si>
    <t>GALANT СД+ХБ 1993-1997</t>
  </si>
  <si>
    <t>6963750</t>
  </si>
  <si>
    <t>MITSUBISHI GALANT СД+ХБ 1993-1997 СТ ВЕТР ГЛ</t>
  </si>
  <si>
    <t>6963984</t>
  </si>
  <si>
    <t>MITSUBISHI GALANT СД+ХБ 1993-1997 СТ ВЕТР ГЛГЛ</t>
  </si>
  <si>
    <t>6963403</t>
  </si>
  <si>
    <t>MITSUBISHI GALANT СД+ХБ 1993-1997 СТ ВЕТР ЗЛ</t>
  </si>
  <si>
    <t>6963870</t>
  </si>
  <si>
    <t>MITSUBISHI GALANT СД+ХБ 1993-1997 СТ ВЕТР ЗЛГЛ</t>
  </si>
  <si>
    <t>6101025</t>
  </si>
  <si>
    <t>MITSUBISHI GALANT СД+ХБ 1993-1997 МОЛД  ДЛЯ СТ ВЕТР</t>
  </si>
  <si>
    <t>6998863</t>
  </si>
  <si>
    <t>MITSUBISHI GALANT СД 1993-1997  СТ ЗАДН ГЛ</t>
  </si>
  <si>
    <t>6900058</t>
  </si>
  <si>
    <t>MITSUBISHI GALANT СД+ХБ 1993-1997  СТ ПЕР ДВ ОП ПР ЗЛ</t>
  </si>
  <si>
    <t>GALANT СД+УН 1997-2005</t>
  </si>
  <si>
    <t>6961428</t>
  </si>
  <si>
    <t>MITSUBISHI GALANT СД+УН 1997-2005 СТ ВЕТР ЗЛ</t>
  </si>
  <si>
    <t>6961429</t>
  </si>
  <si>
    <t>MITSUBISHI GALANT СД+УН 1997-2005 СТ ВЕТР ЗЛГЛ</t>
  </si>
  <si>
    <t>6100135</t>
  </si>
  <si>
    <t>MITSUBISHI GALANT СЕД+УН 1997-2005  МОЛД  ДЛЯ СТ ВЕТР ВЕРХ</t>
  </si>
  <si>
    <t>6992472</t>
  </si>
  <si>
    <t>MITSUBISHI GALANT СД 1997-2005  СТ ЗАДН ЗЛ</t>
  </si>
  <si>
    <t>6980483</t>
  </si>
  <si>
    <t>MITSUBISHI GALANT УН 1997-2005 СТ ЗАДН ДВ ОП ЛВ</t>
  </si>
  <si>
    <t>6980484</t>
  </si>
  <si>
    <t>MITSUBISHI GALANT УН 1997-2005  СТ ФОРТ ЗАДН НЕП ЛВ ЗЛ</t>
  </si>
  <si>
    <t>6992473</t>
  </si>
  <si>
    <t>MITSUBISHI GALANT СД+УН 1997-2005 СТ ПЕР ДВ ОПЛВ ЗЛ</t>
  </si>
  <si>
    <t>6992475</t>
  </si>
  <si>
    <t>MITSUBISHI GALANT СД 1997-2005  СТ ЗАДН ДВ ОП ЛВ ЗЛ</t>
  </si>
  <si>
    <t>6992413</t>
  </si>
  <si>
    <t>MITSUBISHI GALANT СД 1997-2005 СТ ЗАДН ДВ НЕП ЛВ ЗЛ</t>
  </si>
  <si>
    <t>6980485</t>
  </si>
  <si>
    <t>MITSUBISHI GALANT УН 1997-2005  СТ ЗАДН ДВ ОП ПР ЗЛ</t>
  </si>
  <si>
    <t>6980486</t>
  </si>
  <si>
    <t>MITSUBISHI GALANT УН 1997-2005  СТ ФОРТ ЗАДН НЕП ПР ЗЛ</t>
  </si>
  <si>
    <t>6992474</t>
  </si>
  <si>
    <t>MITSUBISHI GALANT СД+УН 1997-2005 СТ ПЕР ДВ ОП ПР ЗЛ</t>
  </si>
  <si>
    <t>6992476</t>
  </si>
  <si>
    <t>MITSUBISHI GALANT СД 1997-2005  СТ ЗАДН ДВ ОП ПР ЗЛ</t>
  </si>
  <si>
    <t>6992412</t>
  </si>
  <si>
    <t>MITSUBISHI GALANT СД 1997-2005  СТ ФОРТ ЗАДН НЕП ПР ЗЛ</t>
  </si>
  <si>
    <t>GRANDIS 2004-</t>
  </si>
  <si>
    <t>6961315</t>
  </si>
  <si>
    <t>MITSUBISHI GRANDIS 2004- СТ ВЕТР ЗЛ+УО</t>
  </si>
  <si>
    <t>6101794</t>
  </si>
  <si>
    <t>MITSUBISHI GRANDIS 2004- МОЛД  ДЛЯ СТ ВЕТР ВЕРХ</t>
  </si>
  <si>
    <t>6900721</t>
  </si>
  <si>
    <t>MITSUBISHI GRANDIS МИН 2004- СТ ЗАДН  ЗЛ</t>
  </si>
  <si>
    <t>6999971</t>
  </si>
  <si>
    <t>MITSUBISHI GRANDIS 2004- СТ ПЕР ДВ ОП ЛВ ЗЛ</t>
  </si>
  <si>
    <t>6900164</t>
  </si>
  <si>
    <t>MITSUBISHI GRANDIS 2004- СТ ЗАДН ДВ ОП ЛВ ЗЛ</t>
  </si>
  <si>
    <t>6900059</t>
  </si>
  <si>
    <t>MITSUBISHI GRANDIS 2004- СТ ПЕР ДВ ОП ПР ЗЛ</t>
  </si>
  <si>
    <t>6900370</t>
  </si>
  <si>
    <t>MITSUBISHI GRANDIS 2004- СТ ЗАДН ДВ ОП ПР ЗЛ</t>
  </si>
  <si>
    <t>L200 VAN, K SERIES 1987-1996</t>
  </si>
  <si>
    <t>6963565</t>
  </si>
  <si>
    <t>MITSUBISHI L200 VAN, K SERIES 1987-1996 СТ ВЕТР ГЛ</t>
  </si>
  <si>
    <t>6964519</t>
  </si>
  <si>
    <t>MITSUBISHI L200 VAN, K SERIES 1987-1996  СТ ВЕТР</t>
  </si>
  <si>
    <t>6102169</t>
  </si>
  <si>
    <t>MITSUBISHI L200 VAN, K SERIES 1987-1996 НАБ КЛИПС ДЛЯ СТ ВЕТР</t>
  </si>
  <si>
    <t>6999400</t>
  </si>
  <si>
    <t>MITSUBISHI  L200 VAN, K SERIES 1987-1996 СТ ПЕР ДВ ОП ПР ГЛ</t>
  </si>
  <si>
    <t>6900525</t>
  </si>
  <si>
    <t>MITSUBISHI  L200 VAN, K SERIES 1987-1996 СТ ПЕР ДВ ОП ПР</t>
  </si>
  <si>
    <t>L200 1996- /PAJERO SPORT 1999-</t>
  </si>
  <si>
    <t>6963566</t>
  </si>
  <si>
    <t>1996-2006</t>
  </si>
  <si>
    <t>MITSUBISHI L200 1996-2006  СТ ВЕТР ГЛ</t>
  </si>
  <si>
    <t>6963567</t>
  </si>
  <si>
    <t>MITSUBISHI L200 1996-2006  СТ ВЕТР ЗЛ</t>
  </si>
  <si>
    <t>6960774</t>
  </si>
  <si>
    <t>MITSUBISHI PAJERO SPORT 1999-2006 СТ ВЕТР ЗЛ</t>
  </si>
  <si>
    <t>6961839</t>
  </si>
  <si>
    <t>MITSUBISHI L200 2003-2006 СТ ВЕТР ЗЛ+КР</t>
  </si>
  <si>
    <t>6961838</t>
  </si>
  <si>
    <t>MITSUBISHI PAJERO SPORT 2003-2006 СТ ВЕТР ЗЛ+ИЗМ КР</t>
  </si>
  <si>
    <t>6950079</t>
  </si>
  <si>
    <t>MITSUBISHI L200 1996-2006  СТ ВЕТР ЗЛГЛ</t>
  </si>
  <si>
    <t>6965334</t>
  </si>
  <si>
    <t>MITSUBISHI PAJERO SPORT 1999-2006  СТ ВЕТР ЗЛ+ЭО+ИЗМ КР</t>
  </si>
  <si>
    <t>6962913</t>
  </si>
  <si>
    <t>MITSUBISHI L200 2000-2003  СТ ВЕТР ЗЛ+ЭО+ИЗМ КР</t>
  </si>
  <si>
    <t>6101596</t>
  </si>
  <si>
    <t>MITSUBISHI L200 1996-2006 МОЛД  ДЛЯ СТ ВЕТР</t>
  </si>
  <si>
    <t>6100136</t>
  </si>
  <si>
    <t>MITSUBISHI L200 1996-2006 МОЛД  ДЛЯ СТ ВЕТР ХРОМ</t>
  </si>
  <si>
    <t>6101597</t>
  </si>
  <si>
    <t>MITSUBISHI PAJERO SPORT 1999-2006  МОЛД  ДЛЯ СТ ВЕТР</t>
  </si>
  <si>
    <t>6995903</t>
  </si>
  <si>
    <t>MITSUBISHI L200 ПИКАП 1996-2006  СТ ЗАДН ЗЛ</t>
  </si>
  <si>
    <t>6995992</t>
  </si>
  <si>
    <t>MITSUBISHI L200 1996-2006  СТ ПЕР ДВ ОП ЛВ ЗЛ</t>
  </si>
  <si>
    <t>6993233</t>
  </si>
  <si>
    <t>MITSUBISHI PAJERO SPORT 1999-2006  СТ ПЕР ДВ ОП ЛВ ЗЛ</t>
  </si>
  <si>
    <t>6993690</t>
  </si>
  <si>
    <t>MITSUBISHI PAJERO SPORT 1999-2006  СТ ЗАДН ДВ ОП ЛВ ЗЛ</t>
  </si>
  <si>
    <t>6980487</t>
  </si>
  <si>
    <t>MITSUBISHI PAJERO SPORT 1999-2006  СТ ФОРТ ЗАДН НЕП ЛВ ЗЛ</t>
  </si>
  <si>
    <t>6995993</t>
  </si>
  <si>
    <t>MITSUBISHI L200 1996-2006  СТ ПЕР ДВ ОП ПР ЗЛ</t>
  </si>
  <si>
    <t>6995994</t>
  </si>
  <si>
    <t>MITSUBISHI L200 1996-2006  СТ ЗАДН ДВ ОП ПР ЗЛ</t>
  </si>
  <si>
    <t>6993234</t>
  </si>
  <si>
    <t>MITSUBISHI PAJERO SPORT 1999-2006  СТ ПЕР ДВ ОП ПР ЗЛ</t>
  </si>
  <si>
    <t>6993678</t>
  </si>
  <si>
    <t>MITSUBISHI PAJERO SPORT 1999-2006  СТ ЗАДН ДВ ОП ПР ЗЛ</t>
  </si>
  <si>
    <t>6980489</t>
  </si>
  <si>
    <t>MITSUBISHI PAJERO SPORT 1999-2006  СТ ФОРТ ЗАДН НЕП ПР ЗЛ</t>
  </si>
  <si>
    <t>L200 2006-</t>
  </si>
  <si>
    <t>6961786</t>
  </si>
  <si>
    <t>MITSUBISHI L200 2006-  СТ ВЕТР ЗЛ</t>
  </si>
  <si>
    <t>L300 VAN 1980-1986</t>
  </si>
  <si>
    <t>6963477</t>
  </si>
  <si>
    <t>1980-1986</t>
  </si>
  <si>
    <t>MITSUBISHI  L300 VAN 1980-1986 СТ ВЕТР</t>
  </si>
  <si>
    <t>6102512</t>
  </si>
  <si>
    <t>MITSUBISHI  L300 VAN 1980-1986 РЕЗ ПРОФ ДЛЯ СТ ВЕТР</t>
  </si>
  <si>
    <t>6998861</t>
  </si>
  <si>
    <t>MITSUBISHI  L300 VAN МИН 1980-1986 СТ ЗАДН</t>
  </si>
  <si>
    <t>L300 VAN, PZ SERIES 1987-1997</t>
  </si>
  <si>
    <t>6969278</t>
  </si>
  <si>
    <t>MITSUBISHI  L300 VAN, PZ SERIES 1987-1997 СТ ВЕТР ГЛ</t>
  </si>
  <si>
    <t>6969289</t>
  </si>
  <si>
    <t>MITSUBISHI  L300 VAN, PZ SERIES 1987-1997 СТ ВЕТР ГЛГЛ/HYUNDAI GRACE H100 94- СТ ВЕТР ГЛГЛ</t>
  </si>
  <si>
    <t>6969288</t>
  </si>
  <si>
    <t>MITSUBISHI  L300 VAN, PZ SERIES 1987-1997 СТ ВЕТР БР</t>
  </si>
  <si>
    <t>6969280</t>
  </si>
  <si>
    <t>MITSUBISHI  L300 VAN, PZ SERIES 1987-1997 СТ ВЕТР/HYUNDAI GRACE H100 1994-2000  СТ ВЕТР</t>
  </si>
  <si>
    <t>6101178</t>
  </si>
  <si>
    <t>MITSUBISHI  L300 VAN, PZ SERIES 1987-1997 НАБ КЛИПС ДЛЯ СТ ВЕТР</t>
  </si>
  <si>
    <t>6998770</t>
  </si>
  <si>
    <t>MITSUBISHI  L300 VAN, PZ SERIES МИН 1987-1997 СТ ЗАДН ЭО ГЛ</t>
  </si>
  <si>
    <t>6998862</t>
  </si>
  <si>
    <t>MITSUBISHI  L300 VAN, PZ SERIES МИН 1987-1997 СТ ЗАДН ЭО</t>
  </si>
  <si>
    <t>6995749</t>
  </si>
  <si>
    <t>MITSUBISHI  L300 VAN, PZ SERIES 1987-1997 СТ ПЕР ДВ ОП ЛВ ГЛ</t>
  </si>
  <si>
    <t>6995751</t>
  </si>
  <si>
    <t>MITSUBISHI  L300 VAN, PZ SERIES 1987-1997 СТ ПЕР ДВ ОП ЛВ</t>
  </si>
  <si>
    <t>6995750</t>
  </si>
  <si>
    <t>MITSUBISHI  L300 VAN, PZ SERIES 1987-1997 СТ ПЕР ДВ ОП ПР ГЛ</t>
  </si>
  <si>
    <t>6995752</t>
  </si>
  <si>
    <t>MITSUBISHI  L300 VAN, PZ SERIES 1987-1997 СТ ПЕР ДВ ОП ПР</t>
  </si>
  <si>
    <t>LANCER 1984-1988 (MIRAGE)</t>
  </si>
  <si>
    <t>6961425</t>
  </si>
  <si>
    <t>MITSUBISHI  LANCER 1984-1988 (MIRAGE) СТ ВЕТР ГЛ/PROTON MPI 4Д+5Д AEROBACK 89  СТ ВЕТР ГЛ</t>
  </si>
  <si>
    <t>6101061</t>
  </si>
  <si>
    <t>MITSUBISHI  LANCER 1984-1988 (MIRAGE) УСТ КОМПЛ ДЛЯ СТ ВЕТР</t>
  </si>
  <si>
    <t>6101404</t>
  </si>
  <si>
    <t>MITSUBISHI  LANCER 1984-1988 (MIRAGE) УСТ КОМПЛ ДЛЯ СТ ВЕТР ХРОМ</t>
  </si>
  <si>
    <t>6998957</t>
  </si>
  <si>
    <t>MITSUBISHI  LANCER ХБ 1984-1988 (MIRAGE) СТ ЗАДН ГЛ</t>
  </si>
  <si>
    <t>6999109</t>
  </si>
  <si>
    <t>MITSUBISHI  LANCER 1984-1988 (MIRAGE) СТ ПЕР ДВ ОП ЛВ ГЛ/PROTON MPI + AEROBACK 89  СТ ПЕР ДВ ОП ЛВ ГЛ</t>
  </si>
  <si>
    <t>6999111</t>
  </si>
  <si>
    <t>MITSUBISHI  LANCER 1984-1988 (MIRAGE) СТ ПЕР ДВ ОП ПР ГЛ/PROTON MPI + AEROBACK 89  СТ ПЕР ДВ ОП ПР ГЛ</t>
  </si>
  <si>
    <t>LANCER 1988-1993</t>
  </si>
  <si>
    <t>6963394</t>
  </si>
  <si>
    <t>MITSUBISHI  LANCER СЕД/ХБ 1988-1993 СТ ВЕТР ГЛ</t>
  </si>
  <si>
    <t>6963395</t>
  </si>
  <si>
    <t>MITSUBISHI  LANCER СЕД/ХБ 1988-1993  СТ ВЕТР ГЛГЛ</t>
  </si>
  <si>
    <t>6101073</t>
  </si>
  <si>
    <t>MITSUBISHI  LANCER ХБ 1988-1993  УСТ КОМПЛ ДЛЯ СТ ВЕТР</t>
  </si>
  <si>
    <t>6102359</t>
  </si>
  <si>
    <t>MITSUBISHI  LANCER ХБ 1988-1993  МОЛД ДЛЯ СТ ВЕТР ВЕРХ ХРОМ</t>
  </si>
  <si>
    <t>6992477</t>
  </si>
  <si>
    <t>MITSUBISHI  LANCER СД 1988-1993  СТ ЗАДН ГЛ</t>
  </si>
  <si>
    <t>6999903</t>
  </si>
  <si>
    <t>MITSUBISHI  LANCER СД 1988-1993  СТ ЗАДН</t>
  </si>
  <si>
    <t>6996784</t>
  </si>
  <si>
    <t>MITSUBISHI  LANCER СЕД/ХБ 1988-1993  СТ ПЕР ДВ ОП ЛВ ГЛ</t>
  </si>
  <si>
    <t>6980478</t>
  </si>
  <si>
    <t>MITSUBISHI  LANCER СЕД 1988-1993  СТ ЗАДН ДВ ОП ЛВ ГЛ</t>
  </si>
  <si>
    <t>6992478</t>
  </si>
  <si>
    <t>MITSUBISHI  LANCER СЕД 1988-1993  СТ ФОРТ ЗАДН НЕП ЛВ ГЛ</t>
  </si>
  <si>
    <t>6996785</t>
  </si>
  <si>
    <t>MITSUBISHI  LANCER СЕД/ХБ 1988-1993  СТ ПЕР ДВ ОП ПР ГЛ</t>
  </si>
  <si>
    <t>6980479</t>
  </si>
  <si>
    <t>MITSUBISHI  LANCER СЕД 1988-1993  СТ ЗАДН ДВ ОП ПР ГЛ</t>
  </si>
  <si>
    <t>6992479</t>
  </si>
  <si>
    <t>MITSUBISHI  LANCER СЕД 1988-1993  СТ ФОРТ ЗАДН НЕП ПР ГЛ</t>
  </si>
  <si>
    <t>LANCER 1993-1996</t>
  </si>
  <si>
    <t>6961427</t>
  </si>
  <si>
    <t>MITSUBISHI LANCER 1993-1996 СТ ВЕТР ГЛ</t>
  </si>
  <si>
    <t>6963402</t>
  </si>
  <si>
    <t>MITSUBISHI LANCER 1993-1996 СТ ВЕТР ГЛГЛ</t>
  </si>
  <si>
    <t>6964161</t>
  </si>
  <si>
    <t>MITSUBISHI LANCER 1993-1996 СТ ВЕТР ЗЛ/PROTON JUMBUCK 2Д PU 03  СТ ВЕТР ЗЛ</t>
  </si>
  <si>
    <t>6101070</t>
  </si>
  <si>
    <t>MITSUBISHI LANCER 1993-1996 МОЛД  ДЛЯ СТ ВЕТР ВЕРХ</t>
  </si>
  <si>
    <t>6992480</t>
  </si>
  <si>
    <t>MITSUBISHI LANCER СД 4Д 1993-1996  СТ ЗАДН ЗЛ</t>
  </si>
  <si>
    <t>6995418</t>
  </si>
  <si>
    <t>MITSUBISHI LANCER СЕД 1993-1996  СТ ПЕР ДВ ОП ЛВ ГЛ</t>
  </si>
  <si>
    <t>6995420</t>
  </si>
  <si>
    <t>MITSUBISHI LANCER СЕД 1993-1996  СТ ФОРТ ЗАДН НЕП ЛВ ГЛ</t>
  </si>
  <si>
    <t>6992481</t>
  </si>
  <si>
    <t>MITSUBISHI LANCER СЕД 4Д 1993-1996  СТ ПЕР ДВ ОП ЛВ ЗЛ</t>
  </si>
  <si>
    <t>6900165</t>
  </si>
  <si>
    <t>MITSUBISHI LANCER СЕД 4Д 1993-1996 СТ ЗАДН ДВ ОП ЛВ ЗЛ</t>
  </si>
  <si>
    <t>6900297</t>
  </si>
  <si>
    <t>MITSUBISHI LANCER СЕД 1993-1996  СТ ФОРТ ЗАДН НЕП ЛВ ЗЛ</t>
  </si>
  <si>
    <t>6995421</t>
  </si>
  <si>
    <t>MITSUBISHI LANCER СЕД 1993-1996  СТ ПЕР ДВ ОП ПР ГЛ</t>
  </si>
  <si>
    <t>6995423</t>
  </si>
  <si>
    <t>MITSUBISHI LANCER СЕД 1993-1996  СТ ФОРТ ЗАДН НЕП ПР ГЛ</t>
  </si>
  <si>
    <t>6992523</t>
  </si>
  <si>
    <t>MITSUBISHI LANCER СЕД 1993-1996  СТ ПЕР ДВ ОП ПР ЗЛ</t>
  </si>
  <si>
    <t>6900242</t>
  </si>
  <si>
    <t>MITSUBISHI LANCER СЕД 1993-1996  СТ ЗАДН ДВ ОП ПР ЗЛ</t>
  </si>
  <si>
    <t>6900314</t>
  </si>
  <si>
    <t>MITSUBISHI LANCER СЕД 1993-1996  СТ ФОРТ ЗАДН НЕП ПР ЗЛ</t>
  </si>
  <si>
    <t>LANCER 1996-2003</t>
  </si>
  <si>
    <t>6963404</t>
  </si>
  <si>
    <t>MITSUBISHI LANCER 1996-2003  СТ ВЕТР ЗЛ</t>
  </si>
  <si>
    <t>6963215</t>
  </si>
  <si>
    <t>MITSUBISHI LANCER 1996-2003  СТ ВЕТР ЗЛГЛ К</t>
  </si>
  <si>
    <t>6992482</t>
  </si>
  <si>
    <t>MITSUBISHI LANCER СД 1996-2003  СТ ЗАДН ЗЛ</t>
  </si>
  <si>
    <t>6992483</t>
  </si>
  <si>
    <t>MITSUBISHI LANCER 1996-2003  СТ ПЕР ДВ ОП ЛВ ЗЛ+2ОТВ</t>
  </si>
  <si>
    <t>6980481</t>
  </si>
  <si>
    <t>MITSUBISHI LANCER 1996-2003  СТ ЗАДН ДВ ОП ЛВ ЗЛ</t>
  </si>
  <si>
    <t>6992485</t>
  </si>
  <si>
    <t>MITSUBISHI LANCER 1996-2003  СТ ФОРТ ЗАДН НЕП ЛВ ЗЛ</t>
  </si>
  <si>
    <t>6992484</t>
  </si>
  <si>
    <t>MITSUBISHI LANCER 1996-2003  СТ ПЕР ДВ ОП ПР ЗЛ+2ОТВ</t>
  </si>
  <si>
    <t>6980482</t>
  </si>
  <si>
    <t>MITSUBISHI LANCER 1996-2003  СТ ЗАДН ДВ ОП ПР ЗЛ</t>
  </si>
  <si>
    <t>6992486</t>
  </si>
  <si>
    <t>MITSUBISHI LANCER 1996-2003  СТ ФОРТ ЗАДН НЕП ПР ЗЛ</t>
  </si>
  <si>
    <t>LANCER 9 2003-2007</t>
  </si>
  <si>
    <t>6961787</t>
  </si>
  <si>
    <t>MITSUBISHI  LANCER 9 СД+УН 2003-2007  СТ ВЕТР ЗЛ/MITSUBISHI EVO VII / CEDIA LHD 2002- СТ ВЕТР ЗЛ</t>
  </si>
  <si>
    <t>6963093</t>
  </si>
  <si>
    <t>MITSUBISHI  LANCER 9 СД+УН 2003-2007  СТ ВЕТР ЗЛГЛ</t>
  </si>
  <si>
    <t>6102315</t>
  </si>
  <si>
    <t>MITSUBISHI  LANCER 9 СД+УН 2003-2007  МОЛД  ДЛЯ СТ ВЕТР ВЕРХ</t>
  </si>
  <si>
    <t>6900167</t>
  </si>
  <si>
    <t>MITSUBISHI  LANCER 9 УН 2003-2007  СТ ЗАДН ДВ ОП ЛВ ЗЛ+УО</t>
  </si>
  <si>
    <t>6900299</t>
  </si>
  <si>
    <t>MITSUBISHI  LANCER 9 УН 2003-2007  СТ ФОРТ ЗАДН НЕП ЛВ</t>
  </si>
  <si>
    <t>6999068</t>
  </si>
  <si>
    <t>MITSUBISHI  LANCER 9 СД+УН 2003-2007  СТ ПЕР ДВ ОП ЛВ ЗЛ+УО</t>
  </si>
  <si>
    <t>6900166</t>
  </si>
  <si>
    <t>MITSUBISHI  LANCER 9 СЕД 2003-2007  СТ ЗАДН ДВ ОП ЛВ ЗЛ+УО/MITSUBISHI EVO VII / CEDIA 2002- СТ ЗАДН ДВ ОП ЛВ ЗЛ+УО</t>
  </si>
  <si>
    <t>6900298</t>
  </si>
  <si>
    <t>MITSUBISHI  LANCER 9 СЕД 2003-2007  СТ ФОРТ ЗАДН НЕП ЛВ ЗЛ/MITSUBISHI EVO VII / CEDIA 2002- СТ ФОРТ ЗАДН НЕП ЛВ ЗЛ</t>
  </si>
  <si>
    <t>6900243</t>
  </si>
  <si>
    <t>MITSUBISHI  LANCER 9 УН 2003-2007  СТ ЗАДН ДВ ОП ПР/MITSUBISHI EVO VII / CEDIA 2002- СТ ЗАДН ДВ ОП ПР</t>
  </si>
  <si>
    <t>6900316</t>
  </si>
  <si>
    <t>MITSUBISHI  LANCER 9 УН 2003-2007  СТ ФОРТ ЗАДН НЕП ПР</t>
  </si>
  <si>
    <t>6999067</t>
  </si>
  <si>
    <t>MITSUBISHI  LANCER 9 СД+УН 2003-2007  СТ ПЕР ДВ ОП ПР ЗЛ+УО</t>
  </si>
  <si>
    <t>6900371</t>
  </si>
  <si>
    <t>MITSUBISHI  LANCER 9 СЕД 2003-2007  СТ ЗАДН ДВ ОП ПР ЗЛ+УО/MITSUBISHI EVO VII / CEDIA 2002- СТ ЗАДН ДВ ОП ПР ЗЛ+УО</t>
  </si>
  <si>
    <t>6900315</t>
  </si>
  <si>
    <t>MITSUBISHI  LANCER 9 СЕД 2003-2007  СТ ФОРТ ЗАДН НЕП ПР ЗЛ/MITSUBISHI EVO VII / CEDIA 2002- СТ ФОРТ ЗАДН НЕП ПР ЗЛ</t>
  </si>
  <si>
    <t>LANCER 10 2007-</t>
  </si>
  <si>
    <t>6963059</t>
  </si>
  <si>
    <t>MITSUBISHI LANCER 10 2007- СТ ВЕТР ЗЛ</t>
  </si>
  <si>
    <t>6964746</t>
  </si>
  <si>
    <t>MITSUBISHI LANCER 10 2007- СТ ВЕТР ЗЛГЛ</t>
  </si>
  <si>
    <t>6963060</t>
  </si>
  <si>
    <t>MITSUBISHI LANCER 10 2007- СТ ВЕТР ЗЛ+ДД</t>
  </si>
  <si>
    <t>6102628</t>
  </si>
  <si>
    <t>MITSUBISHI LANCER 10 СД+ХБ 2007- МОЛД ДЛЯ СТ ВЕТР</t>
  </si>
  <si>
    <t>6900996</t>
  </si>
  <si>
    <t>MITSUBISHI LANCER СД 07-СТ ЗАДН ДВ ОП ЛВ ЗЛ УО</t>
  </si>
  <si>
    <t>6901026</t>
  </si>
  <si>
    <t>MITSUBISHI LANCER СД 07- СТ ЗАДН ЗЛ</t>
  </si>
  <si>
    <t>6901847</t>
  </si>
  <si>
    <t>MITSUBISHI LANCER СД 07-СТ ЗАДН ДВ ОП ПР ЗЛ УО</t>
  </si>
  <si>
    <t>6901848</t>
  </si>
  <si>
    <t>MITSUBISHI LANCER СД 07-СТ ПЕР ДВ ОП ПР ЗЛ УО</t>
  </si>
  <si>
    <t>6901849</t>
  </si>
  <si>
    <t>MITSUBISHI LANCER СД 07-СТ ПЕР ДВ ОП ЛВ ЗЛ УО</t>
  </si>
  <si>
    <t>OUTLANDER 2003-2007</t>
  </si>
  <si>
    <t>6961027</t>
  </si>
  <si>
    <t>MITSUBISHI OUTLANDER 2003-2007  СТ ВЕТР ЗЛ</t>
  </si>
  <si>
    <t>6962266</t>
  </si>
  <si>
    <t>MITSUBISHI OUTLANDER 2003-2007  СТ ВЕТР ЗЛ ЭО</t>
  </si>
  <si>
    <t>6101576</t>
  </si>
  <si>
    <t>MITSUBISHI OUTLANDER 2003-2007 МОЛД  ДЛЯ СТ ВЕТР ВЕРХ</t>
  </si>
  <si>
    <t>6999972</t>
  </si>
  <si>
    <t>MITSUBISHI OUTLANDER 2003-2007  СТ ПЕР ДВ ОП ЛВ ЗЛ+УО</t>
  </si>
  <si>
    <t>6900168</t>
  </si>
  <si>
    <t>MITSUBISHI OUTLANDER 2003-2007  СТ ЗАДН ДВ ОП ЛВ ЗЛ+УО</t>
  </si>
  <si>
    <t>6900060</t>
  </si>
  <si>
    <t>MITSUBISHI OUTLANDER 2003-2007  СТ ПЕР ДВ ОП ПР ЗЛ+УО</t>
  </si>
  <si>
    <t>6900244</t>
  </si>
  <si>
    <t>MITSUBISHI OUTLANDER 2003-2007  СТ ЗАДН ДВ ОП ПР ЗЛ+УО</t>
  </si>
  <si>
    <t>OUTLANDER 2007-</t>
  </si>
  <si>
    <t>6963004</t>
  </si>
  <si>
    <t>MITSUBISHI OUTLANDER 07- СТ ВЕТР ЗЛ+ЭО+ДД</t>
  </si>
  <si>
    <t>6962617</t>
  </si>
  <si>
    <t>MITSUBISHI OUTLANDER 2007- СТ ВЕТР ЗЛ /CITROEN C-CROSSER LHD 2007- СТ ВЕТР ЗЛ</t>
  </si>
  <si>
    <t>6963003</t>
  </si>
  <si>
    <t>MITSUBISHI OUTLANDER 2007- СТ ВЕТР ЗЛ+ЭО+КР/PEUGEOT 4007 07  СТ ВЕТР ЗЛ+ЭО/CITROEN C-CROSSER LHD 2007-СТ ВЕТР ЗЛ+ЭО</t>
  </si>
  <si>
    <t>6102639</t>
  </si>
  <si>
    <t>MITSUBISHI OUTLANDER 2007- МОЛД ДЛЯ СТ ВЕТР ВЕРХ</t>
  </si>
  <si>
    <t>6900444</t>
  </si>
  <si>
    <t>MITSUBISHI OUTLANDER 2007- СТ ПЕР ДВ ОП ЛВ ЗЛ+УО/CITROEN C-CROSSER 2007- СТ ПЕР ДВ ОП ЛВ ЗЛ+УО</t>
  </si>
  <si>
    <t>6900446</t>
  </si>
  <si>
    <t>MITSUBISHI OUTLANDER 2007- СТ ЗАДН ДВ ОП ЛВ ЗЛ+УО/CITROEN C-CROSSER 2007- СТ ЗАДН ДВ ОП ЛВ ЗЛ+УО</t>
  </si>
  <si>
    <t>6900443</t>
  </si>
  <si>
    <t>MITSUBISHI OUTLANDER 2007- СТ ПЕР ДВ ОП ПР ЗЛ+УО/CITROEN C-CROSSER 2007- СТ ПЕР ДВ ОП ПР ЗЛ+УО</t>
  </si>
  <si>
    <t>6900445</t>
  </si>
  <si>
    <t>MITSUBISHI OUTLANDER 2007- СТ ЗАДН ДВ ОП ПР ЗЛ+УО/CITROEN C-CROSSER 2007- СТ ЗАДН ДВ ОП ПР ЗЛ+УО</t>
  </si>
  <si>
    <t>6900448</t>
  </si>
  <si>
    <t>MITSUBISHI OUTLANDER 07-СТ ЗАДН ДВ ОП ЛВ СР УО</t>
  </si>
  <si>
    <t>6900447</t>
  </si>
  <si>
    <t>MITSUBISHI OUTLANDER 07-СТ ЗАДН ДВ ОП ПР СР УО</t>
  </si>
  <si>
    <t>PAJERO PININ 2000-</t>
  </si>
  <si>
    <t>6962945</t>
  </si>
  <si>
    <t>MITSUBISHI PAJERO PININ 2000- СТ ВЕТР ЗЛГЛ</t>
  </si>
  <si>
    <t>6960144</t>
  </si>
  <si>
    <t>MITSUBISHI PAJERO PININ 2000- СТ ВЕТР ЗЛ+УО</t>
  </si>
  <si>
    <t>6102360</t>
  </si>
  <si>
    <t>MITSUBISHI PAJERO PININ 2000- МОЛД  ДЛЯ СТ ВЕТР НИЖН</t>
  </si>
  <si>
    <t>6101159</t>
  </si>
  <si>
    <t>MITSUBISHI PAJERO PININ 2000- МОЛД  ДЛЯ СТ ВЕТР ВЕРХ</t>
  </si>
  <si>
    <t>6990445</t>
  </si>
  <si>
    <t>MITSUBISHI PAJERO PININ ВН 2000-  СТ ЗАДН ЗЛ ИНК</t>
  </si>
  <si>
    <t>6990447</t>
  </si>
  <si>
    <t>MITSUBISHI PAJERO PININ 2000-  СТ ПЕР ДВ ОП ЛВ ЗЛ УО</t>
  </si>
  <si>
    <t>6990449</t>
  </si>
  <si>
    <t>MITSUBISHI PAJERO PININ 2000-  СТ БОК ЛВ ЗЛ УО</t>
  </si>
  <si>
    <t>6990878</t>
  </si>
  <si>
    <t>MITSUBISHI PAJERO PININ 5Д 2000-  СТ ПЕР ДВ ОП ЛВ ЗЛ+УО</t>
  </si>
  <si>
    <t>6990881</t>
  </si>
  <si>
    <t>MITSUBISHI PAJERO PININ 5Д 2000-  СТ ЗАДН ДВ ОП ЛВ ЗЛ+УО</t>
  </si>
  <si>
    <t>6990885</t>
  </si>
  <si>
    <t>MITSUBISHI PAJERO PININ 5Д 2000-  СТ БОК ЛВ ЗЛ+ИНК</t>
  </si>
  <si>
    <t>6990883</t>
  </si>
  <si>
    <t>MITSUBISHI PAJERO PININ 5Д 2000-  СТ ЗАДН ДВ НЕП ЛВ ЗЛ</t>
  </si>
  <si>
    <t>6990446</t>
  </si>
  <si>
    <t>MITSUBISHI PAJERO PININ 2000-  СТ ПЕР ДВ ОП ПР ЗЛ УО</t>
  </si>
  <si>
    <t>6990448</t>
  </si>
  <si>
    <t>MITSUBISHI PAJERO PININ 2000-  СТ БОК ПР ЗЛ УО</t>
  </si>
  <si>
    <t>6990877</t>
  </si>
  <si>
    <t>MITSUBISHI PAJERO PININ 5Д 2000-  СТ ПЕР ДВ ОП ПР ЗЛ+УО</t>
  </si>
  <si>
    <t>6990879</t>
  </si>
  <si>
    <t>MITSUBISHI PAJERO PININ 5Д 2000-  СТ ЗАДН ДВ ОП ПР ЗЛ+УО</t>
  </si>
  <si>
    <t>6990884</t>
  </si>
  <si>
    <t>MITSUBISHI PAJERO PININ 5Д 2000-  СТ БОК ПР ЗЛ+ИНК</t>
  </si>
  <si>
    <t>6990882</t>
  </si>
  <si>
    <t>MITSUBISHI PAJERO PININ 5Д 2000-  СТ ЗАДН ДВ НЕП ПР ЗЛ</t>
  </si>
  <si>
    <t>PAJERO/SHOGUN I 1983-1991</t>
  </si>
  <si>
    <t>6969274</t>
  </si>
  <si>
    <t>MITSUBISHI SHOGUN 1983-1991 СТ ВЕТР ГЛ/HYUNDAI GALLOPER 3Д 1999-  СТ ВЕТР ГЛ</t>
  </si>
  <si>
    <t>6969275</t>
  </si>
  <si>
    <t>MITSUBISHI SHOGUN 1983-1991 СТ ВЕТР ГЛГЛ/HYUNDAI GALLOPER 3Д 1999-  СТ ВЕТР ГЛГЛ</t>
  </si>
  <si>
    <t>6969273</t>
  </si>
  <si>
    <t>MITSUBISHI PAJERO/SHOGUN 1983-1991 СТ ВЕТР БР</t>
  </si>
  <si>
    <t>6961159</t>
  </si>
  <si>
    <t>MITSUBISHI PAJERO/SHOGUN 1983-1991 СТ ВЕТР ЗЛГЛ</t>
  </si>
  <si>
    <t>6100499</t>
  </si>
  <si>
    <t>MITSUBISHI SHOGUN 1983-1991 РЕЗ ПРОФ ДЛЯ СТ ВЕТР</t>
  </si>
  <si>
    <t>6101116</t>
  </si>
  <si>
    <t>MITSUBISHI PAJERO/SHOGUN 1983-1991 РЕЗ ПРОФ ДЛЯ СТ ВЕТР</t>
  </si>
  <si>
    <t>6998955</t>
  </si>
  <si>
    <t>MITSUBISHI SHOGUN ВН 1983-1991 СТ ЗАДН ЭО ГЛ</t>
  </si>
  <si>
    <t>6999484</t>
  </si>
  <si>
    <t>MITSUBISHI PAJERO/SHOGUN 1983-1991СТ ЗАДН ДВ ОП ЛВ ГЛ</t>
  </si>
  <si>
    <t>6995748</t>
  </si>
  <si>
    <t>MITSUBISHI PAJERO/SHOGUN 1983-1991 СТ ПЕР ДВ ОП ПР ГЛ</t>
  </si>
  <si>
    <t>6999485</t>
  </si>
  <si>
    <t>MITSUBISHI PAJERO/SHOGUN 1983-1991 СТ ЗАДН ДВ ОП ПР ГЛ</t>
  </si>
  <si>
    <t>PAJERO/SHOGUN II 1991-2000</t>
  </si>
  <si>
    <t>6969293</t>
  </si>
  <si>
    <t>MITSUBISHI SHOGUN 3Д+5Д 1991-2000-СТ ВЕТР</t>
  </si>
  <si>
    <t>6969294</t>
  </si>
  <si>
    <t>MITSUBISHI SHOGUN 3Д+5Д 1991-2000-СТ ВЕТР БР</t>
  </si>
  <si>
    <t>6969295</t>
  </si>
  <si>
    <t>MITSUBISHI SHOGUN 3Д+5Д 1991-2000 СТ ВЕТР ГЛ</t>
  </si>
  <si>
    <t>6969296</t>
  </si>
  <si>
    <t>MITSUBISHI SHOGUN 3Д+5Д 1991-2000 СТ ВЕТР ГЛГЛ</t>
  </si>
  <si>
    <t>6963397</t>
  </si>
  <si>
    <t>MITSUBISHI SHOGUN 3Д+5Д 1991-2000 СТ ВЕТР ЗЛ</t>
  </si>
  <si>
    <t>6961022</t>
  </si>
  <si>
    <t>MITSUBISHI PAJERO 1991-2000 СТ ВЕТР</t>
  </si>
  <si>
    <t>6101164</t>
  </si>
  <si>
    <t>MITSUBISHI SHOGUN 3Д+5Д 1991-2000   НАБ КЛИПС ДЛЯ СТ ВЕТР</t>
  </si>
  <si>
    <t>6100293</t>
  </si>
  <si>
    <t>MITSUBISHI SHOGUN 3Д+5Д 1991-2000  МОЛД  ДЛЯ СТ ВЕТР НИЗ</t>
  </si>
  <si>
    <t>6100131</t>
  </si>
  <si>
    <t>MITSUBISHI SHOGUN 3Д+5Д 1991-2000  МОЛД  ДЛЯ СТ ВЕТР ВЕРХ</t>
  </si>
  <si>
    <t>6998960</t>
  </si>
  <si>
    <t>MITSUBISHI SHOGUN 3Д+5Д ВН 1991-2000 СТ ЗАДН ЭО ГЛ</t>
  </si>
  <si>
    <t>6992487</t>
  </si>
  <si>
    <t>MITSUBISHI SHOGUN 3Д+5Д ВН 1991-2000СТ ЗАДН ЗЛ</t>
  </si>
  <si>
    <t>6998962</t>
  </si>
  <si>
    <t>MITSUBISHI SHOGUN 3Д+5Д ВН 1991-2000  СТ ЗАДН СР</t>
  </si>
  <si>
    <t>6995759</t>
  </si>
  <si>
    <t>MITSUBISHI SHOGUN 3Д+5Д 1991-2000 СТ ПЕР ДВ ОП ЛВ ГЛ</t>
  </si>
  <si>
    <t>6995760</t>
  </si>
  <si>
    <t>MITSUBISHI PAJERO/SHOGUN 1991-2000  СТ ЗАДН ДВ ОП ЛВ ГЛ</t>
  </si>
  <si>
    <t>6995761</t>
  </si>
  <si>
    <t>MITSUBISHI PAJERO/SHOGUN 1991-2000  СТ ФОРТ ЗАДН НЕП ЛВ ГЛ</t>
  </si>
  <si>
    <t>6995766</t>
  </si>
  <si>
    <t>MITSUBISHI PAJERO/SHOGUN 1991-2000  СТ ЗАДН ДВ ОП ЛВ БР</t>
  </si>
  <si>
    <t>6992519</t>
  </si>
  <si>
    <t>MITSUBISHI SHOGUN 3Д+5Д 1991-2000 СТ ПЕР ДВ ОП ЛВ ЗЛ</t>
  </si>
  <si>
    <t>6992414</t>
  </si>
  <si>
    <t>MITSUBISHI PAJERO/SHOGUN 5Д 1991-2000 СТ ЗАДН ДВ НЕП ЛВ ЗЛ</t>
  </si>
  <si>
    <t>6995772</t>
  </si>
  <si>
    <t>MITSUBISHI PAJERO/SHOGUN 1991-2000  СТ ФОРТ ЗАДН НЕП ЛВ СР</t>
  </si>
  <si>
    <t>6995762</t>
  </si>
  <si>
    <t>MITSUBISHI SHOGUN 3Д+5Д 1991-2000 СТ ПЕР ДВ ОП ПР ГЛ</t>
  </si>
  <si>
    <t>6995763</t>
  </si>
  <si>
    <t>MITSUBISHI PAJERO/SHOGUN 1991-2000  СТ ЗАДН ДВ ОП ПР ГЛ</t>
  </si>
  <si>
    <t>6995769</t>
  </si>
  <si>
    <t>MITSUBISHI PAJERO/SHOGUN 1991-2000  СТ ЗАДН ДВ ОП ПР БР</t>
  </si>
  <si>
    <t>6992488</t>
  </si>
  <si>
    <t>MITSUBISHI SHOGUN 3Д+5Д 1991-2000  СТ ПЕР ДВ ОП ПР</t>
  </si>
  <si>
    <t>6992415</t>
  </si>
  <si>
    <t>MITSUBISHI PAJERO/SHOGUN 1991-2000  СТ ЗАДН ДВ НЕП ПР ЗЛ+ФИТ</t>
  </si>
  <si>
    <t>PAJERO/SHOGUN III 2000-</t>
  </si>
  <si>
    <t>6960677</t>
  </si>
  <si>
    <t>MITSUBISHI SHOGUN/PAJERO 3Д 5Д 2000- СТ ВЕТР ЗЛ</t>
  </si>
  <si>
    <t>6964829</t>
  </si>
  <si>
    <t>MITSUBISHI SHOGUN/PAJERO III-IV 3Д-5Д 2000-2003 СТ ВЕТР ЗЛГЛ</t>
  </si>
  <si>
    <t>6961179</t>
  </si>
  <si>
    <t>MITSUBISHI SHOGUN/PAJERO 3Д-5Д 2004- СТ ВЕТР ЗЛГЛ+ИЗМ КР</t>
  </si>
  <si>
    <t>6962893</t>
  </si>
  <si>
    <t>MITSUBISHI SHOGUN/PAJERO 3Д 5Д 2000- СТ ВЕТР ЗЛГЛ ЭО+КР</t>
  </si>
  <si>
    <t>6962267</t>
  </si>
  <si>
    <t>MITSUBISHI SHOGUN/PAJERO HB 03/2004- СТ ВЕТР ЗЛГЛ+ЭО+ИЗМ КР</t>
  </si>
  <si>
    <t>6962856</t>
  </si>
  <si>
    <t>MITSUBISHI SHOGUN/PAJERO 2000-  СТ ВЕТР ЗЛ ЭО</t>
  </si>
  <si>
    <t>6964917</t>
  </si>
  <si>
    <t>MITSUBISHI SHOGUN/PAJERO 2000- СТ ВЕТР ЗЛГЛ+ЭО+ДД+АКУСТ</t>
  </si>
  <si>
    <t>6101575</t>
  </si>
  <si>
    <t>MITSUBISHI SHOGUN/PAJERO 2000- МОЛД  ДЛЯ СТ ВЕТР</t>
  </si>
  <si>
    <t>6992416</t>
  </si>
  <si>
    <t>MITSUBISHI SHOGUN/PAJERO 3Д+5Д ВН 2000- СТ ЗАДН ЗЛ</t>
  </si>
  <si>
    <t>6980070</t>
  </si>
  <si>
    <t>MITSUBISHI SHOGUN/PAJERO 2000-  СТ ПЕР ДВ ОП ЛВ ЗЛ</t>
  </si>
  <si>
    <t>6980071</t>
  </si>
  <si>
    <t>MITSUBISHI PAJERO 5T 2000-  СТ ПЕР ДВ ОП ЛВ ЗЛ</t>
  </si>
  <si>
    <t>6980195</t>
  </si>
  <si>
    <t>MITSUBISHI SHOGUN/PAJERO 2000-  СТ ЗАДН ДВ ОП ЛВ ЗЛ</t>
  </si>
  <si>
    <t>6980196</t>
  </si>
  <si>
    <t>MITSUBISHI SHOGUN/PAJERO 2000-  СТ ФОРТ ЗАДН НЕП ЛВ ЗЛ</t>
  </si>
  <si>
    <t>6980090</t>
  </si>
  <si>
    <t>MITSUBISHI SHOGUN/PAJERO 2000-  СТ ПЕР ДВ ОП ПР ЗЛ</t>
  </si>
  <si>
    <t>6980010</t>
  </si>
  <si>
    <t>6980197</t>
  </si>
  <si>
    <t>MITSUBISHI SHOGUN/PAJERO 2000-  СТ ЗАДН ДВ ОП ПР ГЛ</t>
  </si>
  <si>
    <t>6980198</t>
  </si>
  <si>
    <t>MITSUBISHI SHOGUN/PAJERO 2000-  СТ ФОРТ ПР ЗАДН НЕП ЗЛ</t>
  </si>
  <si>
    <t>SIGMA 4Д LIM 1991-2000</t>
  </si>
  <si>
    <t>6964550</t>
  </si>
  <si>
    <t>MITSUBISHI SIGMA СЕД 1991-2000  СТ ВЕТР ГЛГЛ</t>
  </si>
  <si>
    <t>SPACE GEAR/DELICA L400 1995-2003</t>
  </si>
  <si>
    <t>6964265</t>
  </si>
  <si>
    <t>MITSUBISHI DELICA L400/SPACE GEAR 1995-2003  СТ ВЕТР ГЛ</t>
  </si>
  <si>
    <t>6964266</t>
  </si>
  <si>
    <t>MITSUBISHI DELICA L400/SPACE GEAR 1995-2003  СТ ВЕТР ЗЛ</t>
  </si>
  <si>
    <t>6963907</t>
  </si>
  <si>
    <t>MITSUBISHI DELICA L400/SPACE GEAR 1995-2003  СТ ВЕТР  ЗЛГЛ</t>
  </si>
  <si>
    <t>6101131</t>
  </si>
  <si>
    <t>MITSUBISHI DELICA L400/SPACE GEAR 1995-2003 МОЛД  ДЛЯ СТ ВЕТР</t>
  </si>
  <si>
    <t>6980009</t>
  </si>
  <si>
    <t>MITSUBISHI DELICA L400/SPACE GEAR МИН 1995-2003  СТ ЗАДН ЗЛ</t>
  </si>
  <si>
    <t>6999969</t>
  </si>
  <si>
    <t>MITSUBISHI DELICA L400/SPACE GEAR 1995-2003  СТ ПЕР ДВ ОП  ЛВ ГЛ</t>
  </si>
  <si>
    <t>6980191</t>
  </si>
  <si>
    <t>MITSUBISHI DELICA L400/SPACE GEAR 1995-2003  СТ ПЕР ДВ ОП ЛВ ЗЛ</t>
  </si>
  <si>
    <t>6980193</t>
  </si>
  <si>
    <t>MITSUBISHI DELICA L400/SPACE GEAR 1995-2003  СТ ПЕР ДВ ОП ПР ЗЛ</t>
  </si>
  <si>
    <t>6980192</t>
  </si>
  <si>
    <t>MITSUBISHI DELICA L400/SPACE GEAR 1995-2003  СТ ПЕР ДВ ОП ПР ГЛ</t>
  </si>
  <si>
    <t>SPACE RUNNER 1991-1999</t>
  </si>
  <si>
    <t>6963399</t>
  </si>
  <si>
    <t>MITSUBISHI SPACE RUNNER 1991-1999 СТ ВЕТР ГЛ</t>
  </si>
  <si>
    <t>6960678</t>
  </si>
  <si>
    <t>MITSUBISHI SPACE RUNNER 1991-1999 СТ ВЕТР ЗЛ</t>
  </si>
  <si>
    <t>6101101</t>
  </si>
  <si>
    <t>MITSUBISHI SPACE RUNNER 1991-1999 МОЛД  ДЛЯ СТ ВЕТР</t>
  </si>
  <si>
    <t>SPACE RUNNER 2000-</t>
  </si>
  <si>
    <t>6950217</t>
  </si>
  <si>
    <t>MITSUBISHI SPACE RUNNER 2000-  СТ ВЕТР ЗЛ</t>
  </si>
  <si>
    <t>SPACE STAR 1998-</t>
  </si>
  <si>
    <t>6961430</t>
  </si>
  <si>
    <t>MITSUBISHI SPACE STAR 1998-  СТ ВЕТР ЗЛ</t>
  </si>
  <si>
    <t>6960145</t>
  </si>
  <si>
    <t>MITSUBISHI SPACE STAR 1998-  СТ ВЕТР ЗЛЗЛ</t>
  </si>
  <si>
    <t>6100138</t>
  </si>
  <si>
    <t>MITSUBISHI SPACE STAR 1998- МОЛД  ДЛЯ СТ ВЕТР ВЕРХ</t>
  </si>
  <si>
    <t>6994777</t>
  </si>
  <si>
    <t>MITSUBISHI SPACE STAR МИН 1998-  СТ ЗАДН ЭО ЗЛ ФИТ</t>
  </si>
  <si>
    <t>6995910</t>
  </si>
  <si>
    <t>MITSUBISHI SPACE STAR 1998-  СТ ПЕР ДВ ОП ЛВ ЗЛ</t>
  </si>
  <si>
    <t>6994779</t>
  </si>
  <si>
    <t>MITSUBISHI SPACE STAR 1998-  СТ ЗАДН ДВ ОП ЛВ ЗЛ</t>
  </si>
  <si>
    <t>6994778</t>
  </si>
  <si>
    <t>MITSUBISHI SPACE STAR 1998-  СТ БОК НЕП ЛВ ЗЛ+ИНК</t>
  </si>
  <si>
    <t>6995911</t>
  </si>
  <si>
    <t>MITSUBISHI SPACE STAR 1998-  СТ ПЕР ДВ ОП ПР ЗЛ</t>
  </si>
  <si>
    <t>6994781</t>
  </si>
  <si>
    <t>MITSUBISHI SPACE STAR 1998-  СТ ЗАДН ДВ ОП ПР ЗЛ</t>
  </si>
  <si>
    <t>6994780</t>
  </si>
  <si>
    <t>MITSUBISHI SPACE STAR 1998-  СТ БОК НЕП ПР ЗЛ+ИНК</t>
  </si>
  <si>
    <t>SPACEWAGON 1984-1990</t>
  </si>
  <si>
    <t>6963479</t>
  </si>
  <si>
    <t>MITSUBISHI SPACE WAGON 1984-1990 СТ ВЕТР ГЛ</t>
  </si>
  <si>
    <t>6101028</t>
  </si>
  <si>
    <t>MITSUBISHI SPACE WAGON 1984-1990 УСТ КОМПЛ ДЛЯ СТ ВЕТР</t>
  </si>
  <si>
    <t>SPACEWAGON 1991-1999</t>
  </si>
  <si>
    <t>6963481</t>
  </si>
  <si>
    <t>MITSUBISHI SPACE WAGON 1991-1999 СТ ВЕТР ГЛ</t>
  </si>
  <si>
    <t>6963482</t>
  </si>
  <si>
    <t>MITSUBISHI SPACE WAGON 1991-1999 СТ ВЕТР ЗЛ</t>
  </si>
  <si>
    <t>6997303</t>
  </si>
  <si>
    <t>MITSUBISHI SPACE WAGON МИН 1991-1999 СТ ЗАДН ЭО ГЛ</t>
  </si>
  <si>
    <t>6999403</t>
  </si>
  <si>
    <t>MITSUBISHI SPACE WAGON 1991-1999 СТ ПЕР ДВ ОП ЛВ ГЛ</t>
  </si>
  <si>
    <t>6992418</t>
  </si>
  <si>
    <t>MITSUBISHI SPACE WAGON 1991-1999 СТ ПЕР ДВ ОП ЛВ ЗЛ</t>
  </si>
  <si>
    <t>6999405</t>
  </si>
  <si>
    <t>MITSUBISHI SPACE WAGON 1991-1999 СТ ПЕР ДВ ОП ПР ГЛ</t>
  </si>
  <si>
    <t>6992417</t>
  </si>
  <si>
    <t>MITSUBISHI SPACE WAGON 1991-1999 СТ ПЕР ДВ ОП ПР ЗЛ</t>
  </si>
  <si>
    <t>SPACEWAGON 1999-2003</t>
  </si>
  <si>
    <t>6960679</t>
  </si>
  <si>
    <t>MITSUBISHI SPACE WAGON 1999-2003 СТ ВЕТР ЗЛ</t>
  </si>
  <si>
    <t>6950216</t>
  </si>
  <si>
    <t>MITSUBISHI SPACE WAGON 1999-2003 СТ ВЕТР ЗЛГЛ/HYUNDAI SANTAMO МИН  СТ ВЕТР ЗЛГЛ</t>
  </si>
  <si>
    <t>6100623</t>
  </si>
  <si>
    <t>MITSUBISHI SPACE WAGON 1999-2003 МОЛД  ДЛЯ СТ ВЕТР ВЕРХ</t>
  </si>
  <si>
    <t>6999973</t>
  </si>
  <si>
    <t>MITSUBISHI SPACE WAGON 1999-2003 СТ ПЕР ДВ ОП ЛВ ЗЛ/MITSUBISHI SPACE WAGON MITSUBISHI SPACE WAGON 1999-2003 СТ ПЕР ДВ ОП ЛВ ЗЛ</t>
  </si>
  <si>
    <t>6900061</t>
  </si>
  <si>
    <t>MITSUBISHI SPACE WAGON 1999-2003 СТ ПЕР ДВ ОП ПР ЗЛ/MITSUBISHI SPACE WAGON MITSUBISHI SPACE WAGON 1999-2003 СТ ПЕР ДВ ОП ПР ЗЛ</t>
  </si>
  <si>
    <t>6900245</t>
  </si>
  <si>
    <t>MITSUBISHI SPACE WAGON 1999-2003 СТ ЗАДН ДВ ОП ПР ЗЛ/MITSUBISHI SPACE WAGON MITSUBISHI SPACE WAGON 1999-2003 СТ ЗАДН ДВ ОП ПР ЗЛ</t>
  </si>
  <si>
    <t>INFINITI G35 СД 2003-</t>
  </si>
  <si>
    <t>6963021</t>
  </si>
  <si>
    <t>INFINITI G35 СД 2003- СТ ВЕТР ЗЛ</t>
  </si>
  <si>
    <t>INFINITI M45/M35 06-</t>
  </si>
  <si>
    <t>6965053</t>
  </si>
  <si>
    <t>INFINITI M45/M35 06-СТ ВЕТР ЗЛ ГП+VIN+ДО</t>
  </si>
  <si>
    <t>NISSAN</t>
  </si>
  <si>
    <t>100 NX КП 1991-1994</t>
  </si>
  <si>
    <t>6963754</t>
  </si>
  <si>
    <t>NISSAN 100 NX КП 1991-1994 СТ ВЕТР ГЛ</t>
  </si>
  <si>
    <t>6101072</t>
  </si>
  <si>
    <t>NISSAN 100NX КБ 1991-1994 МОЛД  ДЛЯ СТ ВЕТР ВЕРХ</t>
  </si>
  <si>
    <t>200 SX 1985-1989</t>
  </si>
  <si>
    <t>6963568</t>
  </si>
  <si>
    <t>NISSAN 200 SX 1985-1989 СТ ВЕТР ГЛ</t>
  </si>
  <si>
    <t>200 SX 1989-1994</t>
  </si>
  <si>
    <t>6963652</t>
  </si>
  <si>
    <t>NISSAN 200 SX 1989-1994 СТ ВЕТР ГЛ</t>
  </si>
  <si>
    <t>ALMERA (N15) СД/ХБ 1995-2000</t>
  </si>
  <si>
    <t>6969314</t>
  </si>
  <si>
    <t>NISSAN ALMERA СД+ХБ 1995-2000  СТ ВЕТР СЗЛ</t>
  </si>
  <si>
    <t>6964552</t>
  </si>
  <si>
    <t>NISSAN ALMERA СД+ХБ 1995-2000  СТ ВЕТР СЗЛГЛ</t>
  </si>
  <si>
    <t>6960684</t>
  </si>
  <si>
    <t>NISSAN ALMERA СД+ХБ 1995-2000  СТ ВЕТР СЗЛСР</t>
  </si>
  <si>
    <t>6101108</t>
  </si>
  <si>
    <t>NISSAN ALMERA СД+ХБ 1995-2000  НАБ МОЛД ДЛЯ СТ ВЕТР ВЕРХ</t>
  </si>
  <si>
    <t>6100294</t>
  </si>
  <si>
    <t>NISSAN ALMERA СД+ХБ 1995-2000 УСТ КОМПЛ ДЛЯ СТ ВЕТР ДЛЯ СТ ВЕТР</t>
  </si>
  <si>
    <t>6998903</t>
  </si>
  <si>
    <t>NISSAN ALMERA 3Д+5Д ХБ 1995-2000  СТ ЗАДН ЭО СЗЛ</t>
  </si>
  <si>
    <t>6992424</t>
  </si>
  <si>
    <t>NISSAN ALMERA СД 1995-2000  СТ ЗАДН СЗЛ</t>
  </si>
  <si>
    <t>6994208</t>
  </si>
  <si>
    <t>NISSAN ALMERA СД ХБ 1995-2000  СТ ПЕР ДВ ОП ЛВ СЗЛ ФИТ</t>
  </si>
  <si>
    <t>6900557</t>
  </si>
  <si>
    <t>NISSAN ALMERA СД ХБ 1995-2000 СТ ПЕР ДВ ОП ЛВ СЗЛ</t>
  </si>
  <si>
    <t>6994132</t>
  </si>
  <si>
    <t>NISSAN ALMERA 5Д ХБ+СД 1995-2000 СТ ПЕР ДВ ОП ЛВ СЗЛ+УО</t>
  </si>
  <si>
    <t>6995430</t>
  </si>
  <si>
    <t>NISSAN ALMERA 5Д ХБ+СД 1995-2000  СТ БОК НЕП ЛВ СЗЛ</t>
  </si>
  <si>
    <t>6994209</t>
  </si>
  <si>
    <t>NISSAN ALMERA 3Д ХБ 1995-2000 СТ ПЕР ДВ ОП ПР СЗЛ ФИТ</t>
  </si>
  <si>
    <t>6994134</t>
  </si>
  <si>
    <t>NISSAN ALMERA 5Д ХБ+СД 1995-2000 СТ ПЕР ДВ ОП ПР СЗЛ+УО</t>
  </si>
  <si>
    <t>6994135</t>
  </si>
  <si>
    <t>NISSAN ALMERA 3Д ХБ 1995-2000 ХБ 5Д СТ ЗАДН ДВ ОП ПР СЗЛ</t>
  </si>
  <si>
    <t>6995431</t>
  </si>
  <si>
    <t>NISSAN ALMERA 5Д ХБ +СД 1995-2000 СТ БОК НЕП ПР СЗЛ</t>
  </si>
  <si>
    <t>ALMERA (N16) 3/5Д ХБ 00- СД 03.01-</t>
  </si>
  <si>
    <t>6960683</t>
  </si>
  <si>
    <t>NISSAN ALMERA 4Д 2000- СТ ВЕТР ЗЛ</t>
  </si>
  <si>
    <t>6950108</t>
  </si>
  <si>
    <t>NISSAN ALMERA 4Д 2000-  СТ ВЕТР ЗЛ ИЗМ КР</t>
  </si>
  <si>
    <t>6101186</t>
  </si>
  <si>
    <t>NISSAN ALMERA 4Д 2000-  МОЛД  ДЛЯ СТ ВЕТР ВЕРХ</t>
  </si>
  <si>
    <t>6992777</t>
  </si>
  <si>
    <t>NISSAN ALMERA 4Д СД 2000-  СТ ЗАДН ЗЛ+СТОП</t>
  </si>
  <si>
    <t>6993136</t>
  </si>
  <si>
    <t>NISSAN ALMERA 4Д 2000- СТ ПЕР ДВ ОП ЛВ ЗЛ+УО</t>
  </si>
  <si>
    <t>6900543</t>
  </si>
  <si>
    <t>NISSAN ALMERA (N16) СЕД 2000- СТ ЗАДН ДВ ОП ЛВ</t>
  </si>
  <si>
    <t>6995914</t>
  </si>
  <si>
    <t>NISSAN ALMERA 4Д 2000- СТ ФОРТ НЕП ЗАДН ЗЛ ЛВ</t>
  </si>
  <si>
    <t>6900544</t>
  </si>
  <si>
    <t>NISSAN ALMERA (N16) СЕД 2000- СТ ЗАДН ДВ ОП ПР ЗЛ+УО</t>
  </si>
  <si>
    <t>6995915</t>
  </si>
  <si>
    <t>NISSAN ALMERA 4Д 2000-  СТ ФОРТ ЗАДН НЕП ПР ЗЛ</t>
  </si>
  <si>
    <t>ALMERA CLASSIC 2006-/ ALMERA ХБ 2000-</t>
  </si>
  <si>
    <t>6964865</t>
  </si>
  <si>
    <t>NISSAN ALMERA CLASSIC 2006- СТ ВЕТР ЗЛГЛ+ЭО</t>
  </si>
  <si>
    <t>6960447</t>
  </si>
  <si>
    <t>NISSAN ALMERA 2000-  СТ ВЕТР ЗЛ</t>
  </si>
  <si>
    <t>6962075</t>
  </si>
  <si>
    <t>NISSAN ALMERA 2000-  СТ ВЕТР ЗЛГЛ</t>
  </si>
  <si>
    <t>6101107</t>
  </si>
  <si>
    <t>NISSAN ALMERA 2000- МОЛД  ДЛЯ СТ ВЕТР ВЕРХ</t>
  </si>
  <si>
    <t>6980002</t>
  </si>
  <si>
    <t>NISSAN ALMERA ХБ 2000-  СТ ЗАДН ДВ ЗЛ</t>
  </si>
  <si>
    <t>6993139</t>
  </si>
  <si>
    <t>NISSAN ALMERA 5Д 2000- СТ ПЕР ДВ ОП ПР ЗЛ+УО</t>
  </si>
  <si>
    <t>6992596</t>
  </si>
  <si>
    <t>NISSAN ALMERA 5Д ХБ СТ ЗАДН ДВ ОП ПР ЗЛ+УО</t>
  </si>
  <si>
    <t>6993138</t>
  </si>
  <si>
    <t>NISSAN ALMERA 5Д 2000-  СТ ПЕР ДВ ОП ЛВ+УО</t>
  </si>
  <si>
    <t>6992593</t>
  </si>
  <si>
    <t>NISSAN ALMERA 5Д ХБ СТ ЗАДН ДВ ОП ЛВ ЗЛ+УО</t>
  </si>
  <si>
    <t>6980112</t>
  </si>
  <si>
    <t>NISSAN ALMERA СЕД 2000-  СТ ФОРТ ЗАДН НЕП ЛВ</t>
  </si>
  <si>
    <t>6980553</t>
  </si>
  <si>
    <t>NISSAN ALMERA 2000-  СТ ФОРТ ЗАДН НЕП ПР ЗЛ</t>
  </si>
  <si>
    <t>ALMERA TINO 2000-</t>
  </si>
  <si>
    <t>6961024</t>
  </si>
  <si>
    <t>NISSAN ALMERA TINO 2000- СТ ВЕТР ЗЛ</t>
  </si>
  <si>
    <t>6101143</t>
  </si>
  <si>
    <t>NISSAN ALMERA TINO 2000- МОЛД  ДЛЯ СТ ВЕТР ВЕРХ</t>
  </si>
  <si>
    <t>6992776</t>
  </si>
  <si>
    <t>NISSAN ALMERA TINO ХБ 2000- СТ ЗАДН ДВ ЗЛ+СТОП+ИНК</t>
  </si>
  <si>
    <t>6996258</t>
  </si>
  <si>
    <t>NISSAN ALMERA TINO 2000- СТ ПЕР ДВ ОП ЛВ ЗЛ+УО</t>
  </si>
  <si>
    <t>6900178</t>
  </si>
  <si>
    <t>NISSAN ALMERA TINO 2000- СТ ЗАДН ДВ ОП ЛВ ЗЛ+УО</t>
  </si>
  <si>
    <t>6996259</t>
  </si>
  <si>
    <t>NISSAN ALMERA TINO 2000- СТ ПЕР ДВ ОП ПР ЗЛ+УО</t>
  </si>
  <si>
    <t>6900259</t>
  </si>
  <si>
    <t>NISSAN ALMERA TINO 2000- СТ ЗАДН ДВ ОП ПР ЗЛ+УО</t>
  </si>
  <si>
    <t>BLUEBIRD (T12) 1986-1990</t>
  </si>
  <si>
    <t>6969962</t>
  </si>
  <si>
    <t>NISSAN BLUEBIRD T12 СЕД+ХБ 1986-1990 СТ ВЕТР ГЛ</t>
  </si>
  <si>
    <t>6969961</t>
  </si>
  <si>
    <t>NISSAN BLUEBIRD T12 СЕД+ХБ 1986-1990 СТ ВЕТР БР</t>
  </si>
  <si>
    <t>6963491</t>
  </si>
  <si>
    <t>6101156</t>
  </si>
  <si>
    <t>NISSAN BLUEBIRD T12 СЕД+ХБ 1986-1990 УСТ КОМПЛ ДЛЯ СТ ВЕТР</t>
  </si>
  <si>
    <t>6995781</t>
  </si>
  <si>
    <t>NISSAN BLUEBIRD T12 СЕД+ХБ 1986-1990 СТ ПЕР ДВ ОП ЛВ ГЛ+УО</t>
  </si>
  <si>
    <t>6995784</t>
  </si>
  <si>
    <t>NISSAN BLUEBIRD T12 СЕД+ХБ 1986-1990 СТ ПЕР ДВ ПР ГЛ+УО</t>
  </si>
  <si>
    <t>6995785</t>
  </si>
  <si>
    <t>NISSAN BLUEBIRD T12 СЕД+ХБ 1986-1990 СТ ЗАДН ДВ ОП ПР ГЛ+УО</t>
  </si>
  <si>
    <t>BLUEBIRD 180B, B910 СД+УН 1980-1984</t>
  </si>
  <si>
    <t>6963484</t>
  </si>
  <si>
    <t>1980-1984</t>
  </si>
  <si>
    <t>NISSAN BLUEBIRD 180B, B910 СД+УН 1980-1984 СТ ВЕТР ГЛ</t>
  </si>
  <si>
    <t>BLUEBIRD B830/U11 УН 1984-1986</t>
  </si>
  <si>
    <t>6963489</t>
  </si>
  <si>
    <t>1984-1986</t>
  </si>
  <si>
    <t>NISSAN BLUEBIRD B830/U11 СЕД+УН 1984-1986 СТ ВЕТР ГЛ</t>
  </si>
  <si>
    <t>CHERRY (N12) 1983-1988</t>
  </si>
  <si>
    <t>6968223</t>
  </si>
  <si>
    <t>NISSAN CHERRY N12 1983-1988 СТ ВЕТР ГЛ</t>
  </si>
  <si>
    <t>NP300 PICK-UP (D22) 08-</t>
  </si>
  <si>
    <t>6962248</t>
  </si>
  <si>
    <t>NISSAN NP300 PICK-UP  (D22) 08- СТ ВЕТР ЗЛ</t>
  </si>
  <si>
    <t>INTERSTAR X70 2003-</t>
  </si>
  <si>
    <t>6190735</t>
  </si>
  <si>
    <t>NISSAN INTERSTAR X70 2003- СТ ВЕТР ТЕПЛООТР/RENAULT MASTER 1997-  СТ ВЕТР ТЕПЛООТР</t>
  </si>
  <si>
    <t>6190447</t>
  </si>
  <si>
    <t>NISSAN INTERSTAR X70 2003- СТ ВЕТР ЗЛ/RENAULT MASTER 1997-  СТ ВЕТР ЗЛ</t>
  </si>
  <si>
    <t>6190448</t>
  </si>
  <si>
    <t>NISSAN INTERSTAR X70 2003- СТ ВЕТР ЗЛ+ЭО/RENAULT MASTER 1997-  СТ ВЕТР ЭО ЗЛ КР</t>
  </si>
  <si>
    <t>6190450</t>
  </si>
  <si>
    <t>NISSAN INTERSTAR X70 МИН 2003- СТ ЗАДН ЗЛ ЛВ+ИЗМ РАЗМ /RENAULT MASTER 12/1999- СТ ЗАДН ЗЛ ЛВ+ИЗМ РАЗМ</t>
  </si>
  <si>
    <t>6190451</t>
  </si>
  <si>
    <t>NISSAN INTERSTAR X70 МИН 2003- СТ ЗАДН ЗЛ ЛВ Б/ЭО+ИЗМ РАЗМ /RENAULT MASTER 12/1999- СТ ЗАДН ЗЛ ЛВ Б/ЭО+ИЗМ РАЗМ</t>
  </si>
  <si>
    <t>6190452</t>
  </si>
  <si>
    <t>NISSAN INTERSTAR X70 МИН 2003- СТ ЗАДН ЗЛ ПР+ИЗМ РАЗМ/RENAULT MASTER 12/1999- СТ ЗАДН ЗЛ ПР+ИЗМ РАЗМ</t>
  </si>
  <si>
    <t>6190453</t>
  </si>
  <si>
    <t>NISSAN INTERSTAR X70 МИН 2003- СТ ЗАДН ЗЛ ПР Б/ЭО+ИЗМ РАЗМ /RENAULT MASTER 12/1999- СТ ЗАДН ЗЛ ПР Б/ЭО+ИЗМ РАЗМ</t>
  </si>
  <si>
    <t>JUKE 10-</t>
  </si>
  <si>
    <t>6965135</t>
  </si>
  <si>
    <t>NISSAN JUKE 10-СТ ВЕТР ЗЛ+VIN+УО</t>
  </si>
  <si>
    <t>6965490</t>
  </si>
  <si>
    <t>NISSAN JUKE 10-СТ ВЕТР ЗЛ+ДД+VIN+УО+ИЗМ КР</t>
  </si>
  <si>
    <t>6965140</t>
  </si>
  <si>
    <t>NISSAN JUKE 2010-СТ ВЕТР ЗЛАК+ДД+VIN+ДО</t>
  </si>
  <si>
    <t>6965139</t>
  </si>
  <si>
    <t>NISSAN JUKE 2010-СТ ВЕТР ЗЛАК+VIN+ДО</t>
  </si>
  <si>
    <t>6901069</t>
  </si>
  <si>
    <t>Nissan JUKE 10 4W СТ ЗАДН ДВ ОП ПР ЗЛ+ДО</t>
  </si>
  <si>
    <t>6901070</t>
  </si>
  <si>
    <t>Nissan JUKE 10 4W СТ ЗАДН ДВ ОП ЛВ ЗЛ+ДО</t>
  </si>
  <si>
    <t>6901068</t>
  </si>
  <si>
    <t>Nissan JUKE 10 4W СТ ПЕР ДВ ОП ЛВ ЗЛ+ДО</t>
  </si>
  <si>
    <t>KUBISTAR 2003-</t>
  </si>
  <si>
    <t>6190434</t>
  </si>
  <si>
    <t>NISSAN KUBISTAR 2003- СТ ВЕТР ТЕПЛООТР/RENAULT KANGOO 11/2001-  СТ ВЕТР ТЕПЛООТР</t>
  </si>
  <si>
    <t>6190435</t>
  </si>
  <si>
    <t>NISSAN KUBISTAR 2003- СТ ВЕТР ЗЛ/RENAULT KANGOO 11/2001-  СТ ВЕТР ЗЛ ИЗМ РАЗМ</t>
  </si>
  <si>
    <t>6190437</t>
  </si>
  <si>
    <t>NISSAN KUBISTAR МИН 2003- СТ ЗАДН ЗЛ+VIN/RENAULT KANGOO 1999-  СТ ЗАДН ЗЛ</t>
  </si>
  <si>
    <t>6190438</t>
  </si>
  <si>
    <t>NISSAN KUBISTAR МИН 2003- СТ ЗАДН ЗЛ ЛВ/RENAULT KANGOO 1997-  СТ ЗАДН ЭО ЛВ ЗЛ</t>
  </si>
  <si>
    <t>6190439</t>
  </si>
  <si>
    <t>NISSAN KUBISTAR МИН 2003- СТ ЗАДН ЗЛ ПР+Б/ЭО/RENAULT KANGOO 1997-  СТ ЗАДН ЗЛ ПР Б/ЭО</t>
  </si>
  <si>
    <t>6190440</t>
  </si>
  <si>
    <t>NISSAN KUBISTAR 2003- СТ ПЕР ДВ ОП ЛВ ЗЛ/RENAULT KANGOO 1997-  СТ ПЕР ДВ ОП ЛВ ЗЛ</t>
  </si>
  <si>
    <t>6190443</t>
  </si>
  <si>
    <t>NISSAN KUBISTAR 2003- СТ ПЕР ДВ ОП ПР ЗЛ/RENAULT KANGOO 1997-  СТ ПЕР ДВ ОП ПР ЗЛ</t>
  </si>
  <si>
    <t>6190444</t>
  </si>
  <si>
    <t>NISSAN KUBISTAR 2003- СТ ЗАДН ДВ ОП ПР ЗЛ/RENAULT KANGOO 1997-  СТ ЗАДН ДВ ОП ПР ЗЛ</t>
  </si>
  <si>
    <t>6190446</t>
  </si>
  <si>
    <t>NISSAN KUBISTAR 2003- СТ ЗАДН НЕП ПР ЗЛ+ОТКР/RENAULT KANGOO 1997-  СТ БОК ПР ЗЛ</t>
  </si>
  <si>
    <t>LAUREL (C32) 1985-1989</t>
  </si>
  <si>
    <t>6963569</t>
  </si>
  <si>
    <t>NISSAN LAUREL (C32) 1985-1989  СТ ВЕТР ГЛ</t>
  </si>
  <si>
    <t>MAXIMA (J30) 4D 1989-1995</t>
  </si>
  <si>
    <t>6964108</t>
  </si>
  <si>
    <t>NISSAN MAXIMA 4Д 1989-1995 СТ ВЕТР ГЛ</t>
  </si>
  <si>
    <t>6963653</t>
  </si>
  <si>
    <t>NISSAN MAXIMA 4Д 1989-1995 СТ ВЕТР ГЛГЛ</t>
  </si>
  <si>
    <t>6101173</t>
  </si>
  <si>
    <t>NISSAN MAXIMA 4Д 1989-1995 УСТ КОМПЛ ДЛЯ СТ ВЕТР</t>
  </si>
  <si>
    <t>6997304</t>
  </si>
  <si>
    <t>NISSAN MAXIMA 4Д СД 1989-1995 СТ ЗАДН ГЛ+АНТ</t>
  </si>
  <si>
    <t>6997996</t>
  </si>
  <si>
    <t>NISSAN MAXIMA 4Д 1989-1995 СТ ПЕР ДВ ОП ЛВ ГЛ+ФИТ</t>
  </si>
  <si>
    <t>6997997</t>
  </si>
  <si>
    <t>NISSAN MAXIMA 4Д 1989-1995 СТ ПЕР ДВ ОП ПР ГЛ+ФИТ</t>
  </si>
  <si>
    <t>MAXIMA (A32) QX СД 1995-2000</t>
  </si>
  <si>
    <t>6963405</t>
  </si>
  <si>
    <t>NISSAN MAXIMA QX СД 1995-2000  СТ ВЕТР ЗЛ</t>
  </si>
  <si>
    <t>6963216</t>
  </si>
  <si>
    <t>NISSAN MAXIMA QX СД 1995-2000  СТ ВЕТР ЗЛГЛ</t>
  </si>
  <si>
    <t>6961001</t>
  </si>
  <si>
    <t>NISSAN MAXIMA QX СД 1995-2000  СТ ВЕТР ЗЛСР</t>
  </si>
  <si>
    <t>6101158</t>
  </si>
  <si>
    <t>NISSAN MAXIMA QX СД 1995-2000  УСТ КОМПЛ ДЛЯ СТ ВЕТР</t>
  </si>
  <si>
    <t>6998615</t>
  </si>
  <si>
    <t>NISSAN MAXIMA QX СД 1995-2000  СТ ЗАДН ЗЛ+АНТ</t>
  </si>
  <si>
    <t>6980113</t>
  </si>
  <si>
    <t>NISSAN MAXIMA QX СД 1995-2000  СТ ПЕР ДВ ОП ЛВ ЗЛ+ФИТ</t>
  </si>
  <si>
    <t>6980550</t>
  </si>
  <si>
    <t>NISSAN MAXIMA QX СД 1995-2000  СТ ФОРТ ЗАДН НЕП ЛВ ЗЛ</t>
  </si>
  <si>
    <t>6993249</t>
  </si>
  <si>
    <t>NISSAN MAXIMA QX СД 1995-2000  СТ ПЕР ДВ ОП ПР ЗЛ ФИТ</t>
  </si>
  <si>
    <t>6980551</t>
  </si>
  <si>
    <t>NISSAN MAXIMA QX СД 1995-2000  СТ ЗАДН ДВ ОП ПР ЗЛ+ФИТ</t>
  </si>
  <si>
    <t>MAXIMA (A33) 01/2000-08/2000, 08/2000-2004</t>
  </si>
  <si>
    <t>6962911</t>
  </si>
  <si>
    <t>NISSAN MAXIMA QX (A33) 07/2000-2004  СТ ВЕТР ЗЛГЛ</t>
  </si>
  <si>
    <t>6960817</t>
  </si>
  <si>
    <t>NISSAN MAXIMA QX (A33) 2000-2004  СТ ВЕТР ЗЛГН+УО</t>
  </si>
  <si>
    <t>6101065</t>
  </si>
  <si>
    <t>NISSAN MAXIMA QX (A33) 2000-2004  УСТ КОМПЛ ДЛЯ СТ ВЕТР</t>
  </si>
  <si>
    <t>6101662</t>
  </si>
  <si>
    <t>NISSAN MAXIMA QX (A33) 2000-2004 МОЛД ДЛЯ СТ ВЕТР ВЕРХ</t>
  </si>
  <si>
    <t>6999986</t>
  </si>
  <si>
    <t>NISSAN MAXIMA QX (A33) 2000-2004  СТ ПЕР ДВ ОП ЗЛ+УО</t>
  </si>
  <si>
    <t>6900179</t>
  </si>
  <si>
    <t>NISSAN MAXIMA QX (A33) 2000-2004  СТ ЗАДН ДВ ОП ЛВ ЗЛ+УО</t>
  </si>
  <si>
    <t>6900074</t>
  </si>
  <si>
    <t>NISSAN MAXIMA QX (A33) 2000-2004  СТ ПЕР ДВ ОП ПР ЗЛ+УО</t>
  </si>
  <si>
    <t>6900260</t>
  </si>
  <si>
    <t>NISSAN MAXIMA QX (A33) 2000-2004  СТ ЗАДН ДВ ОП ЗЛ+УО</t>
  </si>
  <si>
    <t>MICRA (K10) 1983-1992</t>
  </si>
  <si>
    <t>6969325</t>
  </si>
  <si>
    <t>NISSAN MICRA K10 3Д+5Д 1983-1992 СТ ВЕТР ГЛ</t>
  </si>
  <si>
    <t>6963488</t>
  </si>
  <si>
    <t>NISSAN MICRA K10 3Д+5Д 1983-1992 СТ ВЕТР ГЛГЛ</t>
  </si>
  <si>
    <t>6969965</t>
  </si>
  <si>
    <t>NISSAN MICRA K10 3Д+5Д 1983-1992 СТ ВЕТР</t>
  </si>
  <si>
    <t>6100392</t>
  </si>
  <si>
    <t>NISSAN MICRA K10 3Д+5Д 1983-1992 РЕЗ ПРОФ ДЛЯ СТ ВЕТР</t>
  </si>
  <si>
    <t>6998964</t>
  </si>
  <si>
    <t>NISSAN MICRA K10 3Д+5Д ХБ 1983-1992 СТ ЗАДН ГЛ</t>
  </si>
  <si>
    <t>6998965</t>
  </si>
  <si>
    <t>NISSAN MICRA K10 3Д+5Д ХБ 1983-1992 СТ ЗАДН</t>
  </si>
  <si>
    <t>6994142</t>
  </si>
  <si>
    <t>NISSAN MICRA K10 3Д 1983-1992 СТ БОК ПОД ЛВ ОТКР</t>
  </si>
  <si>
    <t>6994143</t>
  </si>
  <si>
    <t>NISSAN MICRA K10 3Д 1983-1992 СТ БОК ПОД ПР ОТКР</t>
  </si>
  <si>
    <t>MICRA (K11) 1992-2000</t>
  </si>
  <si>
    <t>6969308</t>
  </si>
  <si>
    <t>NISSAN MICRA 1992-2000  СТ ВЕТР ГЛ</t>
  </si>
  <si>
    <t>6969309</t>
  </si>
  <si>
    <t>NISSAN MICRA 1997-2000  СТ ВЕТР ГЛГЛ</t>
  </si>
  <si>
    <t>6969306</t>
  </si>
  <si>
    <t>NISSAN MICRA 1992-2000  СТ ВЕТР</t>
  </si>
  <si>
    <t>6969307</t>
  </si>
  <si>
    <t>NISSAN MICRA 1992-2000  СТ ВЕТР ЗЛ</t>
  </si>
  <si>
    <t>6960932</t>
  </si>
  <si>
    <t>NISSAN MICRA 1992-2000  СТ ВЕТР ЗЛ КР</t>
  </si>
  <si>
    <t>6963755</t>
  </si>
  <si>
    <t>NISSAN MICRA 1992-2000  СТ ВЕТР ЗЛГЛ</t>
  </si>
  <si>
    <t>6960838</t>
  </si>
  <si>
    <t>NISSAN MICRA 1992-2000  СТ ВЕТР ЗЛГЛ КР</t>
  </si>
  <si>
    <t>6100295</t>
  </si>
  <si>
    <t>NISSAN MICRA 1992-2000  УСТ КОМПЛ ДЛЯ СТ ВЕТР ДЛЯ СТ ВЕТР</t>
  </si>
  <si>
    <t>6101797</t>
  </si>
  <si>
    <t>NISSAN MICRA 1992-2000  САМОКЛ ПОЛОС ДЛЯ  СТ ВЕТР</t>
  </si>
  <si>
    <t>6998902</t>
  </si>
  <si>
    <t>NISSAN MICRA ХБ 1992-2000 СТ ЗАДН ЭО ЗЛ ОТВ</t>
  </si>
  <si>
    <t>6992775</t>
  </si>
  <si>
    <t>NISSAN MICRA ХБ 1992-2000  СТ ЗАДН ЗЛ+СТОП</t>
  </si>
  <si>
    <t>6995793</t>
  </si>
  <si>
    <t>NISSAN MICRA 3Д 1992-2000  СТ ПЕР ДВ ОП ЛВ ФИТ</t>
  </si>
  <si>
    <t>6999269</t>
  </si>
  <si>
    <t>NISSAN MICRA 5Д 1992-2000  СТ ПЕР ДВ ОП ЛВ ФИТ</t>
  </si>
  <si>
    <t>6980545</t>
  </si>
  <si>
    <t>NISSAN MICRA 5Д 1992-2000  СТ ЗАДН ДВ ОП ЛВ+УО</t>
  </si>
  <si>
    <t>6993235</t>
  </si>
  <si>
    <t>NISSAN MICRA 5Д 1992-2000  СТ ЗАДН ДВ НЕП ЛВ</t>
  </si>
  <si>
    <t>6996112</t>
  </si>
  <si>
    <t>NISSAN MICRA 3Д 1992-2000  СТ ПЕР ДВ ОП ЛВ ЗЛ ФИТ</t>
  </si>
  <si>
    <t>6995565</t>
  </si>
  <si>
    <t>NISSAN MICRA 5Д 1992-2000  СТ ПЕР ДВ ОП ЛВ ЗЛ ФИТ</t>
  </si>
  <si>
    <t>6992667</t>
  </si>
  <si>
    <t>NISSAN MICRA 5Д 1992-2000  СТ ЗАДН ДВ ОП ЛВ ЗЛ+УО</t>
  </si>
  <si>
    <t>6980547</t>
  </si>
  <si>
    <t>NISSAN MICRA 5Д 1992-2000  СТ ПЕР ДВ ОП ПР ГЛ+ФИТ</t>
  </si>
  <si>
    <t>6995794</t>
  </si>
  <si>
    <t>NISSAN MICRA 3Д 1992-2000  СТ ПЕР ДВ ОП ПР ФИТ</t>
  </si>
  <si>
    <t>6999271</t>
  </si>
  <si>
    <t>NISSAN MICRA 5Д 1992-2000  СТ ПЕР ДВ ОП ПР ФИТ</t>
  </si>
  <si>
    <t>6980548</t>
  </si>
  <si>
    <t>NISSAN MICRA 5Д 1992-2000  СТ ЗАДН ДВ ОП ПР+УО</t>
  </si>
  <si>
    <t>6993236</t>
  </si>
  <si>
    <t>NISSAN MICRA 5Д 1992-2000  СТ ЗАДН ДВ НЕП ПР</t>
  </si>
  <si>
    <t>6996111</t>
  </si>
  <si>
    <t>NISSAN MICRA 3Д 1992-2000  СТ ПЕР ДВ ОП ПР ЗЛ ФИТ</t>
  </si>
  <si>
    <t>6995566</t>
  </si>
  <si>
    <t>NISSAN MICRA 5Д 1992-2000  СТ ПЕР ДВ ОП ПР ЗЛ ФИТ</t>
  </si>
  <si>
    <t>MICRA 3Д+5Д 2003-</t>
  </si>
  <si>
    <t>6960943</t>
  </si>
  <si>
    <t>NISSAN MICRA 2003- СТ ВЕТР ЗЛ+ДД+VIN</t>
  </si>
  <si>
    <t>6960995</t>
  </si>
  <si>
    <t>NISSAN MICRA 3Д+5Д 2003-  СТ ВЕТР ЗЛ VIN+УО</t>
  </si>
  <si>
    <t>6101551</t>
  </si>
  <si>
    <t>NISSAN MICRA 2003-  МОЛД ДЛЯ СТ ВЕТР</t>
  </si>
  <si>
    <t>6993976</t>
  </si>
  <si>
    <t>NISSAN MICRA ХБ 2003- СТ ЗАДН ДВ ЗЛ+СТОП+УО</t>
  </si>
  <si>
    <t>6999908</t>
  </si>
  <si>
    <t>NISSAN MICRA ХБ 2003- СТ ЗАДН ЗЛ+СТОП+УО</t>
  </si>
  <si>
    <t>6993284</t>
  </si>
  <si>
    <t>NISSAN MICRA 2003- СТ ПЕР ДВ ОП ЛВ ЗЛ+ФИТ</t>
  </si>
  <si>
    <t>6997586</t>
  </si>
  <si>
    <t>NISSAN MICRA СД 2003- СТ БОК НЕП ЛВ ЗЛ</t>
  </si>
  <si>
    <t>6993286</t>
  </si>
  <si>
    <t>6993977</t>
  </si>
  <si>
    <t>NISSAN MICRA 2003- СТ ЗАДН ДВ ОП ЛВ ЗЛ+ФИТ</t>
  </si>
  <si>
    <t>6900552</t>
  </si>
  <si>
    <t>NISSAN MICRA ХБ 2003- СТ ФОРТ НЕП ЛВ ЗЛ</t>
  </si>
  <si>
    <t>6993283</t>
  </si>
  <si>
    <t>NISSAN MICRA 2003- СТ ПЕР ДВ ОП ПР ЗЛ+ФИТ</t>
  </si>
  <si>
    <t>6997587</t>
  </si>
  <si>
    <t>NISSAN MICRA СД 2003- СТ БОК НЕП ПР ЗЛ</t>
  </si>
  <si>
    <t>6993285</t>
  </si>
  <si>
    <t>6993978</t>
  </si>
  <si>
    <t>NISSAN MICRA 2003- СТ ЗАДН ДВ ОП ПР ЗЛ+ФИТ</t>
  </si>
  <si>
    <t>6900553</t>
  </si>
  <si>
    <t>NISSAN MICRA 5Д 2003- СТ ФОРТ НЕП ПР ЗЛ</t>
  </si>
  <si>
    <t>MICRA КБ 2005/10-</t>
  </si>
  <si>
    <t>6900740</t>
  </si>
  <si>
    <t>NISSAN MICRA CABRIO 2005- СТ ПЕР ДВ ОП ЛВ ЗЛ</t>
  </si>
  <si>
    <t>MICRA 2011-</t>
  </si>
  <si>
    <t>6965657</t>
  </si>
  <si>
    <t>NISSAN MICRA 2011- СТ ВЕТР ЗЛ+ДД+VIN</t>
  </si>
  <si>
    <t>6965656</t>
  </si>
  <si>
    <t>NISSAN MICRA LHD 2011-СТ ВЕТР ЗЛ+VIN</t>
  </si>
  <si>
    <t>MURANO 2004-</t>
  </si>
  <si>
    <t>6961317</t>
  </si>
  <si>
    <t>NISSAN MURANO 5Д 2004- СТ ВЕТР ЗЛГЛ+VIN+ИНК</t>
  </si>
  <si>
    <t>6962918</t>
  </si>
  <si>
    <t>NISSAN MURANO 5Д 2004- СТ ВЕТР ЗЛГЛ+ИНК</t>
  </si>
  <si>
    <t>6999987</t>
  </si>
  <si>
    <t>NISSAN MURANO 5Д 2004- СТ ПЕР ДВ ОП ЛВ+УО</t>
  </si>
  <si>
    <t>6900075</t>
  </si>
  <si>
    <t>NISSAN MURANO 5Д 2004- СТ ПЕР ДВ ОП ПР ЗЛ+УО</t>
  </si>
  <si>
    <t>MURANO 2008-</t>
  </si>
  <si>
    <t>6964755</t>
  </si>
  <si>
    <t>NISSAN MURANO 2008- СТ ВЕТР ЗЛГЛ+ДД+УО+ИНК</t>
  </si>
  <si>
    <t>NOTE 5Д ХБ 2006-</t>
  </si>
  <si>
    <t>6961596</t>
  </si>
  <si>
    <t>NISSAN NOTE 5Д ХБ 2006- СТ ВЕТР ЗЛ+ДД+VIN</t>
  </si>
  <si>
    <t>6961595</t>
  </si>
  <si>
    <t>NISSAN NOTE 5Д ХБ 2006- СТ ВЕТР ЗЛ+VIN</t>
  </si>
  <si>
    <t>6102141</t>
  </si>
  <si>
    <t>NISSAN NOTE 5Д ХБ 2006- МОЛД  ДЛЯ СТ ВЕТР</t>
  </si>
  <si>
    <t>6999909</t>
  </si>
  <si>
    <t>NISSAN NOTE 5Д ХБ 2006- СТ ЗАДН ДВ ЗЛ УО</t>
  </si>
  <si>
    <t>6999910</t>
  </si>
  <si>
    <t>NISSAN NOTE 5Д ХБ 2006- СТ ЗАДН ДВ СР PR+УО</t>
  </si>
  <si>
    <t>6999988</t>
  </si>
  <si>
    <t>NISSAN NOTE 5Д ХБ 2006- СТ ПЕР ДВ ОП ЛВ ЗЛ+УО</t>
  </si>
  <si>
    <t>6900582</t>
  </si>
  <si>
    <t>NISSAN NOTE 5Д ХБ 2006- СТ ЗАДН ДВ ОП ЛВ ЗЛ+УО</t>
  </si>
  <si>
    <t>6900835</t>
  </si>
  <si>
    <t>NISSAN NOTE 5Д ХБ 2006- СТ БОК ЗАДН НЕПОД ЛВ ЗЛ+УО</t>
  </si>
  <si>
    <t>6900833</t>
  </si>
  <si>
    <t>NISSAN NOTE 5Д ХБ 2006- СТ ЗАДН ДВ ОП ЛВ СР PR+УО</t>
  </si>
  <si>
    <t>6900076</t>
  </si>
  <si>
    <t>NISSAN NOTE 5Д ХБ 2006- СТ ПЕР ДВ ОП ПР ЗЛ+УО</t>
  </si>
  <si>
    <t>6900583</t>
  </si>
  <si>
    <t>NISSAN NOTE 5Д ХБ 2006- СТ ЗАДН ДВ ОП ПР ЗЛ+УО</t>
  </si>
  <si>
    <t>6900836</t>
  </si>
  <si>
    <t>NISSAN NOTE 5Д ХБ 2006- СТ БОК ЗАДН НЕПОД ПР ЗЛ+УО</t>
  </si>
  <si>
    <t>6900834</t>
  </si>
  <si>
    <t>NISSAN NOTE 5Д ХБ 2006- СТ ЗАДН ДВ ОП ПР СР PR+УО</t>
  </si>
  <si>
    <t>PATHFINDER R50/IFINITY QX4 1997-2005</t>
  </si>
  <si>
    <t>6950236</t>
  </si>
  <si>
    <t>NISSAN PATHFINDER 1997-2005  СТ ВЕТР ЗЛ</t>
  </si>
  <si>
    <t>6963022</t>
  </si>
  <si>
    <t>NISSAN PATHFINDER 1997-2005  СТ ВЕТР ЗЛГЛ+АНТ</t>
  </si>
  <si>
    <t>6102362</t>
  </si>
  <si>
    <t>NISSAN PATHFINDER 1997-2005  МОЛД ДЛЯ СТ ВЕТР ВЕРХ</t>
  </si>
  <si>
    <t>6999911</t>
  </si>
  <si>
    <t>NISSAN PATHFINDER ВН 1997-2005  СТ ЗАДН ЗЛ</t>
  </si>
  <si>
    <t>6999990</t>
  </si>
  <si>
    <t>NISSAN PATHFINDER 1997-2005  СТ ПЕР ДВ ОП ЛВ ЗЛ+ФИТ</t>
  </si>
  <si>
    <t>6900301</t>
  </si>
  <si>
    <t>NISSAN PATHFINDER 1997-2005  СТ ФОРТ ЗАДН НЕП ЛВ ЗЛ</t>
  </si>
  <si>
    <t>6900078</t>
  </si>
  <si>
    <t>NISSAN PATHFINDER 1997-2005  СТ ПЕР ДВ ОП ПР ЗЛ+ФИТ</t>
  </si>
  <si>
    <t>6900319</t>
  </si>
  <si>
    <t>NISSAN PATHFINDER 1997-2005  СТ ФОРТ ЗАДН НЕП ПР ЗЛ</t>
  </si>
  <si>
    <t>PATHFINDER/NAVARA 2005-</t>
  </si>
  <si>
    <t>6962018</t>
  </si>
  <si>
    <t>NISSAN PATHFINDER 2005-  СТ ВЕТР ЗЛГЛ+ДД+VIN+ВЕРХН МОЛД</t>
  </si>
  <si>
    <t>6961473</t>
  </si>
  <si>
    <t>NISSAN PATHFINDER /NAVARA 2005-  СТ ВЕТР ЗЛГЛ+VIN+ИНК</t>
  </si>
  <si>
    <t>6102630</t>
  </si>
  <si>
    <t>NISSAN PATHFINDER 2005- МОЛД ДЛЯ СТ ВЕТР 2800mm</t>
  </si>
  <si>
    <t>6900963</t>
  </si>
  <si>
    <t>NISSAN PATHFINDER /NAVARA ПИКАП 2005- СТ ЗАДН ЗЛ</t>
  </si>
  <si>
    <t>6900965</t>
  </si>
  <si>
    <t>NISSAN PATHFINDER ВН 2005- СТ ЗАДН ЗЛ+УО</t>
  </si>
  <si>
    <t>6900966</t>
  </si>
  <si>
    <t>NISSAN PATHFINDER ВН 2005- СТ ЗАДН СР+УО</t>
  </si>
  <si>
    <t>6900180</t>
  </si>
  <si>
    <t>NISSAN PATHFINDER 2005-  СТ ЗАДН ДВ ОП ЛВ ЗЛ+УО</t>
  </si>
  <si>
    <t>6999989</t>
  </si>
  <si>
    <t>NISSAN PATHFINDER /NAVARA 2005-  СТ ПЕР ДВ ОП ЛВ ЗЛ+УО</t>
  </si>
  <si>
    <t>6900181</t>
  </si>
  <si>
    <t>NISSAN PATHFINDER 2005-  СТ ЗАДН ДВ ОП ЛВ ТСР+УО</t>
  </si>
  <si>
    <t>6900261</t>
  </si>
  <si>
    <t>NISSAN PATHFINDER 2005-  СТ ЗАДН ДВ ОП ПР ЗЛ+УО</t>
  </si>
  <si>
    <t>6900077</t>
  </si>
  <si>
    <t>NISSAN PATHFINDER 2005-  СТ ПЕР ДВ ОП ПР ЗЛ+УО</t>
  </si>
  <si>
    <t>6900262</t>
  </si>
  <si>
    <t>NISSAN PATHFINDER 2005-  СТ ЗАДН ДВ ОП ПР ТСР+УО</t>
  </si>
  <si>
    <t>6900318</t>
  </si>
  <si>
    <t>NISSAN PATHFINDER 2005-  СТ ФОРТ ЗАДН НЕП ПР ТСР</t>
  </si>
  <si>
    <t>PATROL 1983-1998</t>
  </si>
  <si>
    <t>6969966</t>
  </si>
  <si>
    <t>NISSAN PATROL 3Д+5Д 1983-1989  СТ ВЕТР ГЛ</t>
  </si>
  <si>
    <t>6969967</t>
  </si>
  <si>
    <t>NISSAN PATROL 3Д+5Д 1983-1989  СТ ВЕТР ГЛГЛ</t>
  </si>
  <si>
    <t>6100501</t>
  </si>
  <si>
    <t>NISSAN PATROL 3Д+5Д 1983-1989  РЕЗ ПРОФ ДЛЯ СТ ВЕТР</t>
  </si>
  <si>
    <t>6101795</t>
  </si>
  <si>
    <t>6996796</t>
  </si>
  <si>
    <t>NISSAN PATROL 3Д+5Д 1983-1989  СТ ПЕР ДВ ОП ЛВ ГЛ</t>
  </si>
  <si>
    <t>6996797</t>
  </si>
  <si>
    <t>NISSAN PATROL 3Д+5Д 1983-1989  СТ ПЕР ДВ ОП ПР ГЛ</t>
  </si>
  <si>
    <t>PATROL GR (Y61) 3Д+5Д 1998-</t>
  </si>
  <si>
    <t>6963320</t>
  </si>
  <si>
    <t>NISSAN PATROL GR (Y61) 3Д+5Д 1998- СТ ВЕТР ЗЛ</t>
  </si>
  <si>
    <t>6962007</t>
  </si>
  <si>
    <t>NISSAN PATROL GR (Y61) 3Д+5Д 1998- СТ ВЕТР ЗЛГЛ</t>
  </si>
  <si>
    <t>6962954</t>
  </si>
  <si>
    <t>NISSAN PATROL GR (Y61) 3Д+5Д 1998- СТ ВЕТР ЗЛ ЭО</t>
  </si>
  <si>
    <t>6100388</t>
  </si>
  <si>
    <t>NISSAN PATROL GR (Y61) 3Д+5Д 1998- МОЛД  ДЛЯ СТ ВЕТР</t>
  </si>
  <si>
    <t>6997774</t>
  </si>
  <si>
    <t>NISSAN PATROL GR (Y61) 3Д+5Д 1998- СТ ПЕР ДВ ОП ЛВ ЗЛ+УО</t>
  </si>
  <si>
    <t>6980217</t>
  </si>
  <si>
    <t>NISSAN PATROL GR (Y61) 3Д+5Д 1998- СТ ФОРТ ЗАДН НЕП ЛВ ЗЛ</t>
  </si>
  <si>
    <t>6997773</t>
  </si>
  <si>
    <t>NISSAN PATROL GR (Y61) 3Д+5Д 1998- СТ ПЕР ДВ ОП ПР ЗЛ+УО</t>
  </si>
  <si>
    <t>6980218</t>
  </si>
  <si>
    <t>NISSAN PATROL GR (Y61) 3Д+5Д 1998- СТ ФОРТ ЗАДН НЕП ПР ЗЛ</t>
  </si>
  <si>
    <t>PRAIRIE 1984-1989</t>
  </si>
  <si>
    <t>6963649</t>
  </si>
  <si>
    <t>NISSAN PRAIRIE 1984-1989 СТ ВЕТР ГЛ</t>
  </si>
  <si>
    <t>PRAIRIE 1989-1996</t>
  </si>
  <si>
    <t>6963492</t>
  </si>
  <si>
    <t>1989-1996</t>
  </si>
  <si>
    <t>NISSAN PRAIRIE 1989-1996  СТ ВЕТР ГЛ</t>
  </si>
  <si>
    <t>6999632</t>
  </si>
  <si>
    <t>NISSAN PRAIRIE 1989-1996 5Д  СТ ПЕР ДВ ОП ЛВ ГЛ</t>
  </si>
  <si>
    <t>PRIMASTAR X83 2003-</t>
  </si>
  <si>
    <t>6190752</t>
  </si>
  <si>
    <t>NISSAN PRIMASTAR X83 2003-  СТ ВЕТР ТЕПЛООТР+VIN/RENAULT TRAFIC 01  СТ ВЕТР ТЕПЛООТР+VIN</t>
  </si>
  <si>
    <t>6190715</t>
  </si>
  <si>
    <t>NISSAN PRIMASTAR X83 2003-  СТ ВЕТР ЗЛ+VIN/RENAULT TRAFIC 2001-  СТ ВЕТР ЗЛ+VIN</t>
  </si>
  <si>
    <t>6190846</t>
  </si>
  <si>
    <t>NISSAN PRIMASTAR X83 2003-  СТ ВЕТР ЗЛ+VIN+ПОЯВ КР/RENAULT TRAFIC 2001-  СТ ВЕТР БЕЗ КР ЗЛ+VIN</t>
  </si>
  <si>
    <t>6190804</t>
  </si>
  <si>
    <t>NISSAN PRIMASTAR X83 2003-  СТ ВЕТР ЗЛ+VIN+ИЗМ КР/RENAULT TRAFIC 2001- СТ ВЕТР ЗЛ+VIN</t>
  </si>
  <si>
    <t>6190716</t>
  </si>
  <si>
    <t>NISSAN PRIMASTAR X83 МИН 2003-  СТ ЗАДН ЗЛ ЛВ/RENAULT TRAFIC 2001-  СТ ЗАДН ЛВ ЭО</t>
  </si>
  <si>
    <t>6190717</t>
  </si>
  <si>
    <t>NISSAN PRIMASTAR X83 МИН 2003-  СТ ЗАДН ЗЛ ПР/RENAULT TRAFIC 2001-  СТ ЗАДН ПР ЭО ЗЛ</t>
  </si>
  <si>
    <t>PRIMERA I (P10) 06/1990-05/1996</t>
  </si>
  <si>
    <t>6963753</t>
  </si>
  <si>
    <t>1990-1996</t>
  </si>
  <si>
    <t>NISSAN PRIMERA СД+ХБ 1990-1995 СТ ВЕТР ГЛ</t>
  </si>
  <si>
    <t>6964169</t>
  </si>
  <si>
    <t>NISSAN PRIMERA 1990-1995 СТ ВЕТР ГЛГЛ</t>
  </si>
  <si>
    <t>6969281</t>
  </si>
  <si>
    <t>NISSAN PRIMERA СД+ХБ 1990-1995 СТ ВЕТР ЗЛ</t>
  </si>
  <si>
    <t>6963224</t>
  </si>
  <si>
    <t>NISSAN PRIMERA СД+ХБ 1990-1995 СТ ВЕТР ЗЛГЛ</t>
  </si>
  <si>
    <t>6969285</t>
  </si>
  <si>
    <t>NISSAN PRIMERA СД+ХБ 1990-1995 СТ ВЕТР ЗЛЗЛ</t>
  </si>
  <si>
    <t>6101846</t>
  </si>
  <si>
    <t>NISSAN PRIMERA 1990-1996 УСТ КОМПЛ ДЛЯ СТ ВЕТР</t>
  </si>
  <si>
    <t>6100505</t>
  </si>
  <si>
    <t>NISSAN PRIMERA СД ХБK 1990-1996 МОЛД  ДЛЯ СТ ВЕТР ВЕРХ</t>
  </si>
  <si>
    <t>6996106</t>
  </si>
  <si>
    <t>NISSAN PRIMERA СД 1990-1995  СТ ЗАДН ЭО ЗЛ</t>
  </si>
  <si>
    <t>6996102</t>
  </si>
  <si>
    <t>NISSAN PRIMERA 4Д СД+5Д ХБ 1990-1995  СТ ПЕР ДВ ОП ЛВ ЗЛ+ФИТ</t>
  </si>
  <si>
    <t>6994497</t>
  </si>
  <si>
    <t>NISSAN PRIMERA СД+ ХБ 1990-1995  СТ ЗАДН ОП ЛВ ЗЛ+УО</t>
  </si>
  <si>
    <t>6996104</t>
  </si>
  <si>
    <t>NISSAN PRIMERA 4Д СД+5Д ХБ 1990-1995  СТ БОК НЕП ЛВ ЗЛ</t>
  </si>
  <si>
    <t>6993605</t>
  </si>
  <si>
    <t>NISSAN PRIMERA 4Д СД+5Д ХБ 1990-1995  СТ ПЕР ДВ ОП ПР ЗЛ</t>
  </si>
  <si>
    <t>6996103</t>
  </si>
  <si>
    <t>NISSAN PRIMERA 4D СД+5Д ХБ 1990-1995  СТ ПЕР ДВ ОП ПР ЗЛ+ФИТ</t>
  </si>
  <si>
    <t>6994498</t>
  </si>
  <si>
    <t>6996105</t>
  </si>
  <si>
    <t>NISSAN PRIMERA 4D СД+5Д ХБ 1990-1995  СТ БОК НЕП ПР ЗЛ</t>
  </si>
  <si>
    <t>PRIMERA I (W10) EST 1990-1995</t>
  </si>
  <si>
    <t>6969297</t>
  </si>
  <si>
    <t>NISSAN PRIMERA I (W10) УН 1990-1995  СТ ВЕТР ГЛ</t>
  </si>
  <si>
    <t>6969313</t>
  </si>
  <si>
    <t>NISSAN PRIMERA I (W10) УН 1990-1995  СТ ВЕТР ГЛГЛ</t>
  </si>
  <si>
    <t>6969298</t>
  </si>
  <si>
    <t>NISSAN PRIMERA I (W10) УН 1990-1995  СТ ВЕТР БР</t>
  </si>
  <si>
    <t>6969312</t>
  </si>
  <si>
    <t>NISSAN PRIMERA I (W10) УН 1990-1995  СТ ВЕТР БРГЛ+КР</t>
  </si>
  <si>
    <t>6969299</t>
  </si>
  <si>
    <t>NISSAN PRIMERA I (W10) УН 1990-1995  СТ ВЕТР ЗЛ</t>
  </si>
  <si>
    <t>6100296</t>
  </si>
  <si>
    <t>NISSAN PRIMERA I (W10) УН 1990-1995  УСТ КОМПЛ ДЛЯ СТ ВЕТР ДЛЯ СТ ВЕТР ВЕРХ</t>
  </si>
  <si>
    <t>PRIMERA II (P11) 06/1996-2002</t>
  </si>
  <si>
    <t>6968315</t>
  </si>
  <si>
    <t>NISSAN PRIMERA II СД+ХБ+УН 1996-2002  СТ ВЕТР ЗЛ</t>
  </si>
  <si>
    <t>6960685</t>
  </si>
  <si>
    <t>NISSAN PRIMERA II СД+ХБ+УН 1996-2002  СТ ВЕТР ЗЛГЛ</t>
  </si>
  <si>
    <t>6968316</t>
  </si>
  <si>
    <t>NISSAN PRIMERA II СД+ХБ+УН 1996-2002  СТ ВЕТР ЗЛЗЛ</t>
  </si>
  <si>
    <t>6100983</t>
  </si>
  <si>
    <t>NISSAN PRIMERA II СД+ХБ+УН 1996-2002  НАБ КЛИПС СТ ВЕТР ДЛЯ ВЕРХ МОЛД</t>
  </si>
  <si>
    <t>6101296</t>
  </si>
  <si>
    <t>NISSAN PRIMERA II СД+ХБ+УН 1996-2002  В/С НАКР МОЛД+КЛИПС</t>
  </si>
  <si>
    <t>6996261</t>
  </si>
  <si>
    <t>NISSAN PRIMERA II УН 1996-2002  СТ ЗАДН ДВ ЗЛ+АНТ+СТОП+ИНК</t>
  </si>
  <si>
    <t>6998904</t>
  </si>
  <si>
    <t>NISSAN PRIMERA II ХБ 1996-2002  СТ ЗАДН ЭО ЗЛ+СТОП+ИНК</t>
  </si>
  <si>
    <t>6998662</t>
  </si>
  <si>
    <t>NISSAN PRIMERA II СД 1996-2002  СТ ЗАДН ЭО ЗЛ</t>
  </si>
  <si>
    <t>6998905</t>
  </si>
  <si>
    <t>NISSAN PRIMERA II СД 1996-2002  СТ ЗАДН ЗЛ+1ОТВ</t>
  </si>
  <si>
    <t>6996806</t>
  </si>
  <si>
    <t>NISSAN PRIMERA II УН 1996-2002  СТ БОК НЕП ЛВ ЗЛ</t>
  </si>
  <si>
    <t>6994503</t>
  </si>
  <si>
    <t>NISSAN PRIMERA II СД+ХБ+УН 1996-2002 СТ ПЕР ДВ ОП ЛВ ЗЛ ФИТ</t>
  </si>
  <si>
    <t>6994504</t>
  </si>
  <si>
    <t>NISSAN PRIMERA II СД+ХБ 1996-2002  СТ ЗАДН ДВ ОП ЛВ ЗЛ+УО</t>
  </si>
  <si>
    <t>6995795</t>
  </si>
  <si>
    <t>NISSAN PRIMERA II СД+ХБ 1996-2002  СТ БОК НЕП ЛВ ЗЛ</t>
  </si>
  <si>
    <t>6995570</t>
  </si>
  <si>
    <t>NISSAN PRIMERA II УН 1996-2002  СТ ЗАДН ДВ ОП ПР ЗЛ+УО</t>
  </si>
  <si>
    <t>6995572</t>
  </si>
  <si>
    <t>NISSAN PRIMERA II УН 1996-2002  СТ БОК ПР ЗЛ+ИНК</t>
  </si>
  <si>
    <t>6996807</t>
  </si>
  <si>
    <t>NISSAN PRIMERA II УН 1996-2002  СТ ФОРТ ЗАДН НЕП ПР ЗЛ</t>
  </si>
  <si>
    <t>6994505</t>
  </si>
  <si>
    <t>NISSAN PRIMERA II СД+ХБ+УН 1996-2002 СТ ПЕР ДВ ОП ПР ЗЛ ФИТ</t>
  </si>
  <si>
    <t>6994506</t>
  </si>
  <si>
    <t>NISSAN PRIMERA II СД+ХБ 1996-2002 СТ ЗАДН ДВ ОП ПР ЗЛ ФИТ</t>
  </si>
  <si>
    <t>6995796</t>
  </si>
  <si>
    <t>NISSAN PRIMERA II СД+ХБ 1996-2002 СТ БОК НЕП ПР ЗЛ</t>
  </si>
  <si>
    <t>PRIMERA III (P12) 2002-</t>
  </si>
  <si>
    <t>6960252</t>
  </si>
  <si>
    <t>NISSAN PRIMERA III (P12) 2002- СТ ВЕТР ЗЛ</t>
  </si>
  <si>
    <t>6960253</t>
  </si>
  <si>
    <t>NISSAN PRIMERA III (P12) 2002- ПРРУЛЬ  СТ ВЕТР  ЗЛ+СТОП+ДД+VIN</t>
  </si>
  <si>
    <t>6960251</t>
  </si>
  <si>
    <t>NISSAN PRIMERA III (P12) 2002- ПРРУЛЬ  СТ ВЕТР ЗЛ+СТОП+VIN</t>
  </si>
  <si>
    <t>6960254</t>
  </si>
  <si>
    <t>NISSAN PRIMERA III (P12) 2002- ЛВРУЛЬ  СТ ВЕТР ЛВ  ЗЛ ДД+ИЗМ ШЕЛК</t>
  </si>
  <si>
    <t>6100604</t>
  </si>
  <si>
    <t>NISSAN PRIMERA III (P12) 2002- МОЛД  ДЛЯ СТ ВЕТР</t>
  </si>
  <si>
    <t>6996026</t>
  </si>
  <si>
    <t>NISSAN PRIMERA УН III (P12) 2002- СТ ЗАДН ДВ ЗЛ+СТОП+УО</t>
  </si>
  <si>
    <t>6991074</t>
  </si>
  <si>
    <t>NISSAN PRIMERA ХБ III (P12) 2002- СТ ЗАДН ДВ ЗЛ+СТОП+ИНК</t>
  </si>
  <si>
    <t>6990893</t>
  </si>
  <si>
    <t>NISSAN PRIMERA СД III (P12) 2002- СТ ЗАДН ЗЛ+ИНК</t>
  </si>
  <si>
    <t>6990895</t>
  </si>
  <si>
    <t>NISSAN PRIMERA УН III (P12) 2002-  СТ ЗАДН ДВ ОП ЛВ ЗЛ+УО</t>
  </si>
  <si>
    <t>6990888</t>
  </si>
  <si>
    <t>NISSAN PRIMERA III (P12) 2002- СТ ПЕР ДВ ОП ЛВ ЗЛ+ФИТ</t>
  </si>
  <si>
    <t>6990890</t>
  </si>
  <si>
    <t>NISSAN PRIMERA СД III (P12) 2002-  СТ ЗАДН ДВ ОП ЛВ ЗЛ+УО</t>
  </si>
  <si>
    <t>6990892</t>
  </si>
  <si>
    <t>NISSAN PRIMERA III (P12) 2002- СТ ФОРТ ЗАДН ЗЛ ЛВ+ИНК</t>
  </si>
  <si>
    <t>6990897</t>
  </si>
  <si>
    <t>NISSAN PRIMERA III (P12) 2002- СТ ЗАДН НЕП ЛВ ЗЛ</t>
  </si>
  <si>
    <t>6990894</t>
  </si>
  <si>
    <t>NISSAN PRIMERA УН III (P12) 2002- СТ ЗАДН ДВ ОП ПР ЗЛ+УО</t>
  </si>
  <si>
    <t>6990887</t>
  </si>
  <si>
    <t>NISSAN PRIMERA III (P12) 2002- СТ ПЕР ДВ ОП ПР ЗЛ+ФИТ</t>
  </si>
  <si>
    <t>6990889</t>
  </si>
  <si>
    <t>NISSAN PRIMERA СД III (P12) 2002- СТ ЗАДН ДВ ОП ПР ЗЛ+УО</t>
  </si>
  <si>
    <t>6990891</t>
  </si>
  <si>
    <t>NISSAN PRIMERA III (P12) 2002- СТ ФОРТ ЗАДН ЗЛ ПР+ИНК</t>
  </si>
  <si>
    <t>6990896</t>
  </si>
  <si>
    <t>NISSAN PRIMERA III (P12) 2002- СТ ЗАДН НЕП ПР ЗЛ</t>
  </si>
  <si>
    <t>QASHQAI ( P32L) 2006-</t>
  </si>
  <si>
    <t>6962648</t>
  </si>
  <si>
    <t>NISSAN QASHQAI ( P32L) 2006- СТ ВЕТР ЗЛ+ДД+VIN</t>
  </si>
  <si>
    <t>6962647</t>
  </si>
  <si>
    <t>NISSAN QASHQAI ( P32L) 2006- СТ ВЕТР ЗЛ+VIN</t>
  </si>
  <si>
    <t>6102590</t>
  </si>
  <si>
    <t>NISSAN QASHQAI ( P32L) 2006- МОЛД ДЛЯ СТ ВЕТР</t>
  </si>
  <si>
    <t>6993760</t>
  </si>
  <si>
    <t>NISSAN QASHQAI ( P32L) CROSS ВН 2007- СТ ЗАДН ЗЛ+УО</t>
  </si>
  <si>
    <t>6993778</t>
  </si>
  <si>
    <t>NISSAN QASHQAI ( P32L) CROSS ВН 2007- СТ ЗАДН СР PR+ТВ АНТ+УО</t>
  </si>
  <si>
    <t>6901222</t>
  </si>
  <si>
    <t>NISSAN QASHQAI ( P32L) CROSS ВН 2007- СТ ЗАДН СР PR+УО</t>
  </si>
  <si>
    <t>6901221</t>
  </si>
  <si>
    <t>NISSAN GRAND QASHQAI ВН 2008-  СТ ЗАДН СР+УО+ИЗМ РАЗМ</t>
  </si>
  <si>
    <t>6900535</t>
  </si>
  <si>
    <t>NISSAN QASHQAI ( P32L) CROSS 2007- СТ ПЕР ДВ ОП ЛВ  ЗЛ+УО</t>
  </si>
  <si>
    <t>6997719</t>
  </si>
  <si>
    <t>NISSAN GRAND QASHQAI 2008- СТ ПЕР ДВ ОП ЛВ ЗЛ</t>
  </si>
  <si>
    <t>6993385</t>
  </si>
  <si>
    <t>NISSAN QASHQAI ( P32L) CROSS 2007- СТ ЗАДН ДВ ОП ЛВ ЗЛ</t>
  </si>
  <si>
    <t>6993763</t>
  </si>
  <si>
    <t>NISSAN QASHQAI ( P32L) CROSS 2007- СТ ЗАДН ДВ НЕП ЛВ ЗЛ</t>
  </si>
  <si>
    <t>6993387</t>
  </si>
  <si>
    <t>NISSAN QASHQAI ( P32L) CROSS 2007- СТ ЗАДН ДВ ОП ЛВ ТСР</t>
  </si>
  <si>
    <t>6993765</t>
  </si>
  <si>
    <t>NISSAN QASHQAI ( P32L) CROSS 2007- СТ ЗАДН ДВ НЕП ЛВ ТСР</t>
  </si>
  <si>
    <t>6997723</t>
  </si>
  <si>
    <t>NISSAN GRAND QASHQAI 2008- СТ ЗАДН ДВ НЕП ЛВ ТСР</t>
  </si>
  <si>
    <t>6900536</t>
  </si>
  <si>
    <t>NISSAN QASHQAI ( P32L) CROSS 2007- СТ ПЕР ДВ ОП ПР ЗЛ+УО</t>
  </si>
  <si>
    <t>6997718</t>
  </si>
  <si>
    <t>NISSAN GRAND QASHQAI 2008- СТ ПЕР ДВ ОП ПР</t>
  </si>
  <si>
    <t>6993384</t>
  </si>
  <si>
    <t>NISSAN QASHQAI ( P32L) CROSS 2007- СТ ЗАДН ДВ ОП ПР ЗЛ+УО</t>
  </si>
  <si>
    <t>6993762</t>
  </si>
  <si>
    <t>NISSAN QASHQAI ( P32L) CROSS 2007- СТ ЗАДН ДВ НЕП ПР ЗЛ</t>
  </si>
  <si>
    <t>6993386</t>
  </si>
  <si>
    <t>NISSAN QASHQAI ( P32L) CROSS 2007- СТ ЗАДН ДВ ОП ПР ТСР+УО</t>
  </si>
  <si>
    <t>6993764</t>
  </si>
  <si>
    <t>NISSAN QASHQAI ( P32L) CROSS 2007- СТ ЗАДН НЕП ПР ТСР</t>
  </si>
  <si>
    <t>SERENA 1993-2001/VANETTE/CARGO</t>
  </si>
  <si>
    <t>6968309</t>
  </si>
  <si>
    <t>NISSAN SERENA (ЛВРУЛЬ) 1993-2001 VANET CARG СТ ВЕТР БР</t>
  </si>
  <si>
    <t>6968310</t>
  </si>
  <si>
    <t>NISSAN SERENA (ЛВРУЛЬ) 1993-2001 VANET CARG СТ ВЕТР</t>
  </si>
  <si>
    <t>6968307</t>
  </si>
  <si>
    <t>NISSAN SERENA (ЛВРУЛЬ) 1993-2001 VANET CARG СТ ВЕТР ЗЛ</t>
  </si>
  <si>
    <t>6963987</t>
  </si>
  <si>
    <t>NISSAN SERENA (ЛВРУЛЬ) 1993-2001 VANET CARG СТ ВЕТР ЗЛГЛ</t>
  </si>
  <si>
    <t>6101184</t>
  </si>
  <si>
    <t>NISSAN SERENA (ЛВРУЛЬ) 1993-2001 VANET CARG УСТ КОМПЛ ДЛЯ СТ ВЕТР</t>
  </si>
  <si>
    <t>6998031</t>
  </si>
  <si>
    <t>NISSAN SERENA (ЛВРУЛЬ) МИН 1993-2001 VANET CARG УСТ СТ ЗАДН ЛВ</t>
  </si>
  <si>
    <t>6998771</t>
  </si>
  <si>
    <t>NISSAN SERENA (ЛВРУЛЬ) МИН 1993-2001 VANET CARG  СТ ЗАДН ЗЛ ЛВ</t>
  </si>
  <si>
    <t>6994501</t>
  </si>
  <si>
    <t>NISSAN SERENA (ЛВРУЛЬ) 1993-2001 VANET CARG СТ ПЕР ДВ ОП ЛВ ЗЛ+УО/NISSAN SERENA 3D+5D 92- СТ ПЕР ДВ ОП ЛВ ЗЛ+УО</t>
  </si>
  <si>
    <t>6994502</t>
  </si>
  <si>
    <t>NISSAN SERENA (ЛВРУЛЬ) 1993-2001 VANET CARG СТ ПЕР ДВ ОП ПР ЗЛ+УО</t>
  </si>
  <si>
    <t>SUNNY (B11) КП 1982-1987</t>
  </si>
  <si>
    <t>6963487</t>
  </si>
  <si>
    <t>1982-1987</t>
  </si>
  <si>
    <t>NISSAN SUNNY KB11 КП 1982-1987 СТ ВЕТР ГЛ</t>
  </si>
  <si>
    <t>SUNNY (B11) СД+VTB11 УН 1982-1987</t>
  </si>
  <si>
    <t>6963486</t>
  </si>
  <si>
    <t>NISSAN SUNNY B11 СД+VTB11 УН 1982-1987 СТ ВЕТР ГЛ</t>
  </si>
  <si>
    <t>SUNNY (B12) СД+УН 1986-1992</t>
  </si>
  <si>
    <t>6963650</t>
  </si>
  <si>
    <t>NISSAN SUNNY B12 СД+УН 1986-1992 СТ ВЕТР ГЛ</t>
  </si>
  <si>
    <t>6102363</t>
  </si>
  <si>
    <t>NISSAN SUNNY B12 СД 1986-1992 УСТ КОМПЛ ДЛЯ СТ ВЕТР</t>
  </si>
  <si>
    <t>SUNNY (N13) 1986-1991</t>
  </si>
  <si>
    <t>6968304</t>
  </si>
  <si>
    <t>NISSAN SUNNY N13 СД+ХБ 1986-1991 СТ ВЕТР ГЛГЛ</t>
  </si>
  <si>
    <t>6968301</t>
  </si>
  <si>
    <t>NISSAN SUNNY N13 СД+ХБ 1986-1991 СТ ВЕТР</t>
  </si>
  <si>
    <t>6101193</t>
  </si>
  <si>
    <t>NISSAN SUNNY N13 СД+ХБ 1986-1991 УСТ КОМПЛ ДЛЯ СТ ВЕТР</t>
  </si>
  <si>
    <t>6994495</t>
  </si>
  <si>
    <t>NISSAN SUNNY N13 СД+ ХБ 1986-1991 СТ ПЕР ДВ ОП ЛВ ГЛ+УО</t>
  </si>
  <si>
    <t>6996798</t>
  </si>
  <si>
    <t>NISSAN SUNNY N13 СД+ХБ 1986-1991 СТ ЗАДН ДВ ОП ЛВ ГЛ</t>
  </si>
  <si>
    <t>6996799</t>
  </si>
  <si>
    <t>NISSAN SUNNY N13 ХБ 1986-1991 СТ ФОРТ ЗАДН НЕП ЛВ ГЛ</t>
  </si>
  <si>
    <t>6995327</t>
  </si>
  <si>
    <t>NISSAN SUNNY N13 СД 1986-1991 СТ БОК НЕП ЛВ ГЛ</t>
  </si>
  <si>
    <t>6994496</t>
  </si>
  <si>
    <t>NISSAN SUNNY N13 СД+ ХБ 1986-1991 СТ ПЕР ДВ ОП ПР ГЛ+УО</t>
  </si>
  <si>
    <t>6996800</t>
  </si>
  <si>
    <t>NISSAN SUNNY N13 СД+ХБ 1986-1991 СТ ЗАДН ДВ ОП ПР ГЛ</t>
  </si>
  <si>
    <t>6996801</t>
  </si>
  <si>
    <t>NISSAN SUNNY N13 ХБ 1986-1991 СТ ФОРТ ЗАДН НЕП ПР ГЛ</t>
  </si>
  <si>
    <t>SUNNY (N14) 3, 4, 5Д ХБ 1991-1996</t>
  </si>
  <si>
    <t>6968305</t>
  </si>
  <si>
    <t>NISSAN SUNNY (N14) 3, 4, 5Д ХБ 1991-1996  СТ ВЕТР ГЛ</t>
  </si>
  <si>
    <t>6968306</t>
  </si>
  <si>
    <t>NISSAN SUNNY (N14) 3, 4, 5Д ХБ 1991-1996  СТ ВЕТР ГЛГЛ</t>
  </si>
  <si>
    <t>6964520</t>
  </si>
  <si>
    <t>NISSAN SUNNY (N14) 3, 4, 5Д ХБ 1991-1996  СТ ВЕТР</t>
  </si>
  <si>
    <t>6101246</t>
  </si>
  <si>
    <t>NISSAN SUNNY (N14) 3, 4, 5Д ХБ 1991-1996  УСТ КОМПЛ ДЛЯ СТ ВЕТР</t>
  </si>
  <si>
    <t>6996100</t>
  </si>
  <si>
    <t>NISSAN SUNNY N14 СД 1991-1996 СТ ЗАДН ГЛ</t>
  </si>
  <si>
    <t>6992425</t>
  </si>
  <si>
    <t>NISSAN SUNNY N14 5Д ХБ 1991-1996 СТ ЗАДН ГЛ+ИЗМ РАЗМ</t>
  </si>
  <si>
    <t>6996108</t>
  </si>
  <si>
    <t>NISSAN SUNNY N14 ХБ 1991-1996  СТ ПЕР ДВ ОП ЛВ ГЛ+УО</t>
  </si>
  <si>
    <t>6996110</t>
  </si>
  <si>
    <t>NISSAN SUNNY N14 5Д ХБ+СД 1991-1996 СТ ПЕР ДВ ОП ЛВ ГЛ+ФИТ</t>
  </si>
  <si>
    <t>6995790</t>
  </si>
  <si>
    <t>NISSAN SUNNY N14 5Д ХБ+СД 1991-1996 СТ БОК НЕП ЛВ ГЛ</t>
  </si>
  <si>
    <t>6996107</t>
  </si>
  <si>
    <t>NISSAN SUNNY N14 ХБ 1991-1996  СТ ПЕР ДВ ОП ПР ГЛ+УО</t>
  </si>
  <si>
    <t>6996109</t>
  </si>
  <si>
    <t>NISSAN SUNNY N14 5Д ХБ+СД 1991-1996 СТ ПЕР ДВ ОП ПР ГЛ+ФИТ</t>
  </si>
  <si>
    <t>6995791</t>
  </si>
  <si>
    <t>NISSAN SUNNY N14 ХБ+ СД 1991-1996  СТ ЗАДН ДВ ОП ПР ГЛ</t>
  </si>
  <si>
    <t>6995792</t>
  </si>
  <si>
    <t>NISSAN SUNNY N14 5Д ХБ+СД 1991-1996 СТ БОК НЕП ПР ГЛ</t>
  </si>
  <si>
    <t>SUNNY (Y10) УН 1992-07/1995</t>
  </si>
  <si>
    <t>6963494</t>
  </si>
  <si>
    <t>NISSAN SUNNY УН 1992-07/1995 СТ ВЕТР ГЛ</t>
  </si>
  <si>
    <t>6963225</t>
  </si>
  <si>
    <t>NISSAN SUNNY УН 1992-07/1995 СТ ВЕТР ГЛГЛ</t>
  </si>
  <si>
    <t>6102185</t>
  </si>
  <si>
    <t>NISSAN SUNNY УН 1992-07/1995 МОЛД  ДЛЯ СТ ВЕТР</t>
  </si>
  <si>
    <t>TEANA I 2003-2009</t>
  </si>
  <si>
    <t>6964939</t>
  </si>
  <si>
    <t>NISSAN TEANA I 2003-2009 СТ ВЕТР ЗЛГЛ</t>
  </si>
  <si>
    <t>TEANA II 2008</t>
  </si>
  <si>
    <t>6964835</t>
  </si>
  <si>
    <t>NISSAN TEANA II 2008 СТ ВЕТР ЗЛГЛ</t>
  </si>
  <si>
    <t>TERRANO (WD21) 1986-</t>
  </si>
  <si>
    <t>6969969</t>
  </si>
  <si>
    <t>NISSAN TERRANO (WD21) 1986-1993 СТ ВЕТР ГЛ</t>
  </si>
  <si>
    <t>6969972</t>
  </si>
  <si>
    <t>NISSAN TERRANO (WD21) 1986-1993 СТ ВЕТР ГЛГЛ</t>
  </si>
  <si>
    <t>6969970</t>
  </si>
  <si>
    <t>NISSAN TERRANO (WD21) 1986-1993 СТ ВЕТР</t>
  </si>
  <si>
    <t>6960705</t>
  </si>
  <si>
    <t>NISSAN TERRANO (WD21) 1998-  СТ ВЕТР ЗЛ</t>
  </si>
  <si>
    <t>6961012</t>
  </si>
  <si>
    <t>NISSAN TERRANO (WD21) 1986-1993 СТ ВЕТР ЗЛЗЛ</t>
  </si>
  <si>
    <t>6998659</t>
  </si>
  <si>
    <t>NISSAN TERRANO (WD21) ПИКАП 1986-1993 СТ ЗАДН ГЛ</t>
  </si>
  <si>
    <t>6992832</t>
  </si>
  <si>
    <t>NISSAN TERRANO (WD21) ВН 1998- СТ ЗАДН ГЛ</t>
  </si>
  <si>
    <t>6994130</t>
  </si>
  <si>
    <t>NISSAN TERRANO (WD21) 1986-1993 СТ ПЕР ДВ ОП ЛВ ГЛ</t>
  </si>
  <si>
    <t>6994131</t>
  </si>
  <si>
    <t>NISSAN TERRANO (WD21) 1986-1993 СТ ПЕР ДВ ОП ПР ГЛ</t>
  </si>
  <si>
    <t>TERRANO II (R20) 1993-2004</t>
  </si>
  <si>
    <t>6966101</t>
  </si>
  <si>
    <t>1993-2004</t>
  </si>
  <si>
    <t>NISSAN TERRANO MK2 3Д+5Д 1993-2004  СТ ВЕТР ЗЛ/FORD MAVERICK 3Д+5Д 1993-1999  СТ ВЕТР ЗЛ</t>
  </si>
  <si>
    <t>6961083</t>
  </si>
  <si>
    <t>NISSAN TERRANO MK2 3Д+5Д 1993-2004  СТ ВЕТР ЗЛ ШЕЛК ИЗМ/FORD MAVERICK 3Д 1993-1999  СТ ВЕТР ЗЛ+ИЗМ Ш</t>
  </si>
  <si>
    <t>6966102</t>
  </si>
  <si>
    <t>NISSAN TERRANO MK2 3Д+5Д 1993-2004  СТ ВЕТР ЗЛГЛ/FORD MAVERICK 3Д+5Д 1993-1999  СТ ВЕТР ЗЛГЛ</t>
  </si>
  <si>
    <t>6961085</t>
  </si>
  <si>
    <t>NISSAN TERRANO MK2 3Д+5Д 1993-2004  СТ ВЕТР ЗЛГЛ  ШЕЛК ИЗМ/FORD MAVERICK 3Д 1993-1999  СТ ВЕТР ЗЛГЛ+ИЗМ Ш</t>
  </si>
  <si>
    <t>6962955</t>
  </si>
  <si>
    <t>NISSAN TERRANO MK2 3Д+5Д 1993-2004  СТ ВЕТР ЗЛЗЛ</t>
  </si>
  <si>
    <t>6100142</t>
  </si>
  <si>
    <t>NISSAN TERRANO II 1993-2004  МОЛД  ДЛЯ СТ ВЕТР ВЕРХ</t>
  </si>
  <si>
    <t>6999853</t>
  </si>
  <si>
    <t>NISSAN TERRANO MK2 1993-2004  СТ ПЕР ДВ ОП ЛВ ЗЛ+УО/FORD MAVERICK + 1993-1999  СТ ПЕР ДВ ОП ЛВ ЗЛ+УО</t>
  </si>
  <si>
    <t>6190136</t>
  </si>
  <si>
    <t>NISSAN TERRANO MK2 5Д 1993-2004  СТ ЗАДН ДВ ОП ЛВ ЗЛ+УО/FORD MAVERICK 1993-1999  СТ ЗАДН ДВ ОП ЛВ ЗЛ+УО</t>
  </si>
  <si>
    <t>6999854</t>
  </si>
  <si>
    <t>NISSAN TERRANO MK2 1993-2004  СТ ПЕР ДВ ОП ПР ЗЛ+УО/FORD MAVERICK + 1993-1999  СТ ПЕР ДВ ОП ПР ЗЛ+УО</t>
  </si>
  <si>
    <t>6190137</t>
  </si>
  <si>
    <t>NISSAN TERRANO MK2 1993-2004  СТ ЗАДН ДВ ОП ПР ЗЛ+УО/FORD MAVERICK 1993-1999  СТ ЗАДН ДВ ОП ПР ЗЛ+УО</t>
  </si>
  <si>
    <t>6900351</t>
  </si>
  <si>
    <t>NISSAN TERRANO MK2 5Д 1993-2004  СТ БОК НЕП ПР ЗЛ/FORD MAVERICK 5D 1993-2004- СТ БОК НЕП ПР ЗЛ</t>
  </si>
  <si>
    <t>TIIDA 2004-</t>
  </si>
  <si>
    <t>6963175</t>
  </si>
  <si>
    <t>NISSAN TIIDA ХБ СД 2004- СТ ВЕТР ЗЛ+VIN</t>
  </si>
  <si>
    <t>6962649</t>
  </si>
  <si>
    <t>NISSAN TIIDA ХБ СД 06/2007- СТ ВЕТР ЗЛ+ДД</t>
  </si>
  <si>
    <t>6963174</t>
  </si>
  <si>
    <t>NISSAN TIIDA ХБ СД 2004- СТ ВЕТР ЗЛ+ДД+VIN</t>
  </si>
  <si>
    <t>6900837</t>
  </si>
  <si>
    <t>NISSAN TIIDA ХБ 5Д 06/2007- СТ ЗАДН ЗЛ+УО</t>
  </si>
  <si>
    <t>6900838</t>
  </si>
  <si>
    <t>NISSAN TIIDA ХБ СД 06/2007- СТ ЗАДН  ЗЛ+УО</t>
  </si>
  <si>
    <t>6900792</t>
  </si>
  <si>
    <t>NISSAN TIIDA ХБ СД 06/2007- СТ ПЕР ДВ ОП ЛВ ЗЛ+УО</t>
  </si>
  <si>
    <t>6900774</t>
  </si>
  <si>
    <t>NISSAN TIIDA ХБ СД 06/2007- СТ ЗАДН ДВ ОП ЛВ ЗЛ+УО</t>
  </si>
  <si>
    <t>6900839</t>
  </si>
  <si>
    <t>NISSAN TIIDA ХБ СД 06/2007- СТ ПЕР ДВ ОП ПР  ЗЛ+УО</t>
  </si>
  <si>
    <t>6900791</t>
  </si>
  <si>
    <t>NISSAN TIIDA ХБ СД 06/2007- СТ ЗАДН ДВ ОП ПР ЗЛ+УО</t>
  </si>
  <si>
    <t>URVAN (E23) 1981-1987</t>
  </si>
  <si>
    <t>6963483</t>
  </si>
  <si>
    <t>1981-1987</t>
  </si>
  <si>
    <t>NISSAN URVAN (E23) 1981-1987 СТ ВЕТР</t>
  </si>
  <si>
    <t>6101420</t>
  </si>
  <si>
    <t>NISSAN URVAN (E23) 1981-1987 РЕЗ ПРОФ ДЛЯ СТ ВЕТР</t>
  </si>
  <si>
    <t>URVAN (E24) 1987-</t>
  </si>
  <si>
    <t>6961431</t>
  </si>
  <si>
    <t>NISSAN URVAN (E24) 1987- СТ ВЕТР ГЛ</t>
  </si>
  <si>
    <t>6961432</t>
  </si>
  <si>
    <t>NISSAN URVAN (E24) 1987- СТ ВЕТР</t>
  </si>
  <si>
    <t>6996804</t>
  </si>
  <si>
    <t>NISSAN URVAN (E24) 1987- СТ ПЕР ДВ ОП ЛВ</t>
  </si>
  <si>
    <t>6996805</t>
  </si>
  <si>
    <t>NISSAN URVAN (E24) 1987- СТ ПЕР ДВ ОП ПР</t>
  </si>
  <si>
    <t>VANETTA HIGH ROOF 1984-1987</t>
  </si>
  <si>
    <t>6963794</t>
  </si>
  <si>
    <t>NISSAN VANETTA HIGH ROOF 1984-1987 СТ ВЕТР</t>
  </si>
  <si>
    <t>VANETTE C220 1987-1995</t>
  </si>
  <si>
    <t>6966104</t>
  </si>
  <si>
    <t>1987-1995</t>
  </si>
  <si>
    <t>NISSAN VANETTE C220 1987-1995 СТ ВЕТР</t>
  </si>
  <si>
    <t>X-TRAIL 2001-2007</t>
  </si>
  <si>
    <t>6960747</t>
  </si>
  <si>
    <t>NISSAN X-TRAIL 2001-2007 СТ ВЕТР ЗЛ</t>
  </si>
  <si>
    <t>6964669</t>
  </si>
  <si>
    <t>NISSAN X-TRAIL 2001-2007 СТ ВЕТР ЗЛСР</t>
  </si>
  <si>
    <t>6962021</t>
  </si>
  <si>
    <t>NISSAN X-TRAIL 2001-2007 СТ ВЕТР ЗЛГЛ</t>
  </si>
  <si>
    <t>6101588</t>
  </si>
  <si>
    <t>NISSAN X-TRAIL 2001-2007 МОЛД  ДЛЯ СТ ВЕТР</t>
  </si>
  <si>
    <t>6999991</t>
  </si>
  <si>
    <t>NISSAN X-TRAIL 2001-2007 СТ ПЕР ДВ ОП ЛВ ЗЛ+УО/NISSAN X TRAIL 2001-2007  СТ ПЕР ДВ ОП ЛВ ЗЛ+УО</t>
  </si>
  <si>
    <t>6900182</t>
  </si>
  <si>
    <t>NISSAN X-TRAIL 2001-2007 СТ ЗАДН ДВ ОП ЛВ+УО</t>
  </si>
  <si>
    <t>6900079</t>
  </si>
  <si>
    <t>NISSAN X-TRAIL 2001-2007 СТ ПЕР ДВ ОП ПР ЗЛ+УО/NISSAN X TRAIL 2001-2007  СТ ПЕР ДВ ОП ПР ЗЛ+УО</t>
  </si>
  <si>
    <t>6900264</t>
  </si>
  <si>
    <t>NISSAN X-TRAIL 2001-2007 СТ ЗАДН ДВ ОП ПР ЗЛ+УО</t>
  </si>
  <si>
    <t>6190899</t>
  </si>
  <si>
    <t>6190900</t>
  </si>
  <si>
    <t>X-TRAIL 2007-</t>
  </si>
  <si>
    <t>6962834</t>
  </si>
  <si>
    <t>NISSAN X-TRAIL 2007- СТ ВЕТР ЗЛ АКУСТИК+ДД</t>
  </si>
  <si>
    <t>6962774</t>
  </si>
  <si>
    <t>NISSAN X-TRAIL 2007- СТ ВЕТР ЗЛ+ДД</t>
  </si>
  <si>
    <t>6962981</t>
  </si>
  <si>
    <t>NISSAN  X-TRAIL 07 СТ ВЕТР  ЗЛ АКУСТИК  ДД</t>
  </si>
  <si>
    <t>6900407</t>
  </si>
  <si>
    <t>NISSAN X-TRAIL 07 ВН 5ДВ СТ ПЕР ДВ ОП ПР ЗЛ</t>
  </si>
  <si>
    <t>6900408</t>
  </si>
  <si>
    <t>NISSAN X-TRAIL 07 ВН 5ДВ СТ ПЕР ДВ ОП ЛВ ЗЛ</t>
  </si>
  <si>
    <t>6900409</t>
  </si>
  <si>
    <t>NISSAN X-TRAIL 07 ВН 5ДВ СТ ЗАДН ДВ ОП ПР ЗЛ</t>
  </si>
  <si>
    <t>6900410</t>
  </si>
  <si>
    <t>NISSAN X-TRAIL 07 ВН 5ДВ СТ ЗАДН ДВ ОП ЛВ ЗЛ</t>
  </si>
  <si>
    <t>6900411</t>
  </si>
  <si>
    <t>NISSAN X-TRAIL 07 ВН 5ДВ СТ ЗАДН ДВ ОП ПР СР</t>
  </si>
  <si>
    <t>6900412</t>
  </si>
  <si>
    <t>NISSAN X-TRAIL 07 ВН 5ДВ СТ ЗАДН ДВ ОП ЛВ СР</t>
  </si>
  <si>
    <t>6962775</t>
  </si>
  <si>
    <t>NISSAN X-TRAIL 2007- СТ ВЕТР ЗЛ</t>
  </si>
  <si>
    <t>6962773</t>
  </si>
  <si>
    <t>6102626</t>
  </si>
  <si>
    <t>NISSAN X-TRAIL 2007- Молдинг ветрового стекла</t>
  </si>
  <si>
    <t>6900417</t>
  </si>
  <si>
    <t>NISSAN X-TRAIL ВН 07- СТ ЗАДН ЗЛ</t>
  </si>
  <si>
    <t>OPEL</t>
  </si>
  <si>
    <t>AGILA / SUZUKI WAGON R+1999-</t>
  </si>
  <si>
    <t>6969391</t>
  </si>
  <si>
    <t>OPEL AGILA /SUZUKI WAGON R+1999- СТ ВЕТР/SUZUKI WAGON R+ 2000-  СТ ВЕТР</t>
  </si>
  <si>
    <t>6969392</t>
  </si>
  <si>
    <t>OPEL AGILA /SUZUKI WAGON R+1999- СТ ВЕТР ЗЛ/SUZUKI WAGON R+ 2000-  СТ ВЕТР ЗЛ</t>
  </si>
  <si>
    <t>6961716</t>
  </si>
  <si>
    <t>OPEL AGILA 07/2003- СТ ВЕТР ЗЛ+ВОЗН ШЕЛК</t>
  </si>
  <si>
    <t>6100297</t>
  </si>
  <si>
    <t>OPEL AGILA 2000-  МОЛД  ДЛЯ СТ ВЕТР</t>
  </si>
  <si>
    <t>6995261</t>
  </si>
  <si>
    <t>OPEL AGILA /SUZUKI WAGON R+ МИН 1999- СТ ЗАДН ЭО УО/SUZUKI WAGON  R+ 2000-  СТ ЗАДН+VIN+УО</t>
  </si>
  <si>
    <t>6995271</t>
  </si>
  <si>
    <t>OPEL AGILA /SUZUKI WAGON R+ МИН 1999- СТ ЗАДН ЭО ЗЛ УО/SUZUKI WAGON  R+ 2000-  СТ ЗАДН ЗЛ+VIN+УО</t>
  </si>
  <si>
    <t>6995264</t>
  </si>
  <si>
    <t>OPEL AGILA /SUZUKI WAGON R+1999- СТ ПЕР ДВ ОП ЛВ УО/SUZUKI WAGON  R+ 2000-  СТ ПЕР ДВ ОП ЛВ+ФИТ</t>
  </si>
  <si>
    <t>6995262</t>
  </si>
  <si>
    <t>OPEL AGILA /SUZUKI WAGON R+1999- СТ ПЕР ДВ НЕП ЛВ/SUZUKI WAGON  R+ 2000-  СТ ФОРТ ПЕР НЕП ЛВ</t>
  </si>
  <si>
    <t>6995266</t>
  </si>
  <si>
    <t>OPEL AGILA /SUZUKI WAGON R+1999- СТ ЗАДН ДВ ОП ЛВ УО/SUZUKI WAGON  R+ 2000-  СТ ЗАДН ДВ ОП ЛВ+ФИТ</t>
  </si>
  <si>
    <t>6995268</t>
  </si>
  <si>
    <t>OPEL AGILA /SUZUKI WAGON R+1999- СТ БОК НЕП ЛВ+ИНК/SUZUKI WAGON  R+ 2000-  СТ БОК НЕП ЛВ +ИНК</t>
  </si>
  <si>
    <t>6995274</t>
  </si>
  <si>
    <t>OPEL AGILA /SUZUKI WAGON R+1999- СТ ПЕР ДВ ОП ЛВ ЗЛ УО/SUZUKI WAGON  R+ 2000-  СТ ПЕР ДВ ОП ЛВ ЗЛ+УО</t>
  </si>
  <si>
    <t>6995272</t>
  </si>
  <si>
    <t>OPEL AGILA /SUZUKI WAGON R+1999- СТ ПЕР ДВ НЕП ЛВ ЗЛ/SUZUKI WAGON  R+ 2000-  СТ ФОРТ ПЕР НЕП ЛВ ЗЛ</t>
  </si>
  <si>
    <t>6995276</t>
  </si>
  <si>
    <t>OPEL AGILA /SUZUKI WAGON R+1999- СТ ЗАДН ДВ ОП ЛВ ЗЛ+УО/SUZUKI WAGON  R+ 2000-  СТ ЗАДН ДВ ОП ЛВ ЗЛ+УО</t>
  </si>
  <si>
    <t>6995278</t>
  </si>
  <si>
    <t>OPEL AGILA /SUZUKI WAGON R+1999- СТ БОК НЕП ЛВ ЗЛ+ИНК/SUZUKI WAGON  R+ 2000-  СТ БОК НЕП ЛВ ЗЛ+ИНК</t>
  </si>
  <si>
    <t>6995265</t>
  </si>
  <si>
    <t>OPEL AGILA /SUZUKI WAGON R+1999- СТ ПЕР ДВ ОП ПР УО/SUZUKI WAGON  R+ 2000-  СТ ПЕР ДВ ОП ПР+ФИТ</t>
  </si>
  <si>
    <t>6995263</t>
  </si>
  <si>
    <t>OPEL AGILA /SUZUKI WAGON R+1999- СТ ПЕР ДВ НЕП ПР/SUZUKI WAGON  R+ 2000- СТ ФОРТ ПЕР ДВ НЕП ПР</t>
  </si>
  <si>
    <t>6995267</t>
  </si>
  <si>
    <t>OPEL AGILA /SUZUKI WAGON R+1999- СТ ЗАДН ДВ ОП ПР УО/SUZUKI WAGON  R+ 2000- СТ ЗАДН ДВ ОП ПР+ФИТ</t>
  </si>
  <si>
    <t>6995269</t>
  </si>
  <si>
    <t>OPEL AGILA /SUZUKI WAGON R+1999- СТ БОК НЕП ПР+ИНК/SUZUKI WAGON  R+ 2000- СТ БОК НЕП ПР +ИНК</t>
  </si>
  <si>
    <t>6995275</t>
  </si>
  <si>
    <t>OPEL AGILA /SUZUKI WAGON R+1999- СТ ПЕР ДВ ОП ПР ЗЛ УО/SUZUKI WAGON  R+ 2000- СТ ПЕР ДВ ОП ПР ЗЛ+УО</t>
  </si>
  <si>
    <t>6995273</t>
  </si>
  <si>
    <t>OPEL AGILA /SUZUKI WAGON R+1999- СТ ПЕР ДВ НЕП ПР ЗЛ/SUZUKI WAGON  R+ 2000- СТ ФОРТ ПЕР НЕП ПР ЗЛ</t>
  </si>
  <si>
    <t>6995277</t>
  </si>
  <si>
    <t>OPEL AGILA /SUZUKI WAGON R+1999- СТ ЗАДН ДВ ОП ПР ЗЛ УО/SUZUKI WAGON  R+ 2000- СТ ЗАДН ДВ ОП ПР ЗЛ+УО</t>
  </si>
  <si>
    <t>6995279</t>
  </si>
  <si>
    <t>OPEL AGILA /SUZUKI WAGON R+1999- СТ БОК НЕП ПР ЗЛ+ИНК/SUZUKI WAGON  R+ 2000- СТ БОК НЕП ПР ЗЛ+ИНК</t>
  </si>
  <si>
    <t>AGILA 2008-</t>
  </si>
  <si>
    <t>6995113</t>
  </si>
  <si>
    <t>OPEL AGILA ХБ 2008- СТ ЗАДН ДВ ТЗЛ+УО+1 ОТВ</t>
  </si>
  <si>
    <t>6995112</t>
  </si>
  <si>
    <t>OPEL AGILA ХБ 2008- СТ ЗАДН ДВ ЗЛ+УО</t>
  </si>
  <si>
    <t>ANTARA 2007-</t>
  </si>
  <si>
    <t>6962805</t>
  </si>
  <si>
    <t>OPEL ANTARA 2007-  СТ ВЕТР ЗЛГЛ+ЭО+ДД+VIN</t>
  </si>
  <si>
    <t>6964670</t>
  </si>
  <si>
    <t>OPEL ANTARA 2007-  СТ ВЕТР ЗЛГЛ+ДД+VIN</t>
  </si>
  <si>
    <t>6102316</t>
  </si>
  <si>
    <t>OPEL ANTARA 2007-  МОЛД ДЛЯ СТ ВЕТР</t>
  </si>
  <si>
    <t>ARENA УН 1997-</t>
  </si>
  <si>
    <t>6190431</t>
  </si>
  <si>
    <t>OPEL ARENA УН 1997- СТ ФОРТ ПЕР НЕП ЛВ/RENAULT TRAFIC VAN2D 81 СТ ФОР ПЕР ДВ ЛВ</t>
  </si>
  <si>
    <t>6190432</t>
  </si>
  <si>
    <t>OPEL ARENA УН 1997- СТ ФОРТ ПЕР НЕП ПР/RENAULT TRAFIC VAN 2D 81  СТ ФОРТ ПЕР ДВ ПР</t>
  </si>
  <si>
    <t>ASCONA B / CAVALIER C 1981-1988</t>
  </si>
  <si>
    <t>6968204</t>
  </si>
  <si>
    <t>1981-1988</t>
  </si>
  <si>
    <t>OPEL CAVALIER 1981-1988 СТ ВЕТР</t>
  </si>
  <si>
    <t>6968205</t>
  </si>
  <si>
    <t>6968215</t>
  </si>
  <si>
    <t>OPEL CAVALIER 1981-1988 СТ ВЕТР ЗЛГЛ</t>
  </si>
  <si>
    <t>6968214</t>
  </si>
  <si>
    <t>6100386</t>
  </si>
  <si>
    <t>OPEL CAVALIER 1981-1988 РЕЗ ПРОФ ДЛЯ СТ ВЕТР</t>
  </si>
  <si>
    <t>6996210</t>
  </si>
  <si>
    <t>OPEL CAVALIER ХБ 1981-1988 СТ ЗАДН</t>
  </si>
  <si>
    <t>6996808</t>
  </si>
  <si>
    <t>OPEL CAVALIER 1981-1988 СТ ПЕР ДВ ОП ЛВ</t>
  </si>
  <si>
    <t>6980692</t>
  </si>
  <si>
    <t>OPEL CAVALIER 1981-1988 СТ ПЕР ДВ ОП ЛВ ЗЛ</t>
  </si>
  <si>
    <t>6995434</t>
  </si>
  <si>
    <t>OPEL CAVALIER 1981-1988 СТ ФОРТ ЗАДН НЕП ПР</t>
  </si>
  <si>
    <t>6996809</t>
  </si>
  <si>
    <t>OPEL CAVALIER 1981-1988 СТ ПЕР ДВ ОП ПР</t>
  </si>
  <si>
    <t>6995435</t>
  </si>
  <si>
    <t>OPEL CAVALIER 1981-1988 СТ БОК НЕП ПР</t>
  </si>
  <si>
    <t>ASTRA 1991-1997</t>
  </si>
  <si>
    <t>6968262</t>
  </si>
  <si>
    <t>OPEL ASTRA 1991-1995  СТ ВЕТР+КР</t>
  </si>
  <si>
    <t>6968266</t>
  </si>
  <si>
    <t>OPEL ASTRA 03/1995-1997  СТ ВЕТР+ИЗМ КР+УО+ИЗМ КР</t>
  </si>
  <si>
    <t>6968261</t>
  </si>
  <si>
    <t>OPEL ASTRA 1991-1995 СТ ВЕТР ЗЛГЛ+КР+УО</t>
  </si>
  <si>
    <t>6968267</t>
  </si>
  <si>
    <t>OPEL ASTRA 03/1995-1997 СТ ВЕТР ЗЛГЛ+ИЗМ КР+УО+ИЗМ КР</t>
  </si>
  <si>
    <t>6100384</t>
  </si>
  <si>
    <t>OPEL ASTRA 1991-1997  МОЛД  ДЛЯ СТ ВЕТР</t>
  </si>
  <si>
    <t>6995092</t>
  </si>
  <si>
    <t>OPEL ASTRA УН 5Д 1991-1997  СТ ЗАДН ЭО</t>
  </si>
  <si>
    <t>6995090</t>
  </si>
  <si>
    <t>OPEL ASTRA ХБ 1991-1997  СТ ЗАДН ЭО</t>
  </si>
  <si>
    <t>6995093</t>
  </si>
  <si>
    <t>OPEL ASTRA УН 5Д 1991-1997  СТ ЗАДН ЭО ЗЛ</t>
  </si>
  <si>
    <t>6995091</t>
  </si>
  <si>
    <t>OPEL ASTRA ХБ 1991-1997  СТ ЗАДН ЭО ЗЛ</t>
  </si>
  <si>
    <t>6998976</t>
  </si>
  <si>
    <t>OPEL ASTRA СД 1991-1997  СТ ЗАДН ЭО ЗЛ</t>
  </si>
  <si>
    <t>6100156</t>
  </si>
  <si>
    <t>OPEL ASTRA УН 1991-1997 МОЛД  ДЛЯ СТ ЗАДН</t>
  </si>
  <si>
    <t>6100157</t>
  </si>
  <si>
    <t>OPEL ASTRA ХБ 1991-1997 МОЛД  ДЛЯ СТ ЗАДН</t>
  </si>
  <si>
    <t>6995171</t>
  </si>
  <si>
    <t>OPEL ASTRA УН 5Д 1991-1997  СТ ЗАДН ДВ ОП ЛВ</t>
  </si>
  <si>
    <t>6995175</t>
  </si>
  <si>
    <t>OPEL ASTRA УН 5Д 1991-1997  СТ ФОРТ ЗАДН НЕП ЛВ</t>
  </si>
  <si>
    <t>6995071</t>
  </si>
  <si>
    <t>OPEL ASTRA ХБ СД 1991-1997  СТ ПЕР ДВ ОП ЛВ</t>
  </si>
  <si>
    <t>6995075</t>
  </si>
  <si>
    <t>OPEL ASTRA ХБ+СД+УН 1991-1997  СТ ПЕР ДВ ОП ЛВ</t>
  </si>
  <si>
    <t>6995173</t>
  </si>
  <si>
    <t>OPEL ASTRA УН 5Д 1991-1997  СТ ЗАДН ДВ ОП ЛВ ЗЛ</t>
  </si>
  <si>
    <t>6996265</t>
  </si>
  <si>
    <t>OPEL ASTRA УН 1991-1997  СТ БОК НЕП ЛВ ЗЛ+ИНК</t>
  </si>
  <si>
    <t>6995177</t>
  </si>
  <si>
    <t>OPEL ASTRA УН 5Д 1991-1997  СТ БОК НЕП ЛВ ЗЛ</t>
  </si>
  <si>
    <t>6995073</t>
  </si>
  <si>
    <t>OPEL ASTRA ХБ СД 1991-1997  СТ ПЕР ДВ ОП ЛВ ЗЛ</t>
  </si>
  <si>
    <t>6995077</t>
  </si>
  <si>
    <t>OPEL ASTRA ХБ+СД+УН 1991-1997 СТ ПЕР ДВ ОП ЛВ ЗЛ</t>
  </si>
  <si>
    <t>6995811</t>
  </si>
  <si>
    <t>OPEL ASTRA ХБ+СД 1991-1997  СТ ЗАДН ДВ ОП ЛВ ЗЛ</t>
  </si>
  <si>
    <t>6995170</t>
  </si>
  <si>
    <t>OPEL ASTRA УН 5Д 1991-1997  СТ ЗАДН ДВ ОП ПР</t>
  </si>
  <si>
    <t>6995174</t>
  </si>
  <si>
    <t>OPEL ASTRA УН 5Д 1991-1997  СТ ФОРТ ЗАДН НЕП ПР</t>
  </si>
  <si>
    <t>6995072</t>
  </si>
  <si>
    <t>OPEL ASTRA ХБ СД 1991-1997  СТ ПЕР ДВ ОП ПР</t>
  </si>
  <si>
    <t>6995076</t>
  </si>
  <si>
    <t>OPEL ASTRA ХБ+СД+УН 1991-1997  СТ ПЕР ДВ ОП ПР</t>
  </si>
  <si>
    <t>6995810</t>
  </si>
  <si>
    <t>OPEL ASTRA ХБ+СД 1991-1997  СТ ЗАДН ДВ ОП ПР</t>
  </si>
  <si>
    <t>6995172</t>
  </si>
  <si>
    <t>OPEL ASTRA УН 5Д 1991-1997  СТ ЗАДН ДВ ОП ПР ЗЛ</t>
  </si>
  <si>
    <t>6995176</t>
  </si>
  <si>
    <t>OPEL ASTRA УН 5Д 1991-1997  СТ БОК НЕП ПР ЗЛ</t>
  </si>
  <si>
    <t>6995074</t>
  </si>
  <si>
    <t>OPEL ASTRA ХБ+СД 1991-1997  СТ ПЕР ДВ ОП ПР ЗЛ</t>
  </si>
  <si>
    <t>6995078</t>
  </si>
  <si>
    <t>OPEL ASTRA ХБ+СД+УН 1991-1997 СТ ПЕР ДВ ОП ПР ЗЛ</t>
  </si>
  <si>
    <t>6995812</t>
  </si>
  <si>
    <t>OPEL ASTRA ХБ+СД 1991-1997  СТ ЗАДН ДВ ОП ПР ЗЛ</t>
  </si>
  <si>
    <t>ASTRA КБ 1995-</t>
  </si>
  <si>
    <t>6963702</t>
  </si>
  <si>
    <t>OPEL ASTRA КБ 1995- СТ ВЕТР ЗЛГЛ+ИЗМ КР</t>
  </si>
  <si>
    <t>6100161</t>
  </si>
  <si>
    <t>OPEL ASTRA КБ 1995-  МОЛД  ДЛЯ СТ ВЕТР</t>
  </si>
  <si>
    <t>ASTRA G ХБ+СД+УН 1997-2004</t>
  </si>
  <si>
    <t>6964680</t>
  </si>
  <si>
    <t>OPEL ASTRA G ХБ+СД+УН 1997-2004 / CHEVROLET VIVA 2004-2008 СТ ВЕТР</t>
  </si>
  <si>
    <t>6961169</t>
  </si>
  <si>
    <t>6961810</t>
  </si>
  <si>
    <t>OPEL ASTRA G ХБ+СД+УН 1997-2004 / CHEVROLET VIVA 2004-2008 СТ ВЕТР ЗЛ</t>
  </si>
  <si>
    <t>6968270</t>
  </si>
  <si>
    <t>OPEL ASTRA G ХБ+СД+УН 1997-2004 / CHEVROLET VIVA 2004-2008СТ ВЕТР ЗЛ</t>
  </si>
  <si>
    <t>6961811</t>
  </si>
  <si>
    <t>OPEL ASTRA G ХБ+СД+УН 1997-2004 / CHEVROLET VIVA 2004-2008 СТ ВЕТР ЗЛГЛ</t>
  </si>
  <si>
    <t>6963655</t>
  </si>
  <si>
    <t>6962397</t>
  </si>
  <si>
    <t>OPEL ASTRA G ХБ+СД+УН 1997-2004 /CHEVROLET VIVA 2004-2008 СТ ВЕТР ЗЛ+ДД</t>
  </si>
  <si>
    <t>6102364</t>
  </si>
  <si>
    <t>OPEL ASTRA G 1997-2004 ХБ НАБОР КЛИПС ДЛЯ СТ ВЕТР</t>
  </si>
  <si>
    <t>6101266</t>
  </si>
  <si>
    <t>OPEL ASTRA G 1997-2004  КЛИПСЫ 6 ШТ.</t>
  </si>
  <si>
    <t>6100168</t>
  </si>
  <si>
    <t>OPEL ASTRA G 1997-2004  УСТ КОМПЛ ДЛЯ СТ ВЕТР ВЕРХ+НИЗ</t>
  </si>
  <si>
    <t>6100169</t>
  </si>
  <si>
    <t>OPEL ASTRA G 1997-2004  МОЛД  ДЛЯ СТ ВЕТР НИЖН ЖЕСТ</t>
  </si>
  <si>
    <t>6100170</t>
  </si>
  <si>
    <t>OPEL ASTRA G 1997-2004  МОЛД  ДЛЯ СТ ВЕТР ВЕРХ ЖЕСТ</t>
  </si>
  <si>
    <t>6102532</t>
  </si>
  <si>
    <t>OPEL ASTRA G 1997-2004 МОЛД  ДЛЯ СТ ВЕТР ВЕРХ</t>
  </si>
  <si>
    <t>6998912</t>
  </si>
  <si>
    <t>OPEL ASTRA G УН 1997-2004 СТ ЗАДН ЭО ЗЛ 1 ОТВ</t>
  </si>
  <si>
    <t>6900946</t>
  </si>
  <si>
    <t>OPEL ASTRA G СД 1997-2004 / CHEVROLET VIVA 2004-2008 СТ ЗАДН</t>
  </si>
  <si>
    <t>6998913</t>
  </si>
  <si>
    <t>OPEL ASTRA G ХБ 1997-2004  СТ ЗАДН ДВ ЗЛ+ИНК</t>
  </si>
  <si>
    <t>6993683</t>
  </si>
  <si>
    <t>OPEL ASTRA G СД 1997-2004 / CHEVROLET VIVA 2004-2008 СТ ЗАДН ЗЛ</t>
  </si>
  <si>
    <t>6100171</t>
  </si>
  <si>
    <t>OPEL ASTRA G УН 1997-2004  МОЛД  ДЛЯ СТ ЗАДН</t>
  </si>
  <si>
    <t>6101228</t>
  </si>
  <si>
    <t>OPEL ASTRA G 1997-2004  МОЛД  ДЛЯ СТ ЗАДН</t>
  </si>
  <si>
    <t>6995577</t>
  </si>
  <si>
    <t>OPEL ASTRA G 5Д УН 1997-2004 СТ ЗАДН ДВ ОП ЛВ ЗЛ ФИТ</t>
  </si>
  <si>
    <t>6995579</t>
  </si>
  <si>
    <t>OPEL ASTRA G 3Д ХБ 1997-2004 СТ ПЕР ДВ ОП ЛВ ЗЛ ФИТ</t>
  </si>
  <si>
    <t>6995580</t>
  </si>
  <si>
    <t>OPEL ASTRA G ХБ+СД+УН 1997-2004 / CHEVROLET VIVA 2004-2008 СТ ПЕР ДВ ОП ЛВ ЗЛ ФИТ</t>
  </si>
  <si>
    <t>6995581</t>
  </si>
  <si>
    <t>OPEL ASTRA G 5Д ХБ+4Д СД 1997-2004 / CHEVROLET VIVA 2004-2008 СТ ЗАДН ДВ ОП ЛВ ЗЛ+ФИТ</t>
  </si>
  <si>
    <t>6995821</t>
  </si>
  <si>
    <t>OPEL ASTRA G 5Д ХБ+4Д СД 1997-2004 / CHEVROLET VIVA 2004-2008 СТ БОК НЕП ЛВ ЗЛ</t>
  </si>
  <si>
    <t>6995582</t>
  </si>
  <si>
    <t>OPEL ASTRA G 5Д УН 1997-2004 СТ ЗАДН ДВ ОП ПР ЗЛ ФИТ</t>
  </si>
  <si>
    <t>6995583</t>
  </si>
  <si>
    <t>OPEL ASTRA G 5Д УН 1997-2004  СТ ФОРТ НЕП ЗЛ ПР</t>
  </si>
  <si>
    <t>6995584</t>
  </si>
  <si>
    <t>OPEL ASTRA G 3Д ХБ 1997-2004 СТ ПЕР ДВ ОП ПР ЗЛ ФИТ</t>
  </si>
  <si>
    <t>6995585</t>
  </si>
  <si>
    <t>OPEL ASTRA G ХБ+СД+УН 1997-2004/ CHEVROLET VIVA 2004-2008 СТ ПЕР ДВ ОП ПР+УО</t>
  </si>
  <si>
    <t>6995586</t>
  </si>
  <si>
    <t>OPEL ASTRA G 5Д ХБ+4Д СД 1997-2004  / CHEVROLET VIVA 2004-2008 СТ ЗАДН ДВ ОП ПР ЗЛ+ФИТ</t>
  </si>
  <si>
    <t>6995822</t>
  </si>
  <si>
    <t>OPEL ASTRA G 5Д ХБ+4Д СД 1997-2004 / CHEVROLET VIVA 2004-2008 СТ БОК НЕП ПР ЗЛ</t>
  </si>
  <si>
    <t>ASTRA КП 2000- /КБ 2001-</t>
  </si>
  <si>
    <t>6965055</t>
  </si>
  <si>
    <t>OPEL  ASTRA КП 2000- /КБ 2001- СТ ВЕТР ТЕПЛООТР</t>
  </si>
  <si>
    <t>6950114</t>
  </si>
  <si>
    <t>OPEL ASTRA КП+КБ 2003- СТ ВЕТР ЗЛ</t>
  </si>
  <si>
    <t>ASTRA H 3Д ХБ 2005-</t>
  </si>
  <si>
    <t>6962135</t>
  </si>
  <si>
    <t>OPEL  ASTRA H 3Д ХБ GTC 2005- СТ ВЕТР ЗЛ+ДД+VIN+ИНК</t>
  </si>
  <si>
    <t>6962136</t>
  </si>
  <si>
    <t>OPEL  ASTRA H 3Д ХБ GTC 2005- СТ ВЕТР ЗЛ+VIN+ИНК</t>
  </si>
  <si>
    <t>6962137</t>
  </si>
  <si>
    <t>6996550</t>
  </si>
  <si>
    <t>OPEL  ASTRA H 3Д ХБ GTC 2005- СТ ЗАДН ДВ ЗЛ+ИНК</t>
  </si>
  <si>
    <t>6997219</t>
  </si>
  <si>
    <t>OPEL  ASTRA H 3Д ХБ GTC 2005- СТ ПЕР ДВ ОП ЛВ ЗЛ+УО</t>
  </si>
  <si>
    <t>6997220</t>
  </si>
  <si>
    <t>OPEL  ASTRA H 3Д ХБ GTC 2005- СТ ПЕР ДВ ОП ПР ЗЛ+УО</t>
  </si>
  <si>
    <t>ASTRA H 5Д ХБ+УН+СД 2004-</t>
  </si>
  <si>
    <t>6962023</t>
  </si>
  <si>
    <t>OPEL ASTRA H ХБ+УН+СД 2004-2005  СТ ВЕТР ЗЛГЛ+VIN+ИНК</t>
  </si>
  <si>
    <t>6962653</t>
  </si>
  <si>
    <t>OPEL ASTRA H ХБ+УН+СД 12/2005- СТ ВЕТР ЗЛГЛ+VIN+ИНК</t>
  </si>
  <si>
    <t>6961123</t>
  </si>
  <si>
    <t>OPEL ASTRA H ХБ+УН+СД 2004- СТ ВЕТР ЗЛ+ДД+VIN+ДД+ИЗМ ШЕЛК</t>
  </si>
  <si>
    <t>6961124</t>
  </si>
  <si>
    <t>OPEL ASTRA H ХБ+УН+СД 2004-2005 СТ ВЕТР ЗЛ+VIN+ИНК</t>
  </si>
  <si>
    <t>6961650</t>
  </si>
  <si>
    <t>OPEL ASTRA H ХБ+УН+СД 12/2005- СТ ВЕТР ЗЛ +VIN+ИНК+ИЗМ КР</t>
  </si>
  <si>
    <t>6996547</t>
  </si>
  <si>
    <t>OPEL ASTRA H УН 2004- СТ ЗАДН ДВ ТЗЛ+ИНК</t>
  </si>
  <si>
    <t>6996477</t>
  </si>
  <si>
    <t>OPEL ASTRA H УН 12/2005- СТ ЗАДН ЗЛ</t>
  </si>
  <si>
    <t>6996115</t>
  </si>
  <si>
    <t>OPEL ASTRA H УН 2004- СТ ЗАДН ДВ ЗЛ+ИНК</t>
  </si>
  <si>
    <t>6996499</t>
  </si>
  <si>
    <t>OPEL ASTRA H ХБ 12/2005- СТ ЗАДН ЗЛ+ИНК</t>
  </si>
  <si>
    <t>6997562</t>
  </si>
  <si>
    <t>VAUX/OPEL ASTRA H ХБК2004- СТ ЗАДН ДВ ЗЛ</t>
  </si>
  <si>
    <t>6997023</t>
  </si>
  <si>
    <t>OPEL ASTRA H УН 2004- СТ ЗАДН ДВ ОП ЛВ ТЗЛ+УО</t>
  </si>
  <si>
    <t>6900554</t>
  </si>
  <si>
    <t>OPEL ASTRA H УН 2004- СТ ФОРТ НЕП ЛВ ТЗЛ</t>
  </si>
  <si>
    <t>6997024</t>
  </si>
  <si>
    <t>OPEL ASTRA H УН 2004-  СТ ЗАДН ДВ ОП ЛВ ЗЛ+УО</t>
  </si>
  <si>
    <t>6900555</t>
  </si>
  <si>
    <t>OPEL ASTRA H УН 2004- СТ ФОРТ НЕП ЛВ ЗЛ</t>
  </si>
  <si>
    <t>6997022</t>
  </si>
  <si>
    <t>OPEL ASTRA H ХБ+УН 2004- СТ ПЕР ДВ ОП ЛВ ЗЛ+ФИТ</t>
  </si>
  <si>
    <t>6996468</t>
  </si>
  <si>
    <t>OPEL ASTRA H ХБ 2004- СТ ЗАДН ОП ЛВ ЗЛ</t>
  </si>
  <si>
    <t>6997217</t>
  </si>
  <si>
    <t>OPEL ASTRA H ХБ 2004- СТ ФОРТ ЗАДН НЕП ЛВ ЗЛ</t>
  </si>
  <si>
    <t>6997034</t>
  </si>
  <si>
    <t>OPEL ASTRA H УН 2004-  СТ ЗАДН ДВ ОП ПР ТЗЛ+УО</t>
  </si>
  <si>
    <t>6997197</t>
  </si>
  <si>
    <t>OPEL ASTRA H УН 2004-  СТ ЗАДН ДВ ОП ПР ЗЛ+УО</t>
  </si>
  <si>
    <t>6900556</t>
  </si>
  <si>
    <t>OPEL ASTRA H УН 2004- СТ ФОРТ НЕП ПР ЗЛ</t>
  </si>
  <si>
    <t>6996099</t>
  </si>
  <si>
    <t>OPEL ASTRA H 2004- ХБ 5Д СТ ПЕР ДВ ОП ПР ЗЛ</t>
  </si>
  <si>
    <t>6996469</t>
  </si>
  <si>
    <t>OPEL ASTRA H ХБ 2004- СТ ЗАДН ОП ПР ЗЛ+УО</t>
  </si>
  <si>
    <t>6997218</t>
  </si>
  <si>
    <t>OPEL ASTRA H ХБ 2004- СТ ФОРТ ЗАДН НЕП ПР ЗЛ</t>
  </si>
  <si>
    <t>ASTRA 09-</t>
  </si>
  <si>
    <t>6964923</t>
  </si>
  <si>
    <t>OPEL ASTRA 09- СТ ВЕТР ЗЛ+ДД+VIN+УО+ИНК</t>
  </si>
  <si>
    <t>6964925</t>
  </si>
  <si>
    <t>OPEL ASTRA 09- СТ ВЕТР ЗЛ+VIN+УО+ИНК</t>
  </si>
  <si>
    <t>6965495</t>
  </si>
  <si>
    <t>ASTRA TWIN-TOP 2006-</t>
  </si>
  <si>
    <t>6962658</t>
  </si>
  <si>
    <t>OPEL ASTRA TWIN-TOP 2006- СТ ВЕТР ЗЛ+VIN+ИНК</t>
  </si>
  <si>
    <t>6190688</t>
  </si>
  <si>
    <t>OPEL BRAVA 1988-  СТ ВЕТР/ISUZU AMIGO/RODEO/CAMPO 1988-09/1993 СТ ВЕТР</t>
  </si>
  <si>
    <t>CALIBRA 1990-1996</t>
  </si>
  <si>
    <t>6960091</t>
  </si>
  <si>
    <t>OPEL CALIBRA КП 1990-1994 СТ ВЕТР ЗЛГЛ</t>
  </si>
  <si>
    <t>6960191</t>
  </si>
  <si>
    <t>OPEL CALIBRA КП 1994-1996  СТ ВЕТР ЗЛГЛ ИЗМ КР</t>
  </si>
  <si>
    <t>6100154</t>
  </si>
  <si>
    <t>OPEL CALIBRA КП 1990-1996  МОЛД  ДЛЯ СТ ВЕТР</t>
  </si>
  <si>
    <t>6998777</t>
  </si>
  <si>
    <t>OPEL CALIBRA КП 1990-1994  СТ ЗАДН ЗЛ+ИНК</t>
  </si>
  <si>
    <t>CHEVETTE СД+ХБ+УН 1975-1980</t>
  </si>
  <si>
    <t>6963571</t>
  </si>
  <si>
    <t>1975-1980</t>
  </si>
  <si>
    <t>OPEL CHEVETTE СД+ХБ+УН 1975-1980 СТ ВЕТР</t>
  </si>
  <si>
    <t>COMBO 2001-</t>
  </si>
  <si>
    <t>6961031</t>
  </si>
  <si>
    <t>OPEL COMBO 2001- СТ ВЕТР ЗЛ</t>
  </si>
  <si>
    <t>6961032</t>
  </si>
  <si>
    <t>OPEL COMBO 2001- СТ ВЕТР ЗЛГЛ</t>
  </si>
  <si>
    <t>6101202</t>
  </si>
  <si>
    <t>OPEL COMBO 2001- МОЛД  ДЛЯ СТ ВЕТР ВЕРХ</t>
  </si>
  <si>
    <t>6992591</t>
  </si>
  <si>
    <t>OPEL COMBO МИН 2001- СТ ЗАДН ЛВ ЗЛ+СТОП</t>
  </si>
  <si>
    <t>6992592</t>
  </si>
  <si>
    <t>OPEL COMBO МИН 2001- СТ ЗАДН ПР ЗЛ+СТОП</t>
  </si>
  <si>
    <t>CORSA A 1983-1992</t>
  </si>
  <si>
    <t>6968190</t>
  </si>
  <si>
    <t>OPEL CORSA A 1983-1992 СТ ВЕТР</t>
  </si>
  <si>
    <t>6968200</t>
  </si>
  <si>
    <t>OPEL CORSA A 1983-1992 СТ ВЕТР ЗЛГЛ</t>
  </si>
  <si>
    <t>6963217</t>
  </si>
  <si>
    <t>OPEL CORSA A 1983-1992 СТ ВЕТР ЗЛЗЛ</t>
  </si>
  <si>
    <t>6100144</t>
  </si>
  <si>
    <t>OPEL CORSA A 1982-1992 РЕЗ ПРОФ ДЛЯ СТ ВЕТР</t>
  </si>
  <si>
    <t>6998772</t>
  </si>
  <si>
    <t>OPEL CORSA A ХБ 1983-1992 СТ ЗАДН ЭО</t>
  </si>
  <si>
    <t>6996810</t>
  </si>
  <si>
    <t>OPEL CORSA A ХБ 1983-1992 СТ ПЕР ДВ ОП ЛВ</t>
  </si>
  <si>
    <t>6996225</t>
  </si>
  <si>
    <t>OPEL CORSA A ХБ 1983-1992 СТ ФОРТ ПЕР ДВ ЛВ</t>
  </si>
  <si>
    <t>6996811</t>
  </si>
  <si>
    <t>OPEL CORSA A ХБ 1983-1992 СТ БОК НЕП ЛВ</t>
  </si>
  <si>
    <t>6996814</t>
  </si>
  <si>
    <t>6996227</t>
  </si>
  <si>
    <t>OPEL CORSA A ХБ 1983-1992 СТ ФОРТ ПЕР ДВ ЛВ ЗЛ</t>
  </si>
  <si>
    <t>6996822</t>
  </si>
  <si>
    <t>OPEL CORSA A ХБ 1983-1992 СТ ПЕР ДВ ОП ЛВ ЗЛ</t>
  </si>
  <si>
    <t>6996815</t>
  </si>
  <si>
    <t>OPEL CORSA A ХБ 1983-1992 СТ ПЕР ДВ ОП ПР</t>
  </si>
  <si>
    <t>6996226</t>
  </si>
  <si>
    <t>OPEL CORSA A ХБ 1983-1992 СТ ФОРТ ПЕР ДВ ПР</t>
  </si>
  <si>
    <t>6996816</t>
  </si>
  <si>
    <t>OPEL CORSA A ХБ 1983-1992 СТ БОК ПР</t>
  </si>
  <si>
    <t>6996817</t>
  </si>
  <si>
    <t>6996819</t>
  </si>
  <si>
    <t>OPEL CORSA A ХБ 1983-1992 СТ БОК НЕП ПР</t>
  </si>
  <si>
    <t>6996228</t>
  </si>
  <si>
    <t>OPEL CORSA A ХБ 1983-1992 СТ ФОРТ ПЕР ДВ ПР ЗЛ</t>
  </si>
  <si>
    <t>6996825</t>
  </si>
  <si>
    <t>OPEL CORSA A ХБ 1983-1992 СТ ПЕР ДВ ОП ПР ЗЛ</t>
  </si>
  <si>
    <t>CORSA B/COMBO 1993-2000</t>
  </si>
  <si>
    <t>6968401</t>
  </si>
  <si>
    <t>OPEL CORSA B/COMBO 1993-2000  СТ ВЕТР</t>
  </si>
  <si>
    <t>6968402</t>
  </si>
  <si>
    <t>OPEL CORSA B/COMBO 1993-2000  СТ ВЕТР ЗЛ</t>
  </si>
  <si>
    <t>6968404</t>
  </si>
  <si>
    <t>OPEL CORSA B/COMBO 1993-2000  СТ ВЕТР ЗЛГЛ</t>
  </si>
  <si>
    <t>6963574</t>
  </si>
  <si>
    <t>OPEL CORSA B/COMBO 1993-2000  СТ ВЕТР ЗЛЗЛ КР</t>
  </si>
  <si>
    <t>6100159</t>
  </si>
  <si>
    <t>OPEL CORSA B/COMBO 1993-2000  МОЛД  ДЛЯ СТ ВЕТР</t>
  </si>
  <si>
    <t>6998778</t>
  </si>
  <si>
    <t>OPEL CORSA B/COMBO 3Д ХБ 1993-2000 СТ ЗАДН ЭО</t>
  </si>
  <si>
    <t>6998909</t>
  </si>
  <si>
    <t>OPEL CORSA B/COMBO 5Д ХБ 1993-2000 СТ ЗАДН ЭО+ИЗМ РАЗМ</t>
  </si>
  <si>
    <t>6998034</t>
  </si>
  <si>
    <t>OPEL CORSA B/COMBO МИН 1993-2000  СТ ЗАДН ЛВ</t>
  </si>
  <si>
    <t>6998880</t>
  </si>
  <si>
    <t>OPEL CORSA B/COMBO МИН 1993-2000  СТ ЗАДН ЛВ Б/ЭО</t>
  </si>
  <si>
    <t>6998881</t>
  </si>
  <si>
    <t>OPEL CORSA B/COMBO МИН 1993-2001  СТ ЗАДН ПР Б/ЭО</t>
  </si>
  <si>
    <t>6998779</t>
  </si>
  <si>
    <t>OPEL CORSA B/COMBO 3Д ХБ 1993-2000 СТ ЗАДН ЭО ЗЛ</t>
  </si>
  <si>
    <t>6980039</t>
  </si>
  <si>
    <t>OPEL CORSA B/COMBO 3Д ХБ 1993-2000 СТ ЗАДН ЗЛ+СТОП</t>
  </si>
  <si>
    <t>6998780</t>
  </si>
  <si>
    <t>OPEL CORSA B/COMBO 5Д ХБ 1993-2000 СТ ЗАДН ЭО ЗЛ+ИЗМ РАЗМ</t>
  </si>
  <si>
    <t>6980367</t>
  </si>
  <si>
    <t>OPEL CORSA B/COMBO МИН 1993-2000 СТ ЗАДН ПР ЗЛ</t>
  </si>
  <si>
    <t>6100160</t>
  </si>
  <si>
    <t>OPEL CORSA B/COMBO 3Д 1993-2001  МОЛД  ДЛЯ СТ ЗАДН</t>
  </si>
  <si>
    <t>6102365</t>
  </si>
  <si>
    <t>OPEL CORSA B/COMBO 1993-2001 РЕЗ ПРОФ ДЛЯ СТ ЗАДН ПР ЛВ</t>
  </si>
  <si>
    <t>6995813</t>
  </si>
  <si>
    <t>OPEL CORSA B/COMBO 3Д СТ ПЕР ДВ ОП ЛВ</t>
  </si>
  <si>
    <t>6995814</t>
  </si>
  <si>
    <t>OPEL CORSA B/COMBO 3Д СТ БОК НЕП ЛВ</t>
  </si>
  <si>
    <t>6996201</t>
  </si>
  <si>
    <t>OPEL CORSA B/COMBO 5Д СТ ПЕР ДВ ОП ЛВ</t>
  </si>
  <si>
    <t>6996205</t>
  </si>
  <si>
    <t>OPEL CORSA B/COMBO 5Д СТ ЗАДН ДВ ОП ЛВ</t>
  </si>
  <si>
    <t>6995817</t>
  </si>
  <si>
    <t>OPEL CORSA B/COMBO 3Д СТ ПЕР ДВ ОП ЛВ ЗЛ</t>
  </si>
  <si>
    <t>6994518</t>
  </si>
  <si>
    <t>OPEL CORSA B/COMBO 3Д СТ БОК ЛВ ЗЛ</t>
  </si>
  <si>
    <t>6996203</t>
  </si>
  <si>
    <t>OPEL CORSA B/COMBO 5Д СТ ПЕР ДВ ОП ЛВ ЗЛ</t>
  </si>
  <si>
    <t>6996207</t>
  </si>
  <si>
    <t>OPEL CORSA B/COMBO 5Д СТ ЗАДН ДВ ОП ЛВ ЗЛ</t>
  </si>
  <si>
    <t>6995815</t>
  </si>
  <si>
    <t>OPEL CORSA B/COMBO 3Д СТ ПЕР ДВ ОП ПР</t>
  </si>
  <si>
    <t>6995816</t>
  </si>
  <si>
    <t>OPEL CORSA B/COMBO 3Д СТ БОК ПР</t>
  </si>
  <si>
    <t>6996200</t>
  </si>
  <si>
    <t>OPEL CORSA B/COMBO 5Д СТ ПЕР ДВ ОП ПР</t>
  </si>
  <si>
    <t>6996204</t>
  </si>
  <si>
    <t>OPEL CORSA B/COMBO 5Д СТ ЗАДН ДВ ОП ПР</t>
  </si>
  <si>
    <t>6995818</t>
  </si>
  <si>
    <t>OPEL CORSA B/COMBO 3Д СТ ПЕР ДВ ОП ПР ЗЛ</t>
  </si>
  <si>
    <t>6994520</t>
  </si>
  <si>
    <t>OPEL CORSA B/COMBO 3Д СТ БОК НЕП ПР ЗЛ</t>
  </si>
  <si>
    <t>6996202</t>
  </si>
  <si>
    <t>OPEL CORSA B/COMBO 5Д СТ ПЕР ДВ ОП ПР ЗЛ</t>
  </si>
  <si>
    <t>6996206</t>
  </si>
  <si>
    <t>OPEL CORSA B/COMBO 5Д СТ ЗАДН ДВ ОП ПР ЗЛ</t>
  </si>
  <si>
    <t>CORSA C 2000-2006</t>
  </si>
  <si>
    <t>6960166</t>
  </si>
  <si>
    <t>OPEL CORSA C 2000-2006 СТ ВЕТР ЗЛ</t>
  </si>
  <si>
    <t>6961054</t>
  </si>
  <si>
    <t>OPEL CORSA C 3Д+5Д 2000-2006  СТ ВЕТР ЗЛГЛ</t>
  </si>
  <si>
    <t>6960263</t>
  </si>
  <si>
    <t>OPEL CORSA C 3Д+5Д 2000-2006 СТ ВЕТР ЗЛ+ДД</t>
  </si>
  <si>
    <t>6961749</t>
  </si>
  <si>
    <t>OPEL CORSA C 2000-2006 СТ ВЕТР ТЕПЛООТ ПРГЛ+ДД</t>
  </si>
  <si>
    <t>6101848</t>
  </si>
  <si>
    <t>OPEL CORSA C 2000-2006 НАБ МОЛД ДЛЯ СТ ВЕТР ВЕРХ+НИЗ</t>
  </si>
  <si>
    <t>6101280</t>
  </si>
  <si>
    <t>OPEL CORSA C 2000-2006 МОЛД  ДЛЯ СТ ВЕТР НИЖ</t>
  </si>
  <si>
    <t>6102366</t>
  </si>
  <si>
    <t>OPEL CORSA C 2000-2006  МОЛД ДЛЯ СТ ВЕТР ЛВ</t>
  </si>
  <si>
    <t>6102367</t>
  </si>
  <si>
    <t>OPEL CORSA C 2000-2006  МОЛД ДЛЯ СТ ВЕТР ПР</t>
  </si>
  <si>
    <t>6100301</t>
  </si>
  <si>
    <t>OPEL CORSA C 2000-2006  МОЛД  ДЛЯ СТ ВЕТР ВЕРХ</t>
  </si>
  <si>
    <t>6992778</t>
  </si>
  <si>
    <t>OPEL CORSA C ХБ 5Д ХБ 2000-2006  СТ ЗАДН ЗЛ</t>
  </si>
  <si>
    <t>6991663</t>
  </si>
  <si>
    <t>OPEL CORSA C ХБ 3Д 2000-2006 СТ ПЕР ДВ ОП ЛВ ЗЛ</t>
  </si>
  <si>
    <t>6991665</t>
  </si>
  <si>
    <t>OPEL CORSA C ХБ 3Д 2000-2006  СТ БОК НЕП ЛВ ЗЛ</t>
  </si>
  <si>
    <t>6991671</t>
  </si>
  <si>
    <t>OPEL CORSA C ХБ 5Д 2000-2006 СТ ПЕР ДВ ОП ЛВ ЗЛ</t>
  </si>
  <si>
    <t>6991673</t>
  </si>
  <si>
    <t>OPEL CORSA C ХБ 5Д 2000-2006 СТ ЗАДН ДВ ОП ЛВ ЗЛ</t>
  </si>
  <si>
    <t>6991675</t>
  </si>
  <si>
    <t>OPEL CORSA C ХБ 5Д 2000-2006 СТ ЗАДН НЕП ЗЛ+ИНК</t>
  </si>
  <si>
    <t>6991662</t>
  </si>
  <si>
    <t>OPEL CORSA C ХБ 3Д 2000-2006 СТ ПЕР ДВ ОП ПР ЗЛ</t>
  </si>
  <si>
    <t>6991664</t>
  </si>
  <si>
    <t>OPEL CORSA C ХБ 3Д 2000-2006  СТ БОК НЕП ПР ЗЛ</t>
  </si>
  <si>
    <t>6991670</t>
  </si>
  <si>
    <t>OPEL CORSA C ХБ 5Д 2000-2006 СТ ПЕР ДВ ОП ПР ЗЛ</t>
  </si>
  <si>
    <t>6991672</t>
  </si>
  <si>
    <t>OPEL CORSA C ХБ 5Д 2000-2006 СТ ЗАДН ДВ ОП ПР ЗЛ</t>
  </si>
  <si>
    <t>6991674</t>
  </si>
  <si>
    <t>OPEL CORSA C ХБ 5Д 2000-2006 СТ БОК НЕП ПР ЗЛ ИНК</t>
  </si>
  <si>
    <t>CORSA D 2007-</t>
  </si>
  <si>
    <t>6962239</t>
  </si>
  <si>
    <t>OPEL CORSA D 2007-  СТ ВЕТР ЗЛ+ДД+VIN+ИНК</t>
  </si>
  <si>
    <t>6964678</t>
  </si>
  <si>
    <t>OPEL CORSA D 2007- СТ ВЕТР ЗЛ+ДД+VIN+УО+ИНК+ИЗМ ШЕЛК</t>
  </si>
  <si>
    <t>6962236</t>
  </si>
  <si>
    <t>OPEL CORSA D 2007-  СТ ВЕТР ЗЛ+VIN+ИНК</t>
  </si>
  <si>
    <t>6964679</t>
  </si>
  <si>
    <t>OPEL CORSA D 2007- СТ ВЕТР ЗЛ+VIN+ДО+ИНК</t>
  </si>
  <si>
    <t>6998100</t>
  </si>
  <si>
    <t>OPEL CORSA D 3Д ХБ 2007-  СТ ЗАДН ДВ ЗЛ</t>
  </si>
  <si>
    <t>6998110</t>
  </si>
  <si>
    <t>OPEL CORSA D 5Д ХБ 2007-  СТ ЗАДН ДВ ЗЛ+ИЗМ РАЗМ</t>
  </si>
  <si>
    <t>6900208</t>
  </si>
  <si>
    <t>OPEL CORSA D 3Д 2007-  СТ ПЕР ДВ ОП ЛВ ЗЛ</t>
  </si>
  <si>
    <t>6900210</t>
  </si>
  <si>
    <t>OPEL CORSA D 5Д 2007-  СТ ПЕР ДВ ОП ЛВ ЗЛ</t>
  </si>
  <si>
    <t>6900212</t>
  </si>
  <si>
    <t>OPEL CORSA D 5Д 2007-  СТ ЗАДН ДВ ОП ЛВ ЗЛ</t>
  </si>
  <si>
    <t>6900207</t>
  </si>
  <si>
    <t>OPEL CORSA D 3Д 2007-  СТ ПЕР ДВ ОП ПР ЗЛ</t>
  </si>
  <si>
    <t>6900209</t>
  </si>
  <si>
    <t>OPEL CORSA D 5Д 2007-  СТ ПЕР ДВ ОП ПР ЗЛ</t>
  </si>
  <si>
    <t>6900211</t>
  </si>
  <si>
    <t>OPEL CORSA D 5Д 2007-  СТ ЗАДН ДВ ОП ПР ЗЛ</t>
  </si>
  <si>
    <t>FRONTERA 1991-1998</t>
  </si>
  <si>
    <t>6968225</t>
  </si>
  <si>
    <t>OPEL FRONTERA 1991-1998 СТ ВЕТР ЗЛ</t>
  </si>
  <si>
    <t>6968227</t>
  </si>
  <si>
    <t>OPEL FRONTERA 1991-1998 СТ ВЕТР ЗЛГЛ КР</t>
  </si>
  <si>
    <t>6968226</t>
  </si>
  <si>
    <t>OPEL FRONTERA 1991-1998 СТ ВЕТР ЗЛЗЛ</t>
  </si>
  <si>
    <t>6100508</t>
  </si>
  <si>
    <t>OPEL FRONTERA 1991-1998 УСТ КОМПЛ ДЛЯ СТ ВЕТР ВЕРХ ЛВ+ПР</t>
  </si>
  <si>
    <t>6100158</t>
  </si>
  <si>
    <t>OPEL FRONTERA 1991-1998 МОЛД  ДЛЯ СТ ВЕТР ВЕРХ</t>
  </si>
  <si>
    <t>6994511</t>
  </si>
  <si>
    <t>OPEL FRONTERA 3Д+5Д 1991-1998 СТ ПЕР ДВ ОП ЛВ ЗЛ ФИТ</t>
  </si>
  <si>
    <t>6994512</t>
  </si>
  <si>
    <t>OPEL FRONTERA 3Д 1991-1998 СТ БОК НЕП ЛВ ЗЛ ОТКР</t>
  </si>
  <si>
    <t>6992963</t>
  </si>
  <si>
    <t>OPEL FRONTERA 1991-1998 СТ ЗАДН ДВ ОП ЛВ ЗЛ+УО</t>
  </si>
  <si>
    <t>6994513</t>
  </si>
  <si>
    <t>OPEL FRONTERA 3Д+5Д 1991-1998 СТ ПЕР ДВ ОП ПР ЗЛ ФИТ</t>
  </si>
  <si>
    <t>6994514</t>
  </si>
  <si>
    <t>OPEL FRONTERA 3Д 1991-1998 СТ БОК НЕП ПР ЗЛ ОТКР</t>
  </si>
  <si>
    <t>6992964</t>
  </si>
  <si>
    <t>OPEL FRONTERA 5Д 1991-1998 СТ ЗАДН ДВ ОП ПР ЗЛ+УО</t>
  </si>
  <si>
    <t>FRONTERA 2Д+4Д 1998-</t>
  </si>
  <si>
    <t>6962058</t>
  </si>
  <si>
    <t>OPEL FRONTERA 1998- СТ ВЕТР ЗЛГЛ+VIN</t>
  </si>
  <si>
    <t>6963273</t>
  </si>
  <si>
    <t>OPEL FRONTERA 1998- СТ ВЕТР ЗЛ  +VIN</t>
  </si>
  <si>
    <t>6100624</t>
  </si>
  <si>
    <t>OPEL FRONTERA 1998- МОЛД  ДЛЯ СТ ВЕТР ВЕРХ</t>
  </si>
  <si>
    <t>6999992</t>
  </si>
  <si>
    <t>OPEL FRONTERA 1998- СТ ПЕР ДВ ОП ЛВ ЗЛ+УО</t>
  </si>
  <si>
    <t>6900183</t>
  </si>
  <si>
    <t>OPEL FRONTERA 1998- СТ ЗАДН ДВ ОП ЛВ ЗЛ+УО</t>
  </si>
  <si>
    <t>6996290</t>
  </si>
  <si>
    <t>OPEL FRONTERA 1998- СТ ПЕР ДВ ОП ПР ЗЛ+УО</t>
  </si>
  <si>
    <t>6900265</t>
  </si>
  <si>
    <t>OPEL FRONTERA 1998- СТ ЗАДН ДВ ОП ПР ЗЛ+УО</t>
  </si>
  <si>
    <t>INSIGNIA LHD 2008-</t>
  </si>
  <si>
    <t>6961884</t>
  </si>
  <si>
    <t>OPEL INSIGNIA LHD 2008- СТ ВЕТР+ДД+VIN</t>
  </si>
  <si>
    <t>6962793</t>
  </si>
  <si>
    <t>OPEL INSIGNIA LHD 2008- СТ ВЕТР ЗЛ+ДД+VIN</t>
  </si>
  <si>
    <t>6997680</t>
  </si>
  <si>
    <t>OPEL INSIGNIA ХБ 2008- СТ ЗАДН ЗЛ+АНТ+ТВ А</t>
  </si>
  <si>
    <t>6997682</t>
  </si>
  <si>
    <t>OPEL INSIGNIA УН 2008- СТ ЗАДН ТЗЛ+УО+ИНК</t>
  </si>
  <si>
    <t>6997679</t>
  </si>
  <si>
    <t>OPEL INSIGNIA EST 08- СТ ЗАДН ЗЛ+ДО+ИНК</t>
  </si>
  <si>
    <t>KADETT D / ASTRA 1979-1983</t>
  </si>
  <si>
    <t>6968203</t>
  </si>
  <si>
    <t>1979-1983</t>
  </si>
  <si>
    <t>OPEL KADETT D / ASTRA 1979-1983 СТ ВЕТР БРГЛ</t>
  </si>
  <si>
    <t>6968212</t>
  </si>
  <si>
    <t>OPEL KADETT D / ASTRA 1979-1983 СТ ВЕТР</t>
  </si>
  <si>
    <t>6968231</t>
  </si>
  <si>
    <t>OPEL KADETT D / ASTRA 1979-1983 СТ ВЕТР ЗЛГЛ</t>
  </si>
  <si>
    <t>6100387</t>
  </si>
  <si>
    <t>OPEL KADETT D / ASTRA 1979-1983 РЕЗ ПРОФ ДЛЯ СТ ВЕТР</t>
  </si>
  <si>
    <t>KADETT E 1983-1991</t>
  </si>
  <si>
    <t>6968196</t>
  </si>
  <si>
    <t>OPEL KADETT E 1983-1991 СТ ВЕТР БРГЛ</t>
  </si>
  <si>
    <t>6968198</t>
  </si>
  <si>
    <t>OPEL KADETT E 1983-1991 СТ ВЕТР</t>
  </si>
  <si>
    <t>6968199</t>
  </si>
  <si>
    <t>OPEL KADETT E 1983-1991 СТ ВЕТР ЗЛГЛ</t>
  </si>
  <si>
    <t>6100145</t>
  </si>
  <si>
    <t>OPEL KADETT E 1984-1991 МОЛД  ДЛЯ СТ ВЕТР</t>
  </si>
  <si>
    <t>6998906</t>
  </si>
  <si>
    <t>OPEL KADETT E ХБ 1983-1991 СТ ЗАДН ДВ БР</t>
  </si>
  <si>
    <t>6995068</t>
  </si>
  <si>
    <t>OPEL KADETT E УН 1983-1991 СТ ЗАДН ЭО</t>
  </si>
  <si>
    <t>6998907</t>
  </si>
  <si>
    <t>OPEL KADETT E ХБ 1983-1991 СТ ЗАДН ЭО</t>
  </si>
  <si>
    <t>6998970</t>
  </si>
  <si>
    <t>OPEL KADETT E ХБ 1983-1991 СТ ЗАДН ДВ ОТВ</t>
  </si>
  <si>
    <t>6998774</t>
  </si>
  <si>
    <t>OPEL KADETT E СД 1983-1991 СТ ЗАДН ЭО/DAEWOO NEXIA 4D 95- СТ ЗАДН ЭО</t>
  </si>
  <si>
    <t>6995069</t>
  </si>
  <si>
    <t>OPEL KADETT E УН 1983-1991 СТ ЗАДН ЭО ЗЛ</t>
  </si>
  <si>
    <t>6998971</t>
  </si>
  <si>
    <t>OPEL KADETT E ХБ 1983-1991 СТ ЗАДН ЭО ЗЛ</t>
  </si>
  <si>
    <t>6998908</t>
  </si>
  <si>
    <t>OPEL KADETT E ХБ 1983-1991 СТ ЗАДН ЭО ЗЛ ОТВ</t>
  </si>
  <si>
    <t>6998972</t>
  </si>
  <si>
    <t>OPEL KADETT E СД 1983-1991 СТ ЗАДН ЭО ЗЛ/DAEWOO NEXIA 4Д 1995-  СТ ЗАДН ЗЛ</t>
  </si>
  <si>
    <t>6100146</t>
  </si>
  <si>
    <t>OPEL KADETT E УН 1983-1992 МОЛД  ДЛЯ СТ ЗАДН</t>
  </si>
  <si>
    <t>6100147</t>
  </si>
  <si>
    <t>OPEL KADETT E ХБ 1983-1992 МОЛД  ДЛЯ СТ ЗАДН</t>
  </si>
  <si>
    <t>6994054</t>
  </si>
  <si>
    <t>OPEL KADETT УН 3Д+5Д 1983-1991 СТ БОК ЛВ</t>
  </si>
  <si>
    <t>6994097</t>
  </si>
  <si>
    <t>OPEL KADETT E ХБ/УН 3Д 1983-1991 СТ ПЕР ДВ ОП ЛВ</t>
  </si>
  <si>
    <t>6995797</t>
  </si>
  <si>
    <t>OPEL KADETT E 3Д 1983-1991 СТ БОК НЕП ЛВ</t>
  </si>
  <si>
    <t>6995061</t>
  </si>
  <si>
    <t>OPEL KADETT E ХБ/УН 5Д+СД 1983-1991 СТ ПЕР ДВ ОП ЛВ/DAEWOO NEXIA 4Д/5Д 1995-  СТ ПЕР ДВ ОП ЛВ</t>
  </si>
  <si>
    <t>6995798</t>
  </si>
  <si>
    <t>OPEL KADETT E ХБ 5Д 1983-1991 СТ ЗАДН ДВ ОП ЛВ</t>
  </si>
  <si>
    <t>6996231</t>
  </si>
  <si>
    <t>OPEL KADETT E ХБ 5Д 1983-1991 СТ ЗАДН ДВ НЕД ЛВ</t>
  </si>
  <si>
    <t>6996829</t>
  </si>
  <si>
    <t>OPEL KADETT E СД 1983-1991 СТ ФОРТ ЗАДН НЕП ЛВ/DAEWOO NEXIA 3Д 1995- ХБ 5Д СТ ФОРТ ЗАДН НЕП ЛВ</t>
  </si>
  <si>
    <t>6996836</t>
  </si>
  <si>
    <t>OPEL KADETT E УН 1983-1991 СТ ЗАДН ДВ ОП ЛВ ЗЛ</t>
  </si>
  <si>
    <t>6995044</t>
  </si>
  <si>
    <t>OPEL KADETT E ХБ/УН 3Д 1983-1991 СТ ПЕР ДВ ОП ЗЛ/DAEWOO NEXIA 1995- HB СТ ПЕР ДВ ОП ЛВ ЗЛ</t>
  </si>
  <si>
    <t>6995801</t>
  </si>
  <si>
    <t>OPEL KADETT E ХБ 3Д 1983-1991 СТ БОК НЕП ЛВ ЗЛ</t>
  </si>
  <si>
    <t>6995066</t>
  </si>
  <si>
    <t>OPEL KADETT E ХБ/УН 5Д+СД 1983-1991 СТ ПЕР ДВ ОП ЛВ ЗЛ/DAEWOO NEXIA 1995-  СТ ПЕР ДВ ОП ЛВ ЗЛ</t>
  </si>
  <si>
    <t>6996839</t>
  </si>
  <si>
    <t>OPEL KADETT E 5Д 1983-1991 СТ ЗАДН ДВ ОП ЛВ ЗЛ</t>
  </si>
  <si>
    <t>6996233</t>
  </si>
  <si>
    <t>OPEL KADETT E 5Д 1983-1991 СТ БОК НЕП ЛВ ЗЛ</t>
  </si>
  <si>
    <t>6996840</t>
  </si>
  <si>
    <t>OPEL KADETT E СД 1983-1991 СТ ЗАДН ДВ ОП ЛВ ЗЛ/DAEWOO NEXIA 1995-  СТ ЗАДН ДВ ОП ЛВ ЗЛ</t>
  </si>
  <si>
    <t>6996841</t>
  </si>
  <si>
    <t>OPEL KADETT E СД 1983-1991 СТ ЗАДН ДВ НЕП ЛВ ЗЛ/DAEWOO NEXIA 1995-  СТ ФОРТ ЗАДН НЕП ЛВ ЗЛ</t>
  </si>
  <si>
    <t>6996830</t>
  </si>
  <si>
    <t>OPEL KADETT E УН 3Д+5Д 1983-1991 СТ БОК ПР</t>
  </si>
  <si>
    <t>6996832</t>
  </si>
  <si>
    <t>OPEL KADETT E УН 5Д 1983-1991 СТ ФОРТ ЗАДН НЕП ПР</t>
  </si>
  <si>
    <t>6994098</t>
  </si>
  <si>
    <t>OPEL KADETT E ХБ/УН 3Д 1983-1991 СТ ПЕР ДВ ОП ПР</t>
  </si>
  <si>
    <t>6995799</t>
  </si>
  <si>
    <t>OPEL KADETT E 3Д 1983-1991 СТ БОК НЕП ПР</t>
  </si>
  <si>
    <t>6995062</t>
  </si>
  <si>
    <t>OPEL KADETT E ХБ/УН +BELMONT 1983-1991 СТ ПЕР ДВ ОП ПР/DAEWOO NEXIA 4Д/5Д 1995-  СТ ПЕР ДВ ОП ПР</t>
  </si>
  <si>
    <t>6995800</t>
  </si>
  <si>
    <t>OPEL KADETT E 5Д 1983-1991 СТ ЗАДН ДВ ОП ПР</t>
  </si>
  <si>
    <t>6996232</t>
  </si>
  <si>
    <t>OPEL KADETT E 5Д 1983-1991 СТ БОК НЕП ПР</t>
  </si>
  <si>
    <t>6996834</t>
  </si>
  <si>
    <t>OPEL KADETT E СД 1983-1991 СТ БОК НЕП ПР/DAEWOO NEXIA 4Д/5Д 1995-  СТ ФОРТ ЗАДН НЕП ПР</t>
  </si>
  <si>
    <t>6996843</t>
  </si>
  <si>
    <t>OPEL KADETT E УН 1983-1991 СТ ЗАДН ДВ ОП ПР ЗЛ</t>
  </si>
  <si>
    <t>6996844</t>
  </si>
  <si>
    <t>OPEL KADETT E УН 1983-1991 СТ ФОРТ ЗАДН НЕП ПР ЗЛ</t>
  </si>
  <si>
    <t>6995045</t>
  </si>
  <si>
    <t>OPEL KADETT E ХБ/УН 3Д 1983-1991 СТ ПЕР ДВ ОП ПР ЗЛ/DAEWOO NEXIA 1995- HB  СТ ПЕР ДВ ОП ПР ЗЛ</t>
  </si>
  <si>
    <t>6995805</t>
  </si>
  <si>
    <t>OPEL KADETT E ХБ 3Д 1983-1991 СТ БОК НЕП ПР ЗЛ</t>
  </si>
  <si>
    <t>6995067</t>
  </si>
  <si>
    <t>OPEL KADETT E ХБ/УН 5Д+СД 1983-1991 СТ ПЕР ДВ ОП ПР ЗЛ/DAEWOO NEXIA 1995-  СТ ПЕР ДВ ОП ПР ЗЛ</t>
  </si>
  <si>
    <t>6996846</t>
  </si>
  <si>
    <t>OPEL KADETT E ХБ 5Д 1983-1991 СТ ЗАДН ДВ ОП ПР ЗЛ</t>
  </si>
  <si>
    <t>6996234</t>
  </si>
  <si>
    <t>OPEL KADETT E ХБ 5Д 1983-1991 СТ БОК НЕП ПР ЗЛ</t>
  </si>
  <si>
    <t>6996847</t>
  </si>
  <si>
    <t>OPEL KADETT E СД 1983-1991 СТ ЗАДН ДВ ОП ПР ЗЛ/DAEWOO NEXIA 1995-  СТ ЗАДН ДВ ОП ПР ЗЛ</t>
  </si>
  <si>
    <t>6996848</t>
  </si>
  <si>
    <t>OPEL KADETT E СД 1983-1991 СТ ЗАДН ДВ ПР ЗЛ/DAEWOO NEXIA 1995-  СТ ФОРТ ЗАДН НЕП ПР ЗЛ</t>
  </si>
  <si>
    <t>MERIVA 2003-</t>
  </si>
  <si>
    <t>6960962</t>
  </si>
  <si>
    <t>OPEL MERIVA 2003-  СТ ВЕТР ЗЛГЛ+VIN</t>
  </si>
  <si>
    <t>6960961</t>
  </si>
  <si>
    <t>OPEL MERIVA 2003-  СТ ВЕТР ЗЛ+VIN</t>
  </si>
  <si>
    <t>6101557</t>
  </si>
  <si>
    <t>OPEL MERIVA 2003- МОЛД  ДЛЯ СТ ВЕТР ВЕРХ</t>
  </si>
  <si>
    <t>6997794</t>
  </si>
  <si>
    <t>OPEL MERIVA МИН 2003-  СТ ЗАДН ТЗЛ</t>
  </si>
  <si>
    <t>6996553</t>
  </si>
  <si>
    <t>OPEL MERIVA МИН 2003-  СТ ЗАДН ЗЛ</t>
  </si>
  <si>
    <t>6997349</t>
  </si>
  <si>
    <t>OPEL MERIVA 2003-  СТ ЗАДН ДВ ОП ЛВ ТЗЛ+УО</t>
  </si>
  <si>
    <t>6996268</t>
  </si>
  <si>
    <t>OPEL MERIVA 2003-  СТ ПЕР ДВ ОП ЛВ ЗЛ+УО</t>
  </si>
  <si>
    <t>6997353</t>
  </si>
  <si>
    <t>OPEL MERIVA 2003-  СТ ЗАДН ДВ ОП ЛВ ЗЛ+УО</t>
  </si>
  <si>
    <t>6997350</t>
  </si>
  <si>
    <t>OPEL MERIVA 2003-  СТ ЗАДН ДВ ОП ПР ТЗЛ+УО</t>
  </si>
  <si>
    <t>6996096</t>
  </si>
  <si>
    <t>OPEL MERIVA 2003-  СТ ПЕР ДВ ОП ПР ЗЛ+УО</t>
  </si>
  <si>
    <t>6997357</t>
  </si>
  <si>
    <t>OPEL MERIVA 2003-  СТ ЗАДН ДВ ОП ПР ЗЛ+УО</t>
  </si>
  <si>
    <t>MERIVA 2009-</t>
  </si>
  <si>
    <t>6965273</t>
  </si>
  <si>
    <t>OPEL MERIVA 2009- СТ ВЕТР ЗЛ+ДД+VIN+ДО+ИНК</t>
  </si>
  <si>
    <t>6965212</t>
  </si>
  <si>
    <t>OPEL MERIVA 200-9 СТ ВЕТР ЗЛ+VIN+ДО+ИНК</t>
  </si>
  <si>
    <t>MONTEREY 3Д+5Д 1994-04/1995</t>
  </si>
  <si>
    <t>6963801</t>
  </si>
  <si>
    <t>OPEL MONTEREY 3Д+5Д 1994-1995 СТ ВЕТР ГЛ</t>
  </si>
  <si>
    <t>6969238</t>
  </si>
  <si>
    <t>OPEL MONTEREY 3Д+5Д 1994-04/1995 СТ ВЕТР БР/ISUZU TROOPER 92  СТ ВЕТР БР</t>
  </si>
  <si>
    <t>6969240</t>
  </si>
  <si>
    <t>OPEL MONTEREY 3Д+5Д 1994-04/1995 СТ ВЕТР ЗЛ/ISUZU TROOPER 92  СТ ВЕТР ЗЛ</t>
  </si>
  <si>
    <t>6969242</t>
  </si>
  <si>
    <t>OPEL MONTEREY 1994-04/1995 СТ ВЕТР ЗЛГЛ</t>
  </si>
  <si>
    <t>6102369</t>
  </si>
  <si>
    <t>OPEL MONTEREY 3Д+5Д 1994-1995 НАБ КЛИПС ДЛЯ СТ ВЕТР</t>
  </si>
  <si>
    <t>6101204</t>
  </si>
  <si>
    <t>OPEL MONTEREY 3Д+5Д 1994-1995 МОЛД  ДЛЯ СТ ВЕТР ВЕРХ</t>
  </si>
  <si>
    <t>6995819</t>
  </si>
  <si>
    <t>OPEL MONTEREY 3Д+5Д 1994-1995  СТ ФОРТ ЗАДН НЕП ЛВ БР/ISUZU TROOPER 5Д 1992-  СТ ФОРТ ЗАДН НЕП ЛВ БР</t>
  </si>
  <si>
    <t>OPEL MOVANO 1998-</t>
  </si>
  <si>
    <t>6190736</t>
  </si>
  <si>
    <t>OPEL MOVANO 1998- СТ ВЕТР ТЕПЛООТР/RENAULT MASTER 1997-  СТ ВЕТР ТЕПЛООТР</t>
  </si>
  <si>
    <t>6190713</t>
  </si>
  <si>
    <t>OPEL MOVANO 1998- СТ ВЕТР ЗЛ/RENAULT MASTER 1997-  СТ ВЕТР ЗЛ</t>
  </si>
  <si>
    <t>OMEGA MK3 1986-1994</t>
  </si>
  <si>
    <t>6968194</t>
  </si>
  <si>
    <t>OPEL OMEGA MK3 1986-1994 СТ ВЕТР</t>
  </si>
  <si>
    <t>6968192</t>
  </si>
  <si>
    <t>OPEL OMEGA MK3 1986-1994 СТ ВЕТР+КР+АНТ</t>
  </si>
  <si>
    <t>6968195</t>
  </si>
  <si>
    <t>OPEL OMEGA MK3 1986-1994 СТ ВЕТР ЗЛГЛ</t>
  </si>
  <si>
    <t>6968193</t>
  </si>
  <si>
    <t>OPEL OMEGA MK3 1986-1994 СТ ВЕТ ЗЛГЛ+АНТ</t>
  </si>
  <si>
    <t>6100149</t>
  </si>
  <si>
    <t>OPEL OMEGA MK3 1986-1994  МОЛД  ДЛЯ СТ ВЕТР</t>
  </si>
  <si>
    <t>6998663</t>
  </si>
  <si>
    <t>OPEL OMEGA MK3 УН 1986-1994 СТ ЗАДН ЭО</t>
  </si>
  <si>
    <t>6998974</t>
  </si>
  <si>
    <t>OPEL OMEGA MK3 СД 1986-1994 СТ ЗАДН ЭО</t>
  </si>
  <si>
    <t>6998664</t>
  </si>
  <si>
    <t>OPEL OMEGA MK3 УН 1986-1994 СТ ЗАДН ЭО ЗЛ</t>
  </si>
  <si>
    <t>6998775</t>
  </si>
  <si>
    <t>OPEL OMEGA MK3 СД 1986-1994 СТ ЗАДН ЭО ЗЛ</t>
  </si>
  <si>
    <t>6100151</t>
  </si>
  <si>
    <t>OPEL OMEGA MK3 СД 1986-1994 МОЛД  ДЛЯ СТ ЗАДН</t>
  </si>
  <si>
    <t>6995440</t>
  </si>
  <si>
    <t>OPEL OMEGA MK3 СД 1986-1994 СТ ПЕР ДВ ОП ЛВ ЗЛ</t>
  </si>
  <si>
    <t>OMEGA B СД/УН 1994-2003</t>
  </si>
  <si>
    <t>6960150</t>
  </si>
  <si>
    <t>OPEL OMEGA B 2000-2003 СТ ВЕТР ТЕПЛООТРГЛ</t>
  </si>
  <si>
    <t>6960382</t>
  </si>
  <si>
    <t>OPEL OMEGA B 2000-2003 СТ ВЕТР ТЕПЛООТРГЛ+ДД</t>
  </si>
  <si>
    <t>6968233</t>
  </si>
  <si>
    <t>1994-2003</t>
  </si>
  <si>
    <t>OPEL OMEGA B СД/УН 1994-2003  СТ ВЕТР</t>
  </si>
  <si>
    <t>6968242</t>
  </si>
  <si>
    <t>OPEL OMEGA B СД/УН 2000-2003 СТ ВЕТР ЗЛГЛ</t>
  </si>
  <si>
    <t>6960264</t>
  </si>
  <si>
    <t>OPEL OMEGA B 2000-2003 СТ ВЕТР ЗЛГЛ ДД</t>
  </si>
  <si>
    <t>6100162</t>
  </si>
  <si>
    <t>OPEL OMEGA B СД/УН 1994-2003  НАБОР МОЛД  ДЛЯ СТ ВЕТР</t>
  </si>
  <si>
    <t>6101276</t>
  </si>
  <si>
    <t>OPEL OMEGA B СД/УН 1994-2003 НАБ НАКР МОЛД</t>
  </si>
  <si>
    <t>6101847</t>
  </si>
  <si>
    <t>OPEL OMEGA B СД/УН 1994-2003 МОЛДИНГ ДЛЯ ВЕТР СТ</t>
  </si>
  <si>
    <t>6100163</t>
  </si>
  <si>
    <t>OPEL OMEGA B СД/УН 1994-2003 НАКР МОЛД  ДЛЯ СТ ВЕТР</t>
  </si>
  <si>
    <t>6100164</t>
  </si>
  <si>
    <t>OPEL OMEGA B СД/УН 1994-2003 НАКР МОЛД  ДЛЯ СТ ВЕТР НИЖН</t>
  </si>
  <si>
    <t>6999913</t>
  </si>
  <si>
    <t>OPEL OMEGA B УН 1994-2003 СТ ЗАДН</t>
  </si>
  <si>
    <t>6998783</t>
  </si>
  <si>
    <t>OPEL OMEGA B СД 1994-2003 СТ ЗАДН ЗЛ+АНТ</t>
  </si>
  <si>
    <t>6993684</t>
  </si>
  <si>
    <t>OPEL OMEGA B УН 1994-2003 СТ ЗАДН ДВ  ЗЛ</t>
  </si>
  <si>
    <t>6994522</t>
  </si>
  <si>
    <t>OPEL OMEGA B СД/УН 1994-2003  СТ ПЕР ДВ ОП ЛВ ЗЛ+УО</t>
  </si>
  <si>
    <t>6994523</t>
  </si>
  <si>
    <t>OPEL OMEGA B СД 1994-2003  СТ ФОРТ ЗАДН НЕП ЛВ ЗЛ+ИНК</t>
  </si>
  <si>
    <t>6994524</t>
  </si>
  <si>
    <t>OPEL OMEGA B СД/УН 1994-2003  СТ ПЕР ДВ ОП ПР ЗЛ+УО</t>
  </si>
  <si>
    <t>6994525</t>
  </si>
  <si>
    <t>OPEL OMEGA B СД 1994-2003  СТ ФОРТ ЗАДН НЕП ПР ЗЛ+ИНК</t>
  </si>
  <si>
    <t>6190007</t>
  </si>
  <si>
    <t>OPEL RASCAL 1986- СТ ВЕТР</t>
  </si>
  <si>
    <t>REKORD E / CARLTON СД+УН 1977-1982</t>
  </si>
  <si>
    <t>6963654</t>
  </si>
  <si>
    <t>1977-1982</t>
  </si>
  <si>
    <t>OPEL CARLTON СД+УН 1977-1982 СТ ВЕТР</t>
  </si>
  <si>
    <t>REKORD E / OMEGA/ CARLTON 1983-1986</t>
  </si>
  <si>
    <t>6963498</t>
  </si>
  <si>
    <t>OPEL CARLTON 1983-1986 СТ ВЕТР БРГЛ</t>
  </si>
  <si>
    <t>SINTRA 1997-2000-</t>
  </si>
  <si>
    <t>6968229</t>
  </si>
  <si>
    <t>OPEL SINTRA 1997-2000 СТ ВЕТР ТЕПЛООТРГЛ+АНТ+VIN/PONTIAC TRANS SPORT 1997-2000 СТ ВЕТР ТЕПЛООТРГЛ+АНТ+VIN</t>
  </si>
  <si>
    <t>6100167</t>
  </si>
  <si>
    <t>OPEL SINTRA 1997-2000 МОЛД  ДЛЯ СТ ВЕТР</t>
  </si>
  <si>
    <t>6995230</t>
  </si>
  <si>
    <t>OPEL SINTRA 1997-2000 МИН СТ ЗАДН ЭО ЗЛ+VIN 1 ОТВ</t>
  </si>
  <si>
    <t>6995231</t>
  </si>
  <si>
    <t>OPEL SINTRA 1997-2000 МИН СТ ЗАДН ТСР 1ОТВ</t>
  </si>
  <si>
    <t>6995221</t>
  </si>
  <si>
    <t>OPEL SINTRA 1997-2000  СТ ПЕР ДВ ОП ЛВ ЗЛ+2ОТВ</t>
  </si>
  <si>
    <t>6995220</t>
  </si>
  <si>
    <t>OPEL SINTRA 1997-2000  СТ ПЕР ДВ ОП ПР ЗЛ+2ОТВ</t>
  </si>
  <si>
    <t>6995222</t>
  </si>
  <si>
    <t>OPEL SINTRA 1997-2000  СТ ЗАДН ДВ ОП ПР ЗЛ+УО</t>
  </si>
  <si>
    <t>6995228</t>
  </si>
  <si>
    <t>OPEL SINTRA 1997-2000 СТ ЗАДН НЕП ПР ОТКР+УО</t>
  </si>
  <si>
    <t>TIGRA 1994-2000</t>
  </si>
  <si>
    <t>6968420</t>
  </si>
  <si>
    <t>OPEL TIGRA 1994-2000 СТ ВЕТР ЗЛГЛ</t>
  </si>
  <si>
    <t>6100165</t>
  </si>
  <si>
    <t>OPEL TIGRA 1994-2000 УСТ КОМПЛ ДЛЯ СТ ВЕТР ДЛЯ СТ ВЕТР</t>
  </si>
  <si>
    <t>6995442</t>
  </si>
  <si>
    <t>OPEL TIGRA 1994-2000 СТ ПЕР ДВ ОП ЛВ ЗЛ</t>
  </si>
  <si>
    <t>6995443</t>
  </si>
  <si>
    <t>OPEL TIGRA 1994-2000 СТ ФОРТ ПЕР НЕП ЛВ ЗЛ</t>
  </si>
  <si>
    <t>6995444</t>
  </si>
  <si>
    <t>OPEL TIGRA 1994-2000 СТ ПЕР ДВ ОП ПР ЗЛ</t>
  </si>
  <si>
    <t>6995445</t>
  </si>
  <si>
    <t>OPEL TIGRA 1994-2000 СТ ФОРТ ПЕР НЕП ПР ЗЛ</t>
  </si>
  <si>
    <t>TIGRA TWIN TOP 2004-</t>
  </si>
  <si>
    <t>6961338</t>
  </si>
  <si>
    <t>OPEL TIGRA TWIN TOP 2004- СТ ВЕТР ЗЛ</t>
  </si>
  <si>
    <t>6993884</t>
  </si>
  <si>
    <t>OPEL TIGRA TWIN TOP 2004- СТ ПЕР ДВ ОП ПР ЗЛ</t>
  </si>
  <si>
    <t>VECTRA A/CAVALIER 1988-1995</t>
  </si>
  <si>
    <t>6960089</t>
  </si>
  <si>
    <t>1988-1995</t>
  </si>
  <si>
    <t>OPEL VECTRA A 1988-1995  СТ ВЕТР КР</t>
  </si>
  <si>
    <t>6960090</t>
  </si>
  <si>
    <t>OPEL VECTRA A 1988-1995  СТ ВЕТР ЗЛГЛ</t>
  </si>
  <si>
    <t>6100152</t>
  </si>
  <si>
    <t>OPEL VECTRA A 1988-1995  МОЛД  ДЛЯ СТ ВЕТР</t>
  </si>
  <si>
    <t>6994076</t>
  </si>
  <si>
    <t>OPEL VECTRA A 1988-1995 СД СТ ЗАДН ЭО</t>
  </si>
  <si>
    <t>6998776</t>
  </si>
  <si>
    <t>OPEL VECTRA A 1988-1995 ХБ СТ ЗАДН ДВ ЗЛ+ИНК</t>
  </si>
  <si>
    <t>6994077</t>
  </si>
  <si>
    <t>OPEL VECTRA A 1988-1995 СД СТ ЗАДН ЭО ЗЛ</t>
  </si>
  <si>
    <t>6100153</t>
  </si>
  <si>
    <t>OPEL VECTRA A 1988-1995 СЕД МОЛД  ДЛЯ СТ ЗАДН</t>
  </si>
  <si>
    <t>6995081</t>
  </si>
  <si>
    <t>OPEL VECTRA A 1988-1995 ХБ+СД СТ ПЕР ДВ ОП ЛВ</t>
  </si>
  <si>
    <t>6995086</t>
  </si>
  <si>
    <t>OPEL VECTRA A 1988-1995 ХБ+СЕД СТ ЗАДН ОП ЛВ</t>
  </si>
  <si>
    <t>6995083</t>
  </si>
  <si>
    <t>OPEL VECTRA A 1988-1995 ХБ+СД СТ ПЕР ДВ ОП ЛВ ЗЛ</t>
  </si>
  <si>
    <t>6995088</t>
  </si>
  <si>
    <t>OPEL VECTRA A 1988-1995 ХБ+СД СТ ЗАДН ДВ ОП ЛВ ЗЛ</t>
  </si>
  <si>
    <t>6995082</t>
  </si>
  <si>
    <t>OPEL VECTRA A 1988-1995 СТ ПЕР ДВ ОП ПР</t>
  </si>
  <si>
    <t>6995087</t>
  </si>
  <si>
    <t>OPEL VECTRA A 1988-1995 ХБ+СЕД СТ ЗАДН ОП ПР</t>
  </si>
  <si>
    <t>6995084</t>
  </si>
  <si>
    <t>OPEL VECTRA A 1988-1995 ХБ+СД СТ ПЕР ДВ ОП ПР ЗЛ</t>
  </si>
  <si>
    <t>6995089</t>
  </si>
  <si>
    <t>OPEL VECTRA A 1988-1995 ХБ+СД СТ ЗАДН ДВ ОП ПР ЗЛ</t>
  </si>
  <si>
    <t>VECTRA B 1995-2002</t>
  </si>
  <si>
    <t>6960237</t>
  </si>
  <si>
    <t>OPEL VECTRA B 2000-2002 СТ ВЕТР ТЕПЛООТРГЛ</t>
  </si>
  <si>
    <t>6968411</t>
  </si>
  <si>
    <t>OPEL VECTRA B 1995-2002 СТ ВЕТР</t>
  </si>
  <si>
    <t>6968415</t>
  </si>
  <si>
    <t>OPEL VECTRA B 1999-2002 СТ ВЕТР ЗЛ</t>
  </si>
  <si>
    <t>6968410</t>
  </si>
  <si>
    <t>OPEL VECTRA B 1995-2002 СТ ВЕТР ЗЛГЛ</t>
  </si>
  <si>
    <t>6100166</t>
  </si>
  <si>
    <t>OPEL VECTRA B 1995-2002 УСТ КОМПЛ ДЛЯ СТ ВЕТР</t>
  </si>
  <si>
    <t>6101285</t>
  </si>
  <si>
    <t>6102371</t>
  </si>
  <si>
    <t>OPEL VECTRA B 1995-2002 ХБ УСТ КОМПЛ ДЛЯ СТ ВЕТР</t>
  </si>
  <si>
    <t>6101800</t>
  </si>
  <si>
    <t>OPEL VECTRA B 1995-2002 МОЛД  ДЛЯ СТ ВЕТР ВЕРХ</t>
  </si>
  <si>
    <t>6102480</t>
  </si>
  <si>
    <t>OPEL VECTRA B 2000-2002 МОЛД ДЛЯ СТ ВЕТР</t>
  </si>
  <si>
    <t>6998784</t>
  </si>
  <si>
    <t>OPEL VECTRA B УН 1995-2002 СТ ЗАДН ЭО ЗЛ+СТОП</t>
  </si>
  <si>
    <t>6995094</t>
  </si>
  <si>
    <t>OPEL VECTRA B ХБ 5Д 1995-2002 СТ ЗАДН ЭО ЗЛ+ИНК+СТОП</t>
  </si>
  <si>
    <t>6991082</t>
  </si>
  <si>
    <t>OPEL VECTRA B ХБ 5Д 1995-2002 1999-2002 СТ ЗАДН ЭО ЗЛ+ИНК</t>
  </si>
  <si>
    <t>6994785</t>
  </si>
  <si>
    <t>OPEL VECTRA B СД 4Д 1995-2002 1999-2002 СТ ЗАДН ЭО ЗЛ+АНТ</t>
  </si>
  <si>
    <t>6995095</t>
  </si>
  <si>
    <t>OPEL VECTRA B СД 4Д 1995-2002 СТ ЗАДН ЭО ЗЛ+АНТ+СТОП</t>
  </si>
  <si>
    <t>6100299</t>
  </si>
  <si>
    <t>OPEL VECTRA B СД 4Д 1995-2002  МОЛД  ДЛЯ СТ ЗАДН</t>
  </si>
  <si>
    <t>6100300</t>
  </si>
  <si>
    <t>6994786</t>
  </si>
  <si>
    <t>OPEL VECTRA B УН 1995-2002  СТ ЗАДН ДВ ОП ЛВ</t>
  </si>
  <si>
    <t>6994787</t>
  </si>
  <si>
    <t>OPEL VECTRA B УН 1995-2002 СТ ЗАДН ДВ ОП ЛВ ЗЛ</t>
  </si>
  <si>
    <t>6994788</t>
  </si>
  <si>
    <t>OPEL VECTRA B УН 1995-2002 СТ БОК ЛВ ЗЛ без ИНК</t>
  </si>
  <si>
    <t>6994789</t>
  </si>
  <si>
    <t>OPEL VECTRA B УН 1995-2002 СТ БОК ЛВ ЗЛ+ИНК</t>
  </si>
  <si>
    <t>6994528</t>
  </si>
  <si>
    <t>OPEL VECTRA B ХБ 5Д 1995-2002 СТ ПЕР ДВ ОП ЛВ ЗЛ ФИТ</t>
  </si>
  <si>
    <t>6994529</t>
  </si>
  <si>
    <t>OPEL VECTRA B ХБ 5Д 1995-2002 СТ ЗАДН ДВ ОП ЛВ ЗЛ ФИТ</t>
  </si>
  <si>
    <t>6999872</t>
  </si>
  <si>
    <t>OPEL VECTRA B ХБ 5Д 1995-2002 СТ БОК НЕП ЛВ ЗЛ+ИНК</t>
  </si>
  <si>
    <t>6994795</t>
  </si>
  <si>
    <t>OPEL VECTRA B СД 4Д 1995-2002 СТ БОК НЕП ЛВ ЗЛ+ИНК</t>
  </si>
  <si>
    <t>6994792</t>
  </si>
  <si>
    <t>OPEL VECTRA B УН 1995-2002 СТ ЗАДН ДВ ОП ПР ЗЛ</t>
  </si>
  <si>
    <t>6990393</t>
  </si>
  <si>
    <t>OPEL VECTRA B УН 1995-2002 СТ БОК ПР ЗЛ+КЛЕММЫ+ИНК</t>
  </si>
  <si>
    <t>6994794</t>
  </si>
  <si>
    <t>OPEL VECTRA B УН 1995-2002 СТ БОК ПР ЗЛ без ИНК</t>
  </si>
  <si>
    <t>6994530</t>
  </si>
  <si>
    <t>OPEL VECTRA B ХБ 5Д 1995-2002 СТ ПЕР ДВ ОП ПР ЗЛ ФИТ</t>
  </si>
  <si>
    <t>6994531</t>
  </si>
  <si>
    <t>OPEL VECTRA B ХБ 5Д 1995-2002 СТ ЗАДН ДВ ОП ПР ЗЛ ФИТ</t>
  </si>
  <si>
    <t>6994790</t>
  </si>
  <si>
    <t>OPEL VECTRA B СД 4Д 1995-2002 СТ БОК НЕП ПР ЗЛ+ИНК</t>
  </si>
  <si>
    <t>VECTRA C 2002-</t>
  </si>
  <si>
    <t>6960035</t>
  </si>
  <si>
    <t>OPEL VECTRA C 2002- СТ ВЕТР ТЕПЛООТРГЛ+VIN+ДД+УО</t>
  </si>
  <si>
    <t>6960235</t>
  </si>
  <si>
    <t>OPEL VECTRA C 2002- СТ ВЕТР ТЕПЛООТРГЛ+ДД+УО</t>
  </si>
  <si>
    <t>6960031</t>
  </si>
  <si>
    <t>OPEL VECTRA C 2002/УН 2003-  СТ ВЕТР ТЕПЛООТРГЛ УО+VIN</t>
  </si>
  <si>
    <t>6960233</t>
  </si>
  <si>
    <t>OPEL VECTRA C 2002- СТ ВЕТР ТЕПЛООТРГЛ+УО</t>
  </si>
  <si>
    <t>6960360</t>
  </si>
  <si>
    <t>OPEL VECTRA C 2002- СТ ВЕТР ЗЛГЛ+VIN+ДД+УО</t>
  </si>
  <si>
    <t>6960215</t>
  </si>
  <si>
    <t>OPEL VECTRA C 2002- СТ ВЕТР ЗЛГЛ+ДД+УО</t>
  </si>
  <si>
    <t>6960033</t>
  </si>
  <si>
    <t>OPEL VECTRA C 2002- СТ ВЕТР ЗЛГЛ+VIN+УО</t>
  </si>
  <si>
    <t>6967029</t>
  </si>
  <si>
    <t>OPEL VECTRA C 2002- СТ ВЕТР ЗЛГЛ+УО</t>
  </si>
  <si>
    <t>6960785</t>
  </si>
  <si>
    <t>OPEL VECTRA C 2002- СТ ВЕТР ЗЛ+ДД+VIN+УО</t>
  </si>
  <si>
    <t>6960783</t>
  </si>
  <si>
    <t>OPEL VECTRA C 2003- СТ ВЕТР ЗЛ+ДД+УО</t>
  </si>
  <si>
    <t>6960782</t>
  </si>
  <si>
    <t>OPEL VECTRA C 2003- СТ ВЕТР ЗЛ+VIN+УО</t>
  </si>
  <si>
    <t>6960781</t>
  </si>
  <si>
    <t>OPEL VECTRA C 2003- СТ ВЕТР ЗЛ+УО</t>
  </si>
  <si>
    <t>6992145</t>
  </si>
  <si>
    <t>OPEL VECTRA C УН 2003- СТ ЗАДН ДВ ТЗЛ+СТОП+ИНК</t>
  </si>
  <si>
    <t>6996551</t>
  </si>
  <si>
    <t>OPEL VECTRA C МИН 2003-  СТ ЗАДН ТЗЛ+VIN+ИНК</t>
  </si>
  <si>
    <t>6990901</t>
  </si>
  <si>
    <t>OPEL VECTRA C ХБ 2002-  СТ ЗАДН ЗЛ+ИНК</t>
  </si>
  <si>
    <t>6992399</t>
  </si>
  <si>
    <t>OPEL VECTRA C ХБ 2002- СТ ЗАДН ЭО ЗЛ ИЗМ</t>
  </si>
  <si>
    <t>6999912</t>
  </si>
  <si>
    <t>OPEL VECTRA C 4Д СД 2002-  СТ ЗАДН ЗЛ+УО</t>
  </si>
  <si>
    <t>6996552</t>
  </si>
  <si>
    <t>OPEL VECTRA C МИН 2003-  СТ ЗАДН ЗЛ+VIN+ИНК</t>
  </si>
  <si>
    <t>6996097</t>
  </si>
  <si>
    <t>OPEL VECTRA C УН 2003- СТ ЗАДН ЗЛ+СТОП+ИНК</t>
  </si>
  <si>
    <t>6996267</t>
  </si>
  <si>
    <t>OPEL VECTRA C ХБ 5Д 2002- / УН 2003- СТ ПЕР ДВ ОП ЛВ ЗЛ+УО</t>
  </si>
  <si>
    <t>6900184</t>
  </si>
  <si>
    <t>OPEL VECTRA C ХБ 5Д 2002-  СТ ЗАДН ДВ ОП ЛВ ЗЛ</t>
  </si>
  <si>
    <t>6990365</t>
  </si>
  <si>
    <t>OPEL VECTRA C ХБ 5Д 2002-  СТ БОК ЛВ ЗЛ+ИНК</t>
  </si>
  <si>
    <t>6991827</t>
  </si>
  <si>
    <t>OPEL VECTRA C ХБ 5Д 2002-  СТ БОК ЛВ ЗЛ+ХРОМ ИНК</t>
  </si>
  <si>
    <t>6900150</t>
  </si>
  <si>
    <t>OPEL VECTRA C СЕД 4Д 2002-  СТ ЗАДН ДВ ОП ЛВ ЗЛ+УО</t>
  </si>
  <si>
    <t>6997225</t>
  </si>
  <si>
    <t>OPEL VECTRA C МИН 5Д 2003-  СТ ЗАДН ДВ ОП ЛВ ЗЛ+УО</t>
  </si>
  <si>
    <t>6996098</t>
  </si>
  <si>
    <t>OPEL VECTRA C ХБ 5Д 2002- / УН 2003-  СТ ПЕР ДВ ОП ПР ЗЛ+УО</t>
  </si>
  <si>
    <t>6900267</t>
  </si>
  <si>
    <t>OPEL VECTRA C ХБ 5Д 2002-  СТ ЗАДН ДВ ОП ПР ЗЛ</t>
  </si>
  <si>
    <t>6990364</t>
  </si>
  <si>
    <t>OPEL VECTRA C ХБ 5Д 2002-  СТ БОК ПР ЗЛ+ИНК</t>
  </si>
  <si>
    <t>6991826</t>
  </si>
  <si>
    <t>OPEL VECTRA C ХБ 5Д 2002-  СТ БОК ПР ЗЛ+ХРОМ ИНК</t>
  </si>
  <si>
    <t>6900266</t>
  </si>
  <si>
    <t>OPEL VECTRA C СД 4Д 2002-  СТ ЗАДН ДВ ОП ПР ЗЛ</t>
  </si>
  <si>
    <t>6997226</t>
  </si>
  <si>
    <t>OPEL VECTRA C МИН 5Д 2003-  СТ ЗАДН ДВ ОП ПР ЗЛ+УО</t>
  </si>
  <si>
    <t>OPEL VIVARO 2001-</t>
  </si>
  <si>
    <t>6190457</t>
  </si>
  <si>
    <t>OPEL VIVARO 2001- СТ ВЕТР ТЕПЛООТР+VIN/ RENAULT TRAFIC 2001-  СТ ВЕТР ТЕПЛООТР+VIN</t>
  </si>
  <si>
    <t>6190870</t>
  </si>
  <si>
    <t>OPEL VIVARO 2001- СТ ВЕТР ТЕПЛООТР+VIN/RENAULT TRAFIC 2001- СТ ВЕТР ТЕПЛООТР+VIN+КР</t>
  </si>
  <si>
    <t>6190460</t>
  </si>
  <si>
    <t>OPEL VIVARO 2001- СТ ВЕТР ЗЛ+VIN/ RENAULT TRAFIC 2001-  СТ ВЕТР БЕЗ КР ЗЛ+VIN</t>
  </si>
  <si>
    <t>6190803</t>
  </si>
  <si>
    <t>OPEL VIVARO 2001- СТ ВЕТР ЗЛ+VIN/ RENAULT TRAFIC 2001- СТ ВЕТР ЗЛ+VIN</t>
  </si>
  <si>
    <t>6101430</t>
  </si>
  <si>
    <t>OPEL VIVARO 2001- МОЛД ДЛЯ СТ ВЕТР ВЕРХ</t>
  </si>
  <si>
    <t>6190462</t>
  </si>
  <si>
    <t>OPEL VIVARO МИН 2001- СТ ЗАДН ЗЛ/ RENAULT TRAFIC 2001-  СТ ЗАДН ЭО ЗЛ</t>
  </si>
  <si>
    <t>6190463</t>
  </si>
  <si>
    <t>OPEL VIVARO МИН 2001- СТ ЗАДН ЗЛ ЛВ/ RENAULT TRAFIC 2001-  СТ ЗАДН ЛВ ЭО</t>
  </si>
  <si>
    <t>6190464</t>
  </si>
  <si>
    <t>OPEL VIVARO МИН 2001- СТ ЗАДН ЗЛ ЛВ Б/ЭО/ RENAULT TRAFIC 2001-  СТ ЗАДН ЛВ ЗЛ Б/ЭО</t>
  </si>
  <si>
    <t>6190465</t>
  </si>
  <si>
    <t>OPEL VIVARO МИН 2001- СТ ЗАДН ЗЛ ПР/ RENAULT TRAFIC 2001-  СТ ЗАДН ПР ЭО ЗЛ</t>
  </si>
  <si>
    <t>6190466</t>
  </si>
  <si>
    <t>OPEL VIVARO МИН 2001-  СТ ЗАДН ЗЛ ПР Б/ЭО/ RENAULT TRAFIC 2001-  СТ ЗАДН ПР ЗЛ Б/ЭО</t>
  </si>
  <si>
    <t>6190467</t>
  </si>
  <si>
    <t>OPEL VIVARO 2001-  СТ ПЕР ДВ ОП ЛВ/ RENAULT TRAFIC 2001-  СТ ПЕР ДВ ОП ЛВ ЗЛ</t>
  </si>
  <si>
    <t>6190468</t>
  </si>
  <si>
    <t>OPEL VIVARO 2001-  СТ ФОРТ ПЕР НЕП ЛВ/ RENAULT TRAFIC 2001-  СТ ПЕР ДВ НЕП ЛВ ЗЛ</t>
  </si>
  <si>
    <t>6190762</t>
  </si>
  <si>
    <t>OPEL VIVARO 2Д 2001- СТ ЗАДН НЕП ЛВ ЗЛ/ RENAULT TRAFIC 2001-  СТ ЗАДН ДВ НЕП ЛВ ЗЛ</t>
  </si>
  <si>
    <t>6190469</t>
  </si>
  <si>
    <t>OPEL VIVARO 4Д LHD 2001- СТ СР ЛВ ЗЛ/ RENAULT TRAFIC 2001-  СТ БОК ЛВ ЗЛЗЛ+VIN</t>
  </si>
  <si>
    <t>6190470</t>
  </si>
  <si>
    <t>OPEL VIVARO RHD/ 2001- СТ ЗАДН ОП ЛВ ЗЛ/ RENAULT TRAFIC 4D ЛВРУЛЬ/5Д 2001-  СТ ЗАДН ДВ ОП ЛВ ТЗЛ</t>
  </si>
  <si>
    <t>6190471</t>
  </si>
  <si>
    <t>OPEL VIVARO LWB 2001- СТ БОК НЕП ЛВ ЗЛ/ RENAULT TRAFIC 2001- СТ ЗАДН ДВ НЕП ЛВ</t>
  </si>
  <si>
    <t>6190472</t>
  </si>
  <si>
    <t>OPEL VIVARO 2001- СТ ПЕР ДВ ОП ПР/ RENAULT TRAFIC 2001-  СТ ПЕР ДВ ОП ПР ЗЛ</t>
  </si>
  <si>
    <t>6190473</t>
  </si>
  <si>
    <t>OPEL VIVARO 2001- СТ ФОРТ ПЕР НЕП ПР/ RENAULT TRAFIC 2001- СТ ПЕР ДВ НЕП ПР ЗЛ</t>
  </si>
  <si>
    <t>6190763</t>
  </si>
  <si>
    <t>OPEL VIVARO 2Д 2001- СТ ЗАДН НЕП ПР ЗЛ/ RENAULT TRAFIC 2001-  СТ ЗАДН ДВ НЕП ПР ЗЛ</t>
  </si>
  <si>
    <t>6190474</t>
  </si>
  <si>
    <t>OPEL VIVARO LHD 2001- СТ ЗАДН ОП ПР ЗЛ/ RENAULT TRAFIC 4D ЛВРУЛЬ/5Д 2001-  СТ ЗАДН ДВ ОП ПР ЗЛ</t>
  </si>
  <si>
    <t>6190475</t>
  </si>
  <si>
    <t>OPEL VIVARO LWB 2001- СТ БОК НЕП ПР ЗЛ/ RENAULT TRAFIC 2001- СТ ЗАДН ДВ НЕП ПР</t>
  </si>
  <si>
    <t>ZAFIRA MPV 1998-2005</t>
  </si>
  <si>
    <t>6960528</t>
  </si>
  <si>
    <t>OPEL ZAFIRA МИН 1998-2005 СТ ВЕТР ТЕПЛООТРГЛ</t>
  </si>
  <si>
    <t>6960529</t>
  </si>
  <si>
    <t>OPEL ZAFIRA МИН 1998-2005 СТ ВЕТР ТЕПЛООТРГЛ+VIN</t>
  </si>
  <si>
    <t>6963200</t>
  </si>
  <si>
    <t>OPEL ZAFIRA МИН 1998-2005 СТ ВЕТР ЗЛ</t>
  </si>
  <si>
    <t>6961149</t>
  </si>
  <si>
    <t>OPEL ZAFIRA МИН 1998-2005 СТ ВЕТР ЗЛГЛ</t>
  </si>
  <si>
    <t>6963201</t>
  </si>
  <si>
    <t>OPEL ZAFIRA МИН 1998-2005 СТ ВЕТР ЗЛГЛ+VIN</t>
  </si>
  <si>
    <t>6961292</t>
  </si>
  <si>
    <t>OPEL ZAFIRA МИН 1998-2005 СТ ВЕТР ЗЛ+VIN</t>
  </si>
  <si>
    <t>6100507</t>
  </si>
  <si>
    <t>OPEL ZAFIRA MPV 1998-2005  УСТ КОМПЛ ДЛЯ СТ ВЕТР</t>
  </si>
  <si>
    <t>6101716</t>
  </si>
  <si>
    <t>OPEL ZAFIRA MPV 1998-2005 МОЛД  ДЛЯ СТ ВЕТР НИЖН</t>
  </si>
  <si>
    <t>6100568</t>
  </si>
  <si>
    <t>OPEL ZAFIRA MPV 1998-2005  МОЛД  ДЛЯ СТ ВЕТР ВЕРХ</t>
  </si>
  <si>
    <t>6999914</t>
  </si>
  <si>
    <t>OPEL ZAFIRA МИН 1998-2005 СТ ЗАДН ТЗЛ+СТОП</t>
  </si>
  <si>
    <t>6998911</t>
  </si>
  <si>
    <t>OPEL ZAFIRA МИН 1998-2005 СТ ЗАДН ЭО ЗЛ+СТОП</t>
  </si>
  <si>
    <t>6900526</t>
  </si>
  <si>
    <t>OPEL ZAFIRA МИН 1998-2005 СТ ЗАДН ЗЛ+СТОП+ИЗМ РАЗМ</t>
  </si>
  <si>
    <t>6100977</t>
  </si>
  <si>
    <t>OPEL ZAFIRA MPV 1998-2005  МОЛД  ДЛЯ СТ ЗАДН</t>
  </si>
  <si>
    <t>6995573</t>
  </si>
  <si>
    <t>OPEL ZAFIRA MPV 1998-2005 СТ ПЕР ДВ ОП ЛВ ЗЛ</t>
  </si>
  <si>
    <t>6994532</t>
  </si>
  <si>
    <t>OPEL ZAFIRA MPV 1998-2005 СТ ЗАДН ДВ ОП ЛВ ЗЛ</t>
  </si>
  <si>
    <t>6995574</t>
  </si>
  <si>
    <t>OPEL ZAFIRA MPV 1998-2005 СТ БОК НЕП ЛВ ЗЛ</t>
  </si>
  <si>
    <t>6994216</t>
  </si>
  <si>
    <t>OPEL ZAFIRA MPV 1998-2005 БОК ПЕР НЕПОД ЛВЗЛ</t>
  </si>
  <si>
    <t>6995575</t>
  </si>
  <si>
    <t>OPEL ZAFIRA MPV 1998-2005 СТ ПЕР ДВ ОП ПР ЗЛ</t>
  </si>
  <si>
    <t>6994533</t>
  </si>
  <si>
    <t>OPEL ZAFIRA MPV 1998-2005 СТ ЗАДН ДВ ОП ПР ЗЛ</t>
  </si>
  <si>
    <t>6995576</t>
  </si>
  <si>
    <t>OPEL ZAFIRA MPV 1998-2005 СТ БОК НЕП ПР ЗЛ</t>
  </si>
  <si>
    <t>ZAFIRA 2005-</t>
  </si>
  <si>
    <t>6960649</t>
  </si>
  <si>
    <t>OPEL ZAFIRA 2005- СТ ВЕТР ТЕПЛООТРГЛ+VIN+УО+ДД</t>
  </si>
  <si>
    <t>6960634</t>
  </si>
  <si>
    <t>OPEL ZAFIRA 2005- СТ ВЕТР ТЕПЛООТРГЛ+VIN+УО</t>
  </si>
  <si>
    <t>6960633</t>
  </si>
  <si>
    <t>OPEL ZAFIRA 2005- СТ ВЕТР ЗЛ+ДД+VIN+УО</t>
  </si>
  <si>
    <t>6960650</t>
  </si>
  <si>
    <t>OPEL ZAFIRA 2005- СТ ВЕТР ЗЛ+VIN+УО</t>
  </si>
  <si>
    <t>6101721</t>
  </si>
  <si>
    <t>OPEL ZAFIRA 2005- МОЛД  ДЛЯ СТ ВЕТР</t>
  </si>
  <si>
    <t>6996554</t>
  </si>
  <si>
    <t>OPEL ZAFIRA МИН 2005-  СТ ЗАДН ТЗЛ</t>
  </si>
  <si>
    <t>6996555</t>
  </si>
  <si>
    <t>OPEL ZAFIRA МИН 2005-  СТ ЗАДН ЗЛ</t>
  </si>
  <si>
    <t>6997374</t>
  </si>
  <si>
    <t>OPEL ZAFIRA 2005-  СТ ЗАДН ДВ ОП ЛВ ТЗЛ+УО</t>
  </si>
  <si>
    <t>6997378</t>
  </si>
  <si>
    <t>OPEL ZAFIRA 2005-  СТ ФОРТ ЗАДН НЕП ЛВ ТЗЛ</t>
  </si>
  <si>
    <t>6997372</t>
  </si>
  <si>
    <t>OPEL ZAFIRA 2005-  СТ ПЕР ДВ ОП ЛВ ЗЛ+УО</t>
  </si>
  <si>
    <t>6992395</t>
  </si>
  <si>
    <t>OPEL ZAFIRA 2005-  БОК ПЕР НЕП ЛВ ЗЛ+ИНК</t>
  </si>
  <si>
    <t>6997651</t>
  </si>
  <si>
    <t>6997376</t>
  </si>
  <si>
    <t>OPEL ZAFIRA 2005-  СТ ЗАДН ДВ ОП ЛВ ЗЛ+УО</t>
  </si>
  <si>
    <t>6997384</t>
  </si>
  <si>
    <t>OPEL ZAFIRA 2005-  СТ ФОРТ ЗАДН НЕП ЛВ ЗЛ</t>
  </si>
  <si>
    <t>6997375</t>
  </si>
  <si>
    <t>OPEL ZAFIRA 2005-  СТ ЗАДН ДВ ОП ПР ТЗЛ+УО</t>
  </si>
  <si>
    <t>6997379</t>
  </si>
  <si>
    <t>OPEL ZAFIRA 2005-  СТ ФОРТ ЗАДН НЕП ПР ТЗЛ</t>
  </si>
  <si>
    <t>6997373</t>
  </si>
  <si>
    <t>OPEL ZAFIRA 2005-  СТ ПЕР ДВ ОП ПР ЗЛ+УО</t>
  </si>
  <si>
    <t>6992396</t>
  </si>
  <si>
    <t>OPEL ZAFIRA 2005-  БОК ПЕР НЕП ПР ЗЛ+ИНК</t>
  </si>
  <si>
    <t>6997650</t>
  </si>
  <si>
    <t>6997377</t>
  </si>
  <si>
    <t>OPEL ZAFIRA 2005-  СТ ЗАДН ДВ ОП ПР ЗЛ+УО</t>
  </si>
  <si>
    <t>6997385</t>
  </si>
  <si>
    <t>OPEL ZAFIRA 2005-  СТ ФОРТ ЗАДН НЕП ПР ЗЛ</t>
  </si>
  <si>
    <t>PEGASO</t>
  </si>
  <si>
    <t>TRONER 1987-</t>
  </si>
  <si>
    <t>6190214</t>
  </si>
  <si>
    <t>PEGASO TRONER 1987- СТ ПЕР ДВ ОП ЛВ БР/ DAF F95 1987-1997  СТ ПЕР ДВ ОП ЛВ БР</t>
  </si>
  <si>
    <t>PEUGEOT</t>
  </si>
  <si>
    <t>104 1973-1986</t>
  </si>
  <si>
    <t>6965402</t>
  </si>
  <si>
    <t>1973-1986</t>
  </si>
  <si>
    <t>PEUGEOT 104 1973-1986/CIT LN/TALB SAMBA+КБ СТ ВЕТ</t>
  </si>
  <si>
    <t>106 1991-</t>
  </si>
  <si>
    <t>6965807</t>
  </si>
  <si>
    <t>PEUGEOT 106 1991- СТ ВЕТР БР КР/CITROEN SAXO 3Д ХБ 1996-2004  СТ ВЕТР БР</t>
  </si>
  <si>
    <t>6950117</t>
  </si>
  <si>
    <t>PEUGEOT 106 08/1999-  СТ ВЕТР ТЕПЛООТР</t>
  </si>
  <si>
    <t>6965801</t>
  </si>
  <si>
    <t>PEUGEOT 106 1996-  СТ ВЕТР/CITROEN SAXO 3Д/5Д 08/1999-2004  СТ ВЕТР</t>
  </si>
  <si>
    <t>6961068</t>
  </si>
  <si>
    <t>PEUGEOT 106 08/1999 СТ ВЕТР/CITROEN SAXO 3Д ХБ 1996-2004  СТ ВЕТР</t>
  </si>
  <si>
    <t>6965915</t>
  </si>
  <si>
    <t>PEUGEOT 106 1996- СТ ВЕТР ЗЛ/CITROEN SAXO 3Д/5Д 08/1999-2004  СТ ВЕТР ЗЛ</t>
  </si>
  <si>
    <t>6963247</t>
  </si>
  <si>
    <t>PEUGEOT 106 1996-  СТ ВЕТР ЗЛГЛ/CITROEN SAXO 3Д ХБ 1996-2004  СТ ВЕТР ЗЛГЛ</t>
  </si>
  <si>
    <t>6961571</t>
  </si>
  <si>
    <t>PEUGEOT 106 08/1999- СТ ВЕТР ЗЛГЛ+КР</t>
  </si>
  <si>
    <t>6100176</t>
  </si>
  <si>
    <t>PEUGEOT 106 1991-  МОЛД  ДЛЯ СТ ВЕТР</t>
  </si>
  <si>
    <t>6997155</t>
  </si>
  <si>
    <t>PEUGEOT 106 ХБ 1991- СТ ЗАДН ОТВ</t>
  </si>
  <si>
    <t>6996548</t>
  </si>
  <si>
    <t>PEUGEOT 106 ХБ 1996- СТ ЗАДН+ИЗМ РАЗМ</t>
  </si>
  <si>
    <t>6996507</t>
  </si>
  <si>
    <t>PEUGEOT 106 ХБ 1995- СТ ЗАДН ЭО+ОТВ ИЗМ ШТЕКЕР</t>
  </si>
  <si>
    <t>6998171</t>
  </si>
  <si>
    <t>PEUGEOT 106 ХБ 1991- СТ ЗАДН ЗЛ ОТВ</t>
  </si>
  <si>
    <t>6996549</t>
  </si>
  <si>
    <t>PEUGEOT 106 ХБ 1996- СТ ЗАДН ЗЛ+ИЗМ РАЗМ</t>
  </si>
  <si>
    <t>6996508</t>
  </si>
  <si>
    <t>PEUGEOT 106 ХБ 1995- СТ ЗАДН ЭО ЗЛ+ОТВ ИЗМ ШТЕКЕР</t>
  </si>
  <si>
    <t>6100177</t>
  </si>
  <si>
    <t>PEUGEOT 106 1991-  МОЛД  ДЛЯ СТ ЗАДН</t>
  </si>
  <si>
    <t>6992671</t>
  </si>
  <si>
    <t>PEUGEOT 106 3Д 1991- СТ ПЕР ДВ ОП ЛВ БР</t>
  </si>
  <si>
    <t>6994542</t>
  </si>
  <si>
    <t>PEUGEOT 106 3Д 1991- СТ ПЕР ДВ ОП ЛВ</t>
  </si>
  <si>
    <t>6997160</t>
  </si>
  <si>
    <t>PEUGEOT 106 3Д XN/XR 1991- СТ БОК ЛВ</t>
  </si>
  <si>
    <t>6997202</t>
  </si>
  <si>
    <t>PEUGEOT 106 3Д XT/XSI 1991- СТ БОК ПОД ЛВ</t>
  </si>
  <si>
    <t>6994543</t>
  </si>
  <si>
    <t>PEUGEOT 106 5Д 1991- СТ ПЕР ДВ ОП ЛВ</t>
  </si>
  <si>
    <t>6999123</t>
  </si>
  <si>
    <t>PEUGEOT 106 5Д 1991- СТ ЗАДН ДВ ОП ЛВ</t>
  </si>
  <si>
    <t>6994544</t>
  </si>
  <si>
    <t>PEUGEOT 106 5Д 1991- СТ БОК НЕП ЛВ</t>
  </si>
  <si>
    <t>6994548</t>
  </si>
  <si>
    <t>PEUGEOT 106 3Д 1991- СТ ПЕР ДВ ОП ЛВ ЗЛ/CITROEN SAXO 3Д ХБ 1996-2004  СТ ПЕР ДВ ОП ЛВ ЗЛ</t>
  </si>
  <si>
    <t>6997502</t>
  </si>
  <si>
    <t>PEUGEOT 106 3Д XN/XR 1991- СТ БОК ЛВ ЗЛ</t>
  </si>
  <si>
    <t>6997204</t>
  </si>
  <si>
    <t>PEUGEOT 106 3Д XT/XSI 1991- СТ БОК ПОД ЛВ ЗЛ</t>
  </si>
  <si>
    <t>6994549</t>
  </si>
  <si>
    <t>PEUGEOT 106 5Д 1991- СТ ПЕР ДВ ОП ЛВ ЗЛ/CITROEN SAXO 5Д 1996-2004  СТ ПЕР ДВ ОП ЛВ ЗЛ</t>
  </si>
  <si>
    <t>6994550</t>
  </si>
  <si>
    <t>PEUGEOT 106 5Д 1991- СТ ЗАДН ДВ ОП ЛВ ЗЛ/CITROEN SAXO 5Д 1996-2004  СТ ЗАДН ДВ ОП ЛВ ЗЛ</t>
  </si>
  <si>
    <t>6994551</t>
  </si>
  <si>
    <t>PEUGEOT 106 5Д 1991- СТ БОК НЕП ЛВ ЗЛ/CITROEN SAXO 5Д 1996-2004  СТ ФОРТ ЗАДН НЕП ЛВ ЗЛ</t>
  </si>
  <si>
    <t>6994545</t>
  </si>
  <si>
    <t>PEUGEOT 106 3Д 1991- СТ ПЕР ДВ ОП ПР</t>
  </si>
  <si>
    <t>6997159</t>
  </si>
  <si>
    <t>PEUGEOT 106 3Д XN/XR 1991- СТ БОК ПР</t>
  </si>
  <si>
    <t>6997201</t>
  </si>
  <si>
    <t>PEUGEOT 106 3Д XT/XSI 1991- СТ БОК ПОД ПР</t>
  </si>
  <si>
    <t>6994546</t>
  </si>
  <si>
    <t>PEUGEOT 106 5Д 1991- СТ ПЕР ДВ ОП ПР</t>
  </si>
  <si>
    <t>6999124</t>
  </si>
  <si>
    <t>PEUGEOT 106 5Д 1991- СТ ЗАДН ДВ ОП ПР</t>
  </si>
  <si>
    <t>6994547</t>
  </si>
  <si>
    <t>PEUGEOT 106 5Д 1991- СТ БОК НЕП ПР</t>
  </si>
  <si>
    <t>6994552</t>
  </si>
  <si>
    <t>PEUGEOT 106 3Д 1991- СТ ПЕР ДВ ОП ПР ЗЛ/CITROEN SAXO 3Д ХБ 1996-2004  СТ ПЕР ДВ ОП ПР ЗЛ</t>
  </si>
  <si>
    <t>6997501</t>
  </si>
  <si>
    <t>PEUGEOT 106 3Д XN/XR 1991- СТ БОК ПР ЗЛ</t>
  </si>
  <si>
    <t>6997203</t>
  </si>
  <si>
    <t>PEUGEOT 106 3Д XT/XSI 1991- СТ БОК ПОД ПР ЗЛ</t>
  </si>
  <si>
    <t>6994553</t>
  </si>
  <si>
    <t>PEUGEOT 106 5Д 1991- СТ ПЕР ДВ ОП ПР ЗЛ/CITROEN SAXO 5Д 1996-2004  СТ ПЕР ДВ ОП ПР ЗЛ</t>
  </si>
  <si>
    <t>6994554</t>
  </si>
  <si>
    <t>PEUGEOT 106 5Д 1991- СТ ЗАДН ДВ ОП ПР ЗЛ/CITROEN SAXO 5Д 1996-2004  СТ ЗАДН ДВ ОП ПР ЗЛ</t>
  </si>
  <si>
    <t>6994555</t>
  </si>
  <si>
    <t>PEUGEOT 106 5Д 1991- СТ БОК НЕП ПР ЗЛ/CITROEN SAXO 5Д 1996-2004  СТ ФОРТ ЗАДН НЕП ПР ЗЛ</t>
  </si>
  <si>
    <t>107 2005-</t>
  </si>
  <si>
    <t>6960658</t>
  </si>
  <si>
    <t>PEUGEOT 107 CIT C1 TYT AYGO 2005- СТ ВЕТР ЗЛ/ CITROEN C1 2005-  СТ ВЕТР ЗЛ</t>
  </si>
  <si>
    <t>6992253</t>
  </si>
  <si>
    <t>PEUGEOT 107 CIT C1 ХБ 2005- СТ ПОД ЗАДН ЭО ЗЛ ОТКР/ CITROEN C1 2005-  СТ ЗАДН ЗЛ ОТКР</t>
  </si>
  <si>
    <t>6993023</t>
  </si>
  <si>
    <t>PEUGEOT 107 3Д 2005- СТ ПЕР ДВ ОП ЛВ ЗЛ/ CITROEN C1 3Д 2005-  СТ ПЕР ДВ ОП ЛВ ЗЛ</t>
  </si>
  <si>
    <t>6993160</t>
  </si>
  <si>
    <t>PEUGEOT 107 3Д 2005- СТ БОК ЛВ ЗЛ/ CITROEN C1 3Д 2005-  СТ БОК НЕП ЛВ ЗЛ</t>
  </si>
  <si>
    <t>6993025</t>
  </si>
  <si>
    <t>PEUGEOT 107 5Д 2005- СТ ПЕР ДВ ОП ЛВ ЗЛ/ CITROEN C1 5Д 2005-  СТ ПЕР ДВ ОП ЛВ ЗЛ</t>
  </si>
  <si>
    <t>6993029</t>
  </si>
  <si>
    <t>PEUGEOT 107 5Д 2005- СТ БОК ПОД ЛВ ЗЛ ОТКР+УО/ CITROEN C1 5Д 2005-  СТ ЗАДН ДВ ОП ЛВ ЗЛ ОТКР+УО</t>
  </si>
  <si>
    <t>6993022</t>
  </si>
  <si>
    <t>PEUGEOT 107 3Д 2005- СТ ПЕР ДВ ОП ПР ЗЛ/ CITROEN C1 3Д 2005-  СТ ПЕР ДВ ОП ПР ЗЛ</t>
  </si>
  <si>
    <t>6993162</t>
  </si>
  <si>
    <t>PEUGEOT 107 3Д 2005- СТ БОК ПР ЗЛ/ CITROEN C1 3Д 2005-  СТ БОК НЕП ПР ЗЛ</t>
  </si>
  <si>
    <t>6993024</t>
  </si>
  <si>
    <t>PEUGEOT 107 5Д 2005- СТ ПЕР ДВ ОП ПР ЗЛ/ CITROEN C1 5Д 2005-  СТ ПЕР ДВ ОП ПР ЗЛ</t>
  </si>
  <si>
    <t>6993027</t>
  </si>
  <si>
    <t>PEUGEOT 107 5Д 2005- СТ БОК ПОД ПР ЗЛ ОТКР+УО/ CITROEN C1 5Д 2005-  СТ ЗАДН ДВ ОП ПР ЗЛ ОТКР+УО</t>
  </si>
  <si>
    <t>205 1982-1996</t>
  </si>
  <si>
    <t>6965816</t>
  </si>
  <si>
    <t>1982-1996</t>
  </si>
  <si>
    <t>PEUGEOT 205 1982-1996 СТ ВЕТР БР КР</t>
  </si>
  <si>
    <t>6965828</t>
  </si>
  <si>
    <t>PEUGEOT 205 1982-1996 СТ ВЕТР БРГЛ КР</t>
  </si>
  <si>
    <t>6965814</t>
  </si>
  <si>
    <t>PEUGEOT 205 1982-1996 СТ ВЕТР КР</t>
  </si>
  <si>
    <t>6965821</t>
  </si>
  <si>
    <t>PEUGEOT 205 1982-1996 СТ ВЕТР ЗЛ КР</t>
  </si>
  <si>
    <t>6100172</t>
  </si>
  <si>
    <t>PEUGEOT 205 1982-1996 РЕЗ ПРОФ ДЛЯ СТ ВЕТР</t>
  </si>
  <si>
    <t>6997076</t>
  </si>
  <si>
    <t>PEUGEOT 205 ХБ 1982-1996  СТ ЗАДН</t>
  </si>
  <si>
    <t>6997035</t>
  </si>
  <si>
    <t>PEUGEOT 205 ХБ 1982-1996  СТ ЗАДН ЗЛ</t>
  </si>
  <si>
    <t>6997073</t>
  </si>
  <si>
    <t>PEUGEOT 205 3Д 1982-1996  СТ ПЕР ДВ ОП ЛВ</t>
  </si>
  <si>
    <t>6996853</t>
  </si>
  <si>
    <t>PEUGEOT 205 3Д 1982-1996  СТ БОК ЛВ</t>
  </si>
  <si>
    <t>6997135</t>
  </si>
  <si>
    <t>PEUGEOT 205 3Д 1982-1996  СТ БОК ПОД ЛВ+ОТКР+ШЕЛК</t>
  </si>
  <si>
    <t>6994536</t>
  </si>
  <si>
    <t>PEUGEOT 205 5Д 1982-1996  СТ ПЕР ДВ ОП ЛВ</t>
  </si>
  <si>
    <t>6994537</t>
  </si>
  <si>
    <t>PEUGEOT 205 5Д 1982-1996  СТ ЗАДН ДВ ОП ЛВ</t>
  </si>
  <si>
    <t>6996509</t>
  </si>
  <si>
    <t>PEUGEOT 205 5Д 1982-1996  СТ БОК НЕП ЛВ</t>
  </si>
  <si>
    <t>6996855</t>
  </si>
  <si>
    <t>PEUGEOT 205 3Д 1982-1996  СТ ПЕР ДВ ОП ЛВ ЗЛ</t>
  </si>
  <si>
    <t>6996857</t>
  </si>
  <si>
    <t>PEUGEOT 205 5Д 1982-1996  СТ ПЕР ДВ ОП ЛВ ЗЛ</t>
  </si>
  <si>
    <t>6997136</t>
  </si>
  <si>
    <t>PEUGEOT 205 3Д 1982-1996  СТ БОК ПР БР+ОТКР+ШЕЛК</t>
  </si>
  <si>
    <t>6996512</t>
  </si>
  <si>
    <t>PEUGEOT 205 5Д 1982-1996  СТ БОК НЕП ПР БР</t>
  </si>
  <si>
    <t>6997072</t>
  </si>
  <si>
    <t>PEUGEOT 205 3Д 1982-1996  СТ ПЕР ДВ ОП ПР</t>
  </si>
  <si>
    <t>6996854</t>
  </si>
  <si>
    <t>PEUGEOT 205 3Д 1982-1996  СТ БОК ПР</t>
  </si>
  <si>
    <t>6994538</t>
  </si>
  <si>
    <t>PEUGEOT 205 5Д 1982-1996  СТ ПЕР ДВ ОП ПР</t>
  </si>
  <si>
    <t>6994539</t>
  </si>
  <si>
    <t>PEUGEOT 205 5Д 1982-1996  СТ ЗАДН ДВ ОП ПР</t>
  </si>
  <si>
    <t>6996510</t>
  </si>
  <si>
    <t>PEUGEOT 205 5Д 1982-1996  СТ БОК НЕП ПР</t>
  </si>
  <si>
    <t>6996859</t>
  </si>
  <si>
    <t>PEUGEOT 205 3Д 1982-1996  СТ ПЕР ДВ ОП ПР ЗЛ</t>
  </si>
  <si>
    <t>6996861</t>
  </si>
  <si>
    <t>PEUGEOT 205 5Д 1982-1996  СТ ПЕР ДВ ОП ПР ЗЛ</t>
  </si>
  <si>
    <t>6995447</t>
  </si>
  <si>
    <t>PEUGEOT 205 5Д 1982-1996  СТ ЗАДН ДВ ОП ПР ЗЛ</t>
  </si>
  <si>
    <t>206 1998-</t>
  </si>
  <si>
    <t>6960456</t>
  </si>
  <si>
    <t>PEUGEOT 206 2000- СТ ВЕТР ТЕПЛООТР+ДД+VIN</t>
  </si>
  <si>
    <t>6965951</t>
  </si>
  <si>
    <t>PEUGEOT 206 2001- СТ ВЕТР ТЕПЛООТР+ДД СВД+VIN</t>
  </si>
  <si>
    <t>6965952</t>
  </si>
  <si>
    <t>PEUGEOT 206 1998- СТ ВЕТР ТЕПЛООТР+VIN</t>
  </si>
  <si>
    <t>6960455</t>
  </si>
  <si>
    <t>PEUGEOT 206 1998- СТ ВЕТР ЗЛ+ДД+VIN</t>
  </si>
  <si>
    <t>6965841</t>
  </si>
  <si>
    <t>PEUGEOT 206 2001- СТ ВЕТР ЗЛ+ДД LIGHT+VIN</t>
  </si>
  <si>
    <t>6965840</t>
  </si>
  <si>
    <t>PEUGEOT 206 1998- СТ ВЕТР ЗЛ+VIN</t>
  </si>
  <si>
    <t>6100181</t>
  </si>
  <si>
    <t>PEUGEOT 206 1998-  МОЛД  ДЛЯ СТ ВЕТР ВЕРХ</t>
  </si>
  <si>
    <t>6998792</t>
  </si>
  <si>
    <t>PEUGEOT 206 ХБ 1998- СТ ЗАДН ЭО ЗЛ</t>
  </si>
  <si>
    <t>6994570</t>
  </si>
  <si>
    <t>PEUGEOT 206 3Д 1998- СТ ПЕР ДВ ОП ЛВ ЗЛ+2ОТВ</t>
  </si>
  <si>
    <t>6994571</t>
  </si>
  <si>
    <t>PEUGEOT 206 3Д 1998- СТ БОК ПОД ЛВ ЗЛ</t>
  </si>
  <si>
    <t>6994572</t>
  </si>
  <si>
    <t>PEUGEOT 206 5Д 1998- СТ ПЕР ДВ ОП ЛВ ЗЛ+2ОТВ</t>
  </si>
  <si>
    <t>6994573</t>
  </si>
  <si>
    <t>PEUGEOT 206 5Д 1998- СТ ЗАДН ДВ ОП ЛВ ЗЛ+1ОТВ</t>
  </si>
  <si>
    <t>6994574</t>
  </si>
  <si>
    <t>PEUGEOT 206 3Д 1998- СТ ПЕР ДВ ОП ПР ЗЛ+2ОТВ</t>
  </si>
  <si>
    <t>6994575</t>
  </si>
  <si>
    <t>PEUGEOT 206 3Д 1998- СТ БОК ПОД ПР ЗЛ</t>
  </si>
  <si>
    <t>6994576</t>
  </si>
  <si>
    <t>PEUGEOT 206 5Д 1998- СТ ПЕР ДВ ОП ПР ЗЛ+2ОТВ</t>
  </si>
  <si>
    <t>6994577</t>
  </si>
  <si>
    <t>PEUGEOT 206 5Д 1998- СТ ЗАДН ДВ ОП ПР ЗЛ+1ОТВ</t>
  </si>
  <si>
    <t>206 COUPE 2000-</t>
  </si>
  <si>
    <t>6960389</t>
  </si>
  <si>
    <t>PEUGEOT 206 CC 2001- СТ ВЕТР ТЕПЛООТР +ИЗМ+VIN+ДД</t>
  </si>
  <si>
    <t>6960154</t>
  </si>
  <si>
    <t>PEUGEOT 206 CC 2000- СТ ВЕТР ТЕПЛООТР+VIN</t>
  </si>
  <si>
    <t>6960163</t>
  </si>
  <si>
    <t>PEUGEOT 206 CC 2001- СТ ВЕТР ЗЛ + ИЗМ ДД+VIN</t>
  </si>
  <si>
    <t>6960155</t>
  </si>
  <si>
    <t>PEUGEOT 206 CC 2000- СТ ВЕТР ЗЛ+VIN</t>
  </si>
  <si>
    <t>6990401</t>
  </si>
  <si>
    <t>PEUGEOT 206 CC КБ 2000- СТ ЗАДН ЗЛ</t>
  </si>
  <si>
    <t>6990404</t>
  </si>
  <si>
    <t>PEUGEOT 206 CC 2000- СТ ПЕР ДВ ОП ЛВ ЗЛ</t>
  </si>
  <si>
    <t>6990302</t>
  </si>
  <si>
    <t>PEUGEOT 206 CC 2000- СТ БОК ПОД ЛВ ЗЛ+ФИТ</t>
  </si>
  <si>
    <t>6990403</t>
  </si>
  <si>
    <t>PEUGEOT 206 CC 2000- СТ ПЕР ДВ ОП ПР ЗЛ</t>
  </si>
  <si>
    <t>6990286</t>
  </si>
  <si>
    <t>PEUGEOT 206 CC 2000- СТ БОК ПОД ПР ЗЛ+ФИТ</t>
  </si>
  <si>
    <t>207 2006-</t>
  </si>
  <si>
    <t>6960638</t>
  </si>
  <si>
    <t>PEUGEOT 207 + 2006-  СТ ВЕТР ТЕПЛООТР+ДД+VIN+ИНК</t>
  </si>
  <si>
    <t>6960637</t>
  </si>
  <si>
    <t>PEUGEOT 207 + 2006-  СТ ВЕТР ТЕПЛООТР+VIN+ИНК</t>
  </si>
  <si>
    <t>6962751</t>
  </si>
  <si>
    <t>PEUGEOT 3Д+5Д 207 2006-  СТ ВЕТР ЗЛ+ДД+VIN+ИНК+ИЗМ ШЕЛК</t>
  </si>
  <si>
    <t>6960635</t>
  </si>
  <si>
    <t>PEUGEOT 3Д+5Д 207 2006-  СТ ВЕТР ЗЛ+VIN+ИНК</t>
  </si>
  <si>
    <t>6996478</t>
  </si>
  <si>
    <t>PEUGEOT 207 ХБ 2006- СТ ЗАДН ДВ ЗЛ+АНТ</t>
  </si>
  <si>
    <t>6997386</t>
  </si>
  <si>
    <t>PEUGEOT 207 3Д 2006-  СТ ПЕР ДВ ОП ЛВ ЗЛ</t>
  </si>
  <si>
    <t>6992330</t>
  </si>
  <si>
    <t>PEUGEOT 207 3Д 2006-  СТ БОК НЕП ЛВ ЗЛ ОТКР+УО</t>
  </si>
  <si>
    <t>6997387</t>
  </si>
  <si>
    <t>PEUGEOT 207 5Д 2006-  СТ ПЕР ДВ ОП ЛВ ЗЛ</t>
  </si>
  <si>
    <t>6997390</t>
  </si>
  <si>
    <t>PEUGEOT 207 5Д 2006-  СТ ЗАДН ДВ ОП ЛВ ЗЛ</t>
  </si>
  <si>
    <t>6997389</t>
  </si>
  <si>
    <t>PEUGEOT 207 3Д 2006-  СТ ПЕР ДВ ОП ПР ЗЛ</t>
  </si>
  <si>
    <t>6992331</t>
  </si>
  <si>
    <t>PEUGEOT 207 3Д 2006-  СТ БОК НЕП ПР ЗЛ ОТКР+УО</t>
  </si>
  <si>
    <t>6997388</t>
  </si>
  <si>
    <t>PEUGEOT 207 5Д 2006-  СТ ПЕР ДВ ОП ПР ЗЛ</t>
  </si>
  <si>
    <t>6997391</t>
  </si>
  <si>
    <t>PEUGEOT 207 5Д 2006-  СТ ЗАДН ДВ ОП ПР ЗЛ</t>
  </si>
  <si>
    <t>207 CC 2007-</t>
  </si>
  <si>
    <t>6962662</t>
  </si>
  <si>
    <t>PEUGEOT 207 CC 2007- СТ ВЕТР ЗЛ+АНТ+ДД+VIN+ИНК</t>
  </si>
  <si>
    <t>6962663</t>
  </si>
  <si>
    <t>PEUGEOT 207 CC 2007- СТ ВЕТР ЗЛ+АНТ+VIN+ИНК</t>
  </si>
  <si>
    <t>6962467</t>
  </si>
  <si>
    <t>PEUGEOT 207 CC 2007- СТ ВЕТР ЗЛ+ДД+VIN+ИНК</t>
  </si>
  <si>
    <t>6962664</t>
  </si>
  <si>
    <t>PEUGEOT 207 CC 2007- СТ ВЕТР ЗЛ+VIN+ИНК</t>
  </si>
  <si>
    <t>208 2011-</t>
  </si>
  <si>
    <t>6965782</t>
  </si>
  <si>
    <t>PEUGEOT 208 2011-СТ ВЕТР ЗЛАК+ДД+VIN+ИНК</t>
  </si>
  <si>
    <t>305 1977-1985</t>
  </si>
  <si>
    <t>6965811</t>
  </si>
  <si>
    <t>1977-1985</t>
  </si>
  <si>
    <t>PEUGEOT 305 СД+УН 1977-1985 СТ ВЕТР КР</t>
  </si>
  <si>
    <t>306 1992-2001</t>
  </si>
  <si>
    <t>6960824</t>
  </si>
  <si>
    <t>PEUGEOT 306 1997-2001 СТ ВЕТР ТЕПЛООТР ДД</t>
  </si>
  <si>
    <t>6965823</t>
  </si>
  <si>
    <t>PEUGEOT 306 1992-2001 СТ ВЕТР</t>
  </si>
  <si>
    <t>6965825</t>
  </si>
  <si>
    <t>PEUGEOT 306 1992-2001 СТ ВЕТР ЗЛ</t>
  </si>
  <si>
    <t>6963248</t>
  </si>
  <si>
    <t>PEUGEOT 306 1992-2001 СТ ВЕТР ЗЛГЛ</t>
  </si>
  <si>
    <t>6963759</t>
  </si>
  <si>
    <t>PEUGEOT 306 1992-2001 СТ ВЕТР ЗЛЗЛ</t>
  </si>
  <si>
    <t>6963321</t>
  </si>
  <si>
    <t>PEUGEOT 306 1997-2001 СТ ВЕТР ЗЛ+ИЗМ КР+ДД</t>
  </si>
  <si>
    <t>6100178</t>
  </si>
  <si>
    <t>PEUGEOT 306 1993-2002 УСТ КОМПЛ ДЛЯ СТ ВЕТР ДЛЯ СТ ВЕТР</t>
  </si>
  <si>
    <t>6100464</t>
  </si>
  <si>
    <t>PEUGEOT 306 1992-2002  ВНУТР МОЛД ДЛЯ СТ ВЕТР</t>
  </si>
  <si>
    <t>6100379</t>
  </si>
  <si>
    <t>PEUGEOT 306 1992-2002  МОЛД  ДЛЯ СТ ВЕТР</t>
  </si>
  <si>
    <t>6997027</t>
  </si>
  <si>
    <t>PEUGEOT 306 ХБ 1992-2001 СТ ЗАДН ОТВ</t>
  </si>
  <si>
    <t>6997028</t>
  </si>
  <si>
    <t>PEUGEOT 306 ХБ 1992-2001 СТ ЗАДН ЗЛ ОТВ</t>
  </si>
  <si>
    <t>6996505</t>
  </si>
  <si>
    <t>PEUGEOT 306 4Д СД 1994-2001 СТ ЗАДН ЭО ЗЛ</t>
  </si>
  <si>
    <t>6996506</t>
  </si>
  <si>
    <t>PEUGEOT 306 4Д СД 1994-2001 СТ ЗАДН ЗЛ ОТВ</t>
  </si>
  <si>
    <t>6997029</t>
  </si>
  <si>
    <t>PEUGEOT 306 4Д СД 1997-2001  СТ ЗАДН ЗЛ ОТВ</t>
  </si>
  <si>
    <t>6995825</t>
  </si>
  <si>
    <t>PEUGEOT 306 3Д 1992-2001 СТ ПЕР ДВ ОП ЛВ</t>
  </si>
  <si>
    <t>6997206</t>
  </si>
  <si>
    <t>PEUGEOT 306 5Д 1992-2001 /УН 1997-2001 СТ ПЕР ДВ ОП ЛВ</t>
  </si>
  <si>
    <t>6994556</t>
  </si>
  <si>
    <t>PEUGEOT 306 5Д 1992-2001 /УН 1997-2001 СТ ЗАДН ДВ ОП ЛВ</t>
  </si>
  <si>
    <t>6994557</t>
  </si>
  <si>
    <t>PEUGEOT 306 5Д 1992-2001 СТ БОК НЕП ЛВ</t>
  </si>
  <si>
    <t>6993272</t>
  </si>
  <si>
    <t>PEUGEOT 306 5Д 1992-2001/УН 1997-2001 СТ БОК НЕД ЛВ ЗЛ</t>
  </si>
  <si>
    <t>6994560</t>
  </si>
  <si>
    <t>PEUGEOT 306 3Д 1992-2001 СТ ПЕР ДВ ОП ЛВ ЗЛ</t>
  </si>
  <si>
    <t>6995452</t>
  </si>
  <si>
    <t>PEUGEOT 306 3Д 1992-2001 СТ БОК ПОД ЛВ ЗЛ</t>
  </si>
  <si>
    <t>6997431</t>
  </si>
  <si>
    <t>PEUGEOT 306 5Д 1992-2001 УН 1997-2001 СТ ПЕР ДВ ОП ЛВ ЗЛ</t>
  </si>
  <si>
    <t>6994561</t>
  </si>
  <si>
    <t>PEUGEOT 306 5Д 1992-2001 УН 1997-2001 СТ ЗАДН ДВ ОП ЛВ ЗЛ</t>
  </si>
  <si>
    <t>6994562</t>
  </si>
  <si>
    <t>PEUGEOT 306 1992-2001 СТ БОК НЕП ЛВ ЗЛ</t>
  </si>
  <si>
    <t>6995826</t>
  </si>
  <si>
    <t>PEUGEOT 306 3Д 1992-2001  СТ ПЕР ДВ ОП ПР</t>
  </si>
  <si>
    <t>6997205</t>
  </si>
  <si>
    <t>PEUGEOT 306 5Д 1992-2001 /УН 1997-2001 СТ ПЕР ДВ ОП ПР</t>
  </si>
  <si>
    <t>6994559</t>
  </si>
  <si>
    <t>PEUGEOT 306 1992-2001  СТ БОК НЕП ПР</t>
  </si>
  <si>
    <t>6993273</t>
  </si>
  <si>
    <t>PEUGEOT 306 5Д 1992-2001/УН 1997-2001 СТ БОЕ НЕП ПР ЗЛ</t>
  </si>
  <si>
    <t>6994563</t>
  </si>
  <si>
    <t>PEUGEOT 306 3Д 1992-2001  СТ ПЕР ДВ ОП ПР ЗЛ</t>
  </si>
  <si>
    <t>6995453</t>
  </si>
  <si>
    <t>PEUGEOT 306 3Д 1992-2001  СТ БОК ПОД ПР ЗЛ</t>
  </si>
  <si>
    <t>6997432</t>
  </si>
  <si>
    <t>PEUGEOT 306 5Д 1992-2001 УН 1997-2001 СТ ПЕР ДВ ОП ПР ЗЛ</t>
  </si>
  <si>
    <t>6994564</t>
  </si>
  <si>
    <t>PEUGEOT 306 5Д 1992-2001 УН 1997-2001 СТ ЗАДН ДВ ОП ПР ЗЛ</t>
  </si>
  <si>
    <t>6994565</t>
  </si>
  <si>
    <t>PEUGEOT 306 1992-2001  СТ БОК НЕП ПР ЗЛ</t>
  </si>
  <si>
    <t>306 КБ 1994-</t>
  </si>
  <si>
    <t>6963322</t>
  </si>
  <si>
    <t>PEUGEOT 306 КБ 1994-  СТ ВЕТР ЗЛ</t>
  </si>
  <si>
    <t>307 3Д/5Д/УН 2001-2008</t>
  </si>
  <si>
    <t>6960984</t>
  </si>
  <si>
    <t>PEUGEOT 307 2001-2008 СТ ВЕТР ТЕПЛООТР+ДД+VIN+ИНК</t>
  </si>
  <si>
    <t>6962667</t>
  </si>
  <si>
    <t>PEUGEOT 307 05/2003-2008  СТ ВЕТР ТЕПЛООТР+ДД+VIN+ИНК</t>
  </si>
  <si>
    <t>6961077</t>
  </si>
  <si>
    <t>PEUGEOT 307 2001-2008  СТ ВЕТР ТЕПЛООТР+VIN+ИНК</t>
  </si>
  <si>
    <t>6961079</t>
  </si>
  <si>
    <t>PEUGEOT 307 03/2003-2008 СТ ВЕТР БЦ+ДД+ИНК+ИЗМ+VIN</t>
  </si>
  <si>
    <t>6963124</t>
  </si>
  <si>
    <t>PEUGEOT 307 2001-2008 СТ ВЕТР ЗЛ +ДД+ИНК+VIN</t>
  </si>
  <si>
    <t>6963006</t>
  </si>
  <si>
    <t>PEUGEOT 307 03/2003-2008 СТ ВЕТР ЗЛ+ДД+ИНК+VIN+ИЗМ КР</t>
  </si>
  <si>
    <t>6962025</t>
  </si>
  <si>
    <t>PEUGEOT 307 2001-2008  СТ ВЕТР ЗЛ+VIN+ИНК</t>
  </si>
  <si>
    <t>6991774</t>
  </si>
  <si>
    <t>PEUGEOT 307 УН 2001-2008 СТ ЗАДН ТЗЛ</t>
  </si>
  <si>
    <t>6991773</t>
  </si>
  <si>
    <t>PEUGEOT 307 УН 2001-2008 СТ ЗАДН ЗЛ</t>
  </si>
  <si>
    <t>6992408</t>
  </si>
  <si>
    <t>PEUGEOT 307 ХБ 2001-2008  СТ ЗАДН ДВ ЗЛ+1ОТВ</t>
  </si>
  <si>
    <t>6991637</t>
  </si>
  <si>
    <t>PEUGEOT 307 УН 2001-2008 СТ ЗАДН ДВ ОП ЛВ ТЗЛ</t>
  </si>
  <si>
    <t>6991803</t>
  </si>
  <si>
    <t>PEUGEOT 307 УН 2001-2008 СТ БОК ЛВ ТЗЛ+УО</t>
  </si>
  <si>
    <t>6991830</t>
  </si>
  <si>
    <t>PEUGEOT 307 УН 2001-2008 СТ ЗАДН ДВ ОП ЛВ ЗЛ</t>
  </si>
  <si>
    <t>6991804</t>
  </si>
  <si>
    <t>PEUGEOT 307 УН 2001-2008  СТ БОК ЛВ ЗЛ+УО</t>
  </si>
  <si>
    <t>6980118</t>
  </si>
  <si>
    <t>PEUGEOT 307 ХБ 3Д 2001-2008  СТ ПЕР ДВ ОП ЛВ ЗЛ</t>
  </si>
  <si>
    <t>6980120</t>
  </si>
  <si>
    <t>PEUGEOT 307 ХБ 3Д 2001-2008  СТ БОК НЕП ЛВ ЗЛ+ИНК</t>
  </si>
  <si>
    <t>6990914</t>
  </si>
  <si>
    <t>PEUGEOT 307 ХБ 5Д/УН 2001-2008 СТ ПЕР ДВ ОП ЛВ ЗЛ</t>
  </si>
  <si>
    <t>6990916</t>
  </si>
  <si>
    <t>PEUGEOT 307 ХБ 5Д 2001-2008 СТ ЗАДН ДВ ОП ЛВ ЗЛ</t>
  </si>
  <si>
    <t>6991085</t>
  </si>
  <si>
    <t>PEUGEOT 307 УН 2001-2008 СТ ЗАДН ДВ ОП ПР ТЗЛ</t>
  </si>
  <si>
    <t>6991084</t>
  </si>
  <si>
    <t>PEUGEOT 307 УН 2001-2008 СТ БОК ПР ТЗЛ+УО</t>
  </si>
  <si>
    <t>6991831</t>
  </si>
  <si>
    <t>PEUGEOT 307 УН 2001-2008 СТ ЗАДН ДВ ОП ПР ЗЛ</t>
  </si>
  <si>
    <t>6991805</t>
  </si>
  <si>
    <t>PEUGEOT 307 УН 2001-2008 СТ БОК ПР ЗЛ+УО</t>
  </si>
  <si>
    <t>6980119</t>
  </si>
  <si>
    <t>PEUGEOT 307 ХБ 3Д 2001-2008  СТ ПЕР ДВ ОП ПР ЗЛ</t>
  </si>
  <si>
    <t>6980121</t>
  </si>
  <si>
    <t>PEUGEOT 307 ХБ 3Д 2001-2008  СТ БОК НЕП ПР ЗЛ+ИНК</t>
  </si>
  <si>
    <t>6990913</t>
  </si>
  <si>
    <t>PEUGEOT 307 ХБ 5Д/УН 2001-2008 СТ ПЕР ДВ ОП ПР ЗЛ</t>
  </si>
  <si>
    <t>6990915</t>
  </si>
  <si>
    <t>PEUGEOT 307 ХБ 5Д 2001-2008 СТ ЗАДН ДВ ОП ПР ЗЛ</t>
  </si>
  <si>
    <t>307 КБ 2003-</t>
  </si>
  <si>
    <t>6960762</t>
  </si>
  <si>
    <t>PEUGEOT 307 КБ 2003- СТ ВЕТР ЗЛТЗЛ+ДД+VIN+ИНК</t>
  </si>
  <si>
    <t>6960262</t>
  </si>
  <si>
    <t>PEUGEOT 307 КБ 2003- СТ ВЕТР ЗЛТЗЛ+VIN+ИНК</t>
  </si>
  <si>
    <t>6990924</t>
  </si>
  <si>
    <t>PEUGEOT 307 КБ 2003- СТ ПЕР ДВ ОП ЛВ ЗЛ</t>
  </si>
  <si>
    <t>6991023</t>
  </si>
  <si>
    <t>PEUGEOT 307 КБ 2003- СТ БОК ПОД ЛВ ЗЛ+УО</t>
  </si>
  <si>
    <t>6990579</t>
  </si>
  <si>
    <t>PEUGEOT 307 КБ 2003- СТ ПЕР ДВ ОП ПР ЗЛ</t>
  </si>
  <si>
    <t>6990932</t>
  </si>
  <si>
    <t>PEUGEOT 307 КБ 2003- СТ БОК ПОД ПР ЗЛ+УО</t>
  </si>
  <si>
    <t>308 3Д ХБ 2007-</t>
  </si>
  <si>
    <t>6961274</t>
  </si>
  <si>
    <t>PEUGEOT 308 ХБ 2007-  СТ ВЕТР ТЕПЛООТР+ДД+VIN+УО</t>
  </si>
  <si>
    <t>6963091</t>
  </si>
  <si>
    <t>PEUGEOT 308 ХБ 2007-  СТ ВЕТР ЗЛ+АКУСТИК+ДД+VIN+УО</t>
  </si>
  <si>
    <t>6961273</t>
  </si>
  <si>
    <t>PEUGEOT 308 3Д ХБ 2007-  СТ ВЕТР ЗЛ+VIN+УО</t>
  </si>
  <si>
    <t>6997536</t>
  </si>
  <si>
    <t>PEUGEOT 308 УН 2007- СТ ЗАДН ЗЛ+АНТ+УО</t>
  </si>
  <si>
    <t>6994718</t>
  </si>
  <si>
    <t>PEUGEOT 308 УН 2007- СТ ЗАДН ЗЛ +УО+ОТКР</t>
  </si>
  <si>
    <t>6996143</t>
  </si>
  <si>
    <t>PEUGEOT 308 5Д УН 2007- СТ ЗАДН ДВ ЗЛ+АНТ+УО</t>
  </si>
  <si>
    <t>6900588</t>
  </si>
  <si>
    <t>PEUGEOT 308 3Д/5Д ХБ 2007- СТ ЗАДН ЗЛ+УО+АНТ</t>
  </si>
  <si>
    <t>6900589</t>
  </si>
  <si>
    <t>PEUGEOT 308 3Д/5Д ХБ 2007- СТ ЗАДН ЗЛ+УО</t>
  </si>
  <si>
    <t>6994951</t>
  </si>
  <si>
    <t>PEUGEOT 308 5Д УН 2007-СТ ЗАДН ДВ ОП ЛВ ЗЛ</t>
  </si>
  <si>
    <t>6994725</t>
  </si>
  <si>
    <t>PEUGEOT 308 5Д УН 2007- СТ БОК ЗАДН НЕП ЛВ ЗЛ</t>
  </si>
  <si>
    <t>6900642</t>
  </si>
  <si>
    <t>PEUGEOT 308 3Д ХБ 2007- СТ ПЕР ДВ ОП ЛВ ЗЛ</t>
  </si>
  <si>
    <t>6900643</t>
  </si>
  <si>
    <t>PEUGEOT 308 5Д ХБ 2007- СТ ПЕР ДВ ОП ЛВ ЗЛ</t>
  </si>
  <si>
    <t>6900644</t>
  </si>
  <si>
    <t>PEUGEOT 308 3Д ХБ 2007- СТ ЗАДН ДВ ОП ЛВ ЗЛ</t>
  </si>
  <si>
    <t>6994947</t>
  </si>
  <si>
    <t>PEUGEOT 308 УН 2007- СТ ЗАДН ОП ЛВ ЗЛ</t>
  </si>
  <si>
    <t>6994946</t>
  </si>
  <si>
    <t>PEUGEOT 308 5Д УН 2007- СТ ЗАДН ДВ ОП ПР ЗЛ PR</t>
  </si>
  <si>
    <t>6994950</t>
  </si>
  <si>
    <t>PEUGEOT 308 5Д УН 2007- СТ ЗАДН ДВ ОП ПР ЗЛ SOL</t>
  </si>
  <si>
    <t>6994724</t>
  </si>
  <si>
    <t>PEUGEOT 308 5Д УН 2007- СТ БОК ЗАДН НЕП ПР ЗЛ</t>
  </si>
  <si>
    <t>6900645</t>
  </si>
  <si>
    <t>PEUGEOT 308 3Д ХБ 2007- СТ ПЕР ДВ ОП ПР ЗЛ</t>
  </si>
  <si>
    <t>6900865</t>
  </si>
  <si>
    <t>PEUGEOT 308 5Д ХБ 2007- СТПЕР ДВ ОП ПР ЗЛ</t>
  </si>
  <si>
    <t>6963104</t>
  </si>
  <si>
    <t>PEUGEOT 308 5Д ХБ 2007- СТ ПЕР ДВ ОП ПР ЗЛ+ТРИПЛ+УО</t>
  </si>
  <si>
    <t>6900646</t>
  </si>
  <si>
    <t>PEUGEOT 308 3Д ХБ 2007- СТ ЗАДН ДВ ОП ПР ЗЛ</t>
  </si>
  <si>
    <t>6901913</t>
  </si>
  <si>
    <t>PEUGEOT 308 2007 4D- СТ ЗАДН ДВ ОП ПР ЗЛ</t>
  </si>
  <si>
    <t>6901914</t>
  </si>
  <si>
    <t>PEUGEOT 308 2007 4D- СТ ЗАДН ДВ ОП ЛВ ЗЛ</t>
  </si>
  <si>
    <t>6901915</t>
  </si>
  <si>
    <t>PEUGEOT 308 2007 4D- СТ ПЕР ДВ ОП ПР ЗЛ</t>
  </si>
  <si>
    <t>6901916</t>
  </si>
  <si>
    <t>PEUGEOT 308 2007 4D- СТ ПЕР ДВ ОП ЛВ ЗЛ</t>
  </si>
  <si>
    <t>309 1985-1993</t>
  </si>
  <si>
    <t>6965820</t>
  </si>
  <si>
    <t>PEUGEOT 309 1985-1993 СТ ВЕТР БР КР</t>
  </si>
  <si>
    <t>6965830</t>
  </si>
  <si>
    <t>PEUGEOT 309 1985-1993 СТ ВЕТР БРГЛ</t>
  </si>
  <si>
    <t>6965818</t>
  </si>
  <si>
    <t>PEUGEOT 309 1985-1993 СТ ВЕТР КР</t>
  </si>
  <si>
    <t>6100303</t>
  </si>
  <si>
    <t>PEUGEOT 309 1985-1993 РЕЗ ПРОФ ДЛЯ СТ ВЕТР</t>
  </si>
  <si>
    <t>6997051</t>
  </si>
  <si>
    <t>PEUGEOT 309 3Д 1985-1993 СТ БОК НЕП ЛВ+УО</t>
  </si>
  <si>
    <t>405 1987-1995</t>
  </si>
  <si>
    <t>6965800</t>
  </si>
  <si>
    <t>PEUGEOT 405 1987-1995  СТ ВЕТР БР КР</t>
  </si>
  <si>
    <t>6965832</t>
  </si>
  <si>
    <t>PEUGEOT 405 1987-1995  СТ ВЕТР БРГЛ</t>
  </si>
  <si>
    <t>6965804</t>
  </si>
  <si>
    <t>PEUGEOT 405 1987-1995  СТ ВЕТР КР</t>
  </si>
  <si>
    <t>6965831</t>
  </si>
  <si>
    <t>PEUGEOT 405 1987-1995  СТ ВЕТР ЗЛ</t>
  </si>
  <si>
    <t>6965819</t>
  </si>
  <si>
    <t>PEUGEOT 405 1987-1995  СТ ВЕТР ЗЛЗЛ КР</t>
  </si>
  <si>
    <t>6100174</t>
  </si>
  <si>
    <t>PEUGEOT 405 СД 1987-1995  МОЛД  ДЛЯ СТ ВЕТР</t>
  </si>
  <si>
    <t>6997108</t>
  </si>
  <si>
    <t>PEUGEOT 405 УН 1987-1995  СТ ЗАДН ЭО</t>
  </si>
  <si>
    <t>6997082</t>
  </si>
  <si>
    <t>PEUGEOT 405 СД 1987-1995  СТ ЗАДН</t>
  </si>
  <si>
    <t>6997109</t>
  </si>
  <si>
    <t>PEUGEOT 405 УН 1987-1995  СТ ЗАДН ЭО ЗЛ</t>
  </si>
  <si>
    <t>6997103</t>
  </si>
  <si>
    <t>PEUGEOT 405 СД 1987-1995  СТ ЗАДН ЗЛ</t>
  </si>
  <si>
    <t>6100175</t>
  </si>
  <si>
    <t>PEUGEOT 405 СД 1987-1995  МОЛД  ДЛЯ СТ ЗАДН</t>
  </si>
  <si>
    <t>6996863</t>
  </si>
  <si>
    <t>PEUGEOT 405 СД+УН 1987-1995  СТ ПЕР ДВ ОП ЛВ БР</t>
  </si>
  <si>
    <t>6996517</t>
  </si>
  <si>
    <t>PEUGEOT 405 СД 1987-1995  СТ БОК НЕП ЛВ БР</t>
  </si>
  <si>
    <t>6996519</t>
  </si>
  <si>
    <t>PEUGEOT 405 УН 1987-1995  СТ ФОРТ ЗАДН НЕП ЛВ</t>
  </si>
  <si>
    <t>6997506</t>
  </si>
  <si>
    <t>PEUGEOT 405 СД+УН 1987-1995  СТ ПЕР ДВ ОП ЛВ</t>
  </si>
  <si>
    <t>6995448</t>
  </si>
  <si>
    <t>PEUGEOT 405 СД 1987-1995  СТ ЗАДН ДВ ОП ЛВ</t>
  </si>
  <si>
    <t>6996513</t>
  </si>
  <si>
    <t>PEUGEOT 405 СД 1987-1995  СТ БОК НЕП ЛВ</t>
  </si>
  <si>
    <t>6996865</t>
  </si>
  <si>
    <t>PEUGEOT 405 УН 1987-1995  СТ ЗАДН ДВ ОП ЛВ ЗЛ</t>
  </si>
  <si>
    <t>6997114</t>
  </si>
  <si>
    <t>PEUGEOT 405 УН 1987-1995  СТ БОК ЛВ ЗЛ</t>
  </si>
  <si>
    <t>6996521</t>
  </si>
  <si>
    <t>PEUGEOT 405 УН 1987-1995  СТ ФОРТ ЗАДН НЕП ЛВ ЗЛ</t>
  </si>
  <si>
    <t>6997508</t>
  </si>
  <si>
    <t>PEUGEOT 405 СД+УН 1987-1995 СТ ПЕР ДВ ОП ЛВ ЗЛ</t>
  </si>
  <si>
    <t>6996866</t>
  </si>
  <si>
    <t>PEUGEOT 405 СД 1987-1995  СТ ЗАДН ДВ ОП ЛВ ЗЛ</t>
  </si>
  <si>
    <t>6996515</t>
  </si>
  <si>
    <t>PEUGEOT 405 СД 1987-1995 СТ БОК НЕП ЛВ ЗЛ</t>
  </si>
  <si>
    <t>6996524</t>
  </si>
  <si>
    <t>PEUGEOT 405 УН 1987-1995  СТ ФОРТ ЗАДН НЕП ПР БР</t>
  </si>
  <si>
    <t>6996864</t>
  </si>
  <si>
    <t>PEUGEOT 405 СД+УН 1987-1995  СТ ПЕР ДВ ОП ПР БР</t>
  </si>
  <si>
    <t>6996518</t>
  </si>
  <si>
    <t>PEUGEOT 405 СД 1987-1995 СТ БОК НЕП ПР БР</t>
  </si>
  <si>
    <t>6996520</t>
  </si>
  <si>
    <t>PEUGEOT 405 УН 1987-1995  СТ ФОРТ ЗАДН НЕП ПР</t>
  </si>
  <si>
    <t>6997507</t>
  </si>
  <si>
    <t>PEUGEOT 405 СД+УН 1987-1995 СТ ПЕР ДВ ОП ПР</t>
  </si>
  <si>
    <t>6995449</t>
  </si>
  <si>
    <t>PEUGEOT 405 СД 1987-1995  СТ ЗАДН ДВ ОП ПР</t>
  </si>
  <si>
    <t>6996514</t>
  </si>
  <si>
    <t>PEUGEOT 405 СД 1987-1995 СТ БОК НЕП ПР</t>
  </si>
  <si>
    <t>6996867</t>
  </si>
  <si>
    <t>PEUGEOT 405 УН 1987-1995  СТ ЗАДН ДВ ОП ПР ЗЛ</t>
  </si>
  <si>
    <t>6997113</t>
  </si>
  <si>
    <t>PEUGEOT 405 УН 1987-1995 СТ БОК ПР ЗЛ</t>
  </si>
  <si>
    <t>6996522</t>
  </si>
  <si>
    <t>PEUGEOT 405 УН 1987-1995 СТ БОК НЕП ПР ЗЛ</t>
  </si>
  <si>
    <t>6997509</t>
  </si>
  <si>
    <t>PEUGEOT 405 СД+УН 1987-1995 СТ ПЕР ДВ ОП ПР ЗЛ</t>
  </si>
  <si>
    <t>6996868</t>
  </si>
  <si>
    <t>PEUGEOT 405 СД 1987-1995  СТ ЗАДН ДВ ОП ПР ЗЛ</t>
  </si>
  <si>
    <t>6996516</t>
  </si>
  <si>
    <t>PEUGEOT 405 СД 1987-1995  СТ БОК НЕП ПР ЗЛ</t>
  </si>
  <si>
    <t>406 1995-2004</t>
  </si>
  <si>
    <t>6960997</t>
  </si>
  <si>
    <t>PEUGEOT 406 2001-2004 СТ ВЕТР+ДД+VIN</t>
  </si>
  <si>
    <t>6965833</t>
  </si>
  <si>
    <t>PEUGEOT 406 1995-2004  СТ ВЕТР+КР+VIN</t>
  </si>
  <si>
    <t>6963249</t>
  </si>
  <si>
    <t>PEUGEOT 406 1995-2004  СТ ВЕТР ЗЛЗЛ +VIN</t>
  </si>
  <si>
    <t>6963323</t>
  </si>
  <si>
    <t>PEUGEOT 406 1995-2004  СТ ВЕТР ЗЛ+КР+ДД+VIN</t>
  </si>
  <si>
    <t>6965834</t>
  </si>
  <si>
    <t>PEUGEOT 406 1995-2004  СТ ВЕТР ЗЛ КР+VIN</t>
  </si>
  <si>
    <t>6101157</t>
  </si>
  <si>
    <t>PEUGEOT 406 1995-2004  УСТ КОМПЛ ДЛЯ СТ ВЕТР</t>
  </si>
  <si>
    <t>6101106</t>
  </si>
  <si>
    <t>PEUGEOT 406 1995-2004  МОЛД  ДЛЯ СТ ВЕТР ВЕРХ</t>
  </si>
  <si>
    <t>6996540</t>
  </si>
  <si>
    <t>PEUGEOT 406 УН 1996-2004  СТ ЗАДН ОТВ</t>
  </si>
  <si>
    <t>6996546</t>
  </si>
  <si>
    <t>PEUGEOT 406 УН 1996-2004  СТ ЗАДН ЗЛ 1 ОТВ</t>
  </si>
  <si>
    <t>6998607</t>
  </si>
  <si>
    <t>PEUGEOT 406 СД 1995-2004  СТ ЗАДН ЭО ЗЛ+СТОП+УО</t>
  </si>
  <si>
    <t>6998610</t>
  </si>
  <si>
    <t>PEUGEOT 406 СД 1995-2004  СТ ЗАДН ЗЛ+СТОП+УО</t>
  </si>
  <si>
    <t>6992590</t>
  </si>
  <si>
    <t>PEUGEOT 406 УН 2002-2004  СТ ЗАДН ЭО ТЗЛ 1 ОТВ</t>
  </si>
  <si>
    <t>6996527</t>
  </si>
  <si>
    <t>PEUGEOT 406 СД 1995-2004  СТ ПЕР ДВ ОП ЛВ</t>
  </si>
  <si>
    <t>6996535</t>
  </si>
  <si>
    <t>PEUGEOT 406 СД 1995-2004  СТ БОК НЕП ЛВ</t>
  </si>
  <si>
    <t>6994566</t>
  </si>
  <si>
    <t>PEUGEOT 406 УН 1996-2004 СТ ЗАДН ДВ ОП ЛВ ЗЛ 2ОТВ</t>
  </si>
  <si>
    <t>6996545</t>
  </si>
  <si>
    <t>PEUGEOT 406 УН 1996-2004  СТ БОК ЛВ ЗЛ+ИНК</t>
  </si>
  <si>
    <t>6994567</t>
  </si>
  <si>
    <t>PEUGEOT 406 УН 1996-2004  СТ БОК НЕП ЛВ ЗЛ</t>
  </si>
  <si>
    <t>6996529</t>
  </si>
  <si>
    <t>PEUGEOT 406 СД 1995-2004  СТ ПЕР ДВ ОП ЛВ ЗЛ</t>
  </si>
  <si>
    <t>6996533</t>
  </si>
  <si>
    <t>PEUGEOT 406 СД 1995-2004  СТ ЗАДН ДВ ОП ЛВ ЗЛ</t>
  </si>
  <si>
    <t>6990425</t>
  </si>
  <si>
    <t>PEUGEOT 406 СД 1995-2004  СТ ЗАДН ДВ НЕП ЛВ ЗЛ</t>
  </si>
  <si>
    <t>6996528</t>
  </si>
  <si>
    <t>PEUGEOT 406 СД+УН 1995-2004  СТ ПЕР ДВ ОП ПР</t>
  </si>
  <si>
    <t>6996532</t>
  </si>
  <si>
    <t>PEUGEOT 406 СД 1995-2004  СТ ЗАДН ДВ ОП ПР</t>
  </si>
  <si>
    <t>6996536</t>
  </si>
  <si>
    <t>PEUGEOT 406 СД 1995-2004  СТ ФОРТ ЗАДН НЕП ПР</t>
  </si>
  <si>
    <t>6994568</t>
  </si>
  <si>
    <t>PEUGEOT 406 УН 1996-2004 СТ ЗАДН ДВ ОП ПР ЗЛ 2ОТВ</t>
  </si>
  <si>
    <t>6996544</t>
  </si>
  <si>
    <t>PEUGEOT 406 УН 1996-2004 СТ БОК ПР ЗЛ+ИНК</t>
  </si>
  <si>
    <t>6994569</t>
  </si>
  <si>
    <t>PEUGEOT 406 УН 1996-2004 СТ БОК НЕП ПР ЗЛ</t>
  </si>
  <si>
    <t>6996530</t>
  </si>
  <si>
    <t>PEUGEOT 406 СД 1995-2004 СТ ПЕР ДВ ОП ПР ЗЛ</t>
  </si>
  <si>
    <t>6996534</t>
  </si>
  <si>
    <t>PEUGEOT 406 СД 1995-2004 СТ ЗАДН ДВ ОП ПР ЗЛ</t>
  </si>
  <si>
    <t>6990424</t>
  </si>
  <si>
    <t>PEUGEOT 406 СД 1995-2004 СТ ЗАДН ДВ НЕП ПР ЗЛ</t>
  </si>
  <si>
    <t>406 КП 1997-2005</t>
  </si>
  <si>
    <t>6965845</t>
  </si>
  <si>
    <t>PEUGEOT 406 КП 1997-2005 СТ ВЕТР ЗЛ</t>
  </si>
  <si>
    <t>6963703</t>
  </si>
  <si>
    <t>PEUGEOT 406 КП 1997-2005 СТ ВЕТР ЗЛ+ДД</t>
  </si>
  <si>
    <t>6100180</t>
  </si>
  <si>
    <t>PEUGEOT 406 КП 1997-2005 МОЛД  ДЛЯ СТ ВЕТР</t>
  </si>
  <si>
    <t>6900537</t>
  </si>
  <si>
    <t>PEUGEOT 406 КП 11/1999-2005 СТ ПЕР ДВ ОП ЛВ ЗЛ+УО</t>
  </si>
  <si>
    <t>6995589</t>
  </si>
  <si>
    <t>PEUGEOT 406 КП 1997-2005  СТ ПЕР ДВ ОП ПР ЗЛ+ФИТ</t>
  </si>
  <si>
    <t>6900538</t>
  </si>
  <si>
    <t>PEUGEOT 406 КП 11/1999-2005 СТ ПЕР ДВ ОП ПР ЗЛ+УО</t>
  </si>
  <si>
    <t>407 2004-</t>
  </si>
  <si>
    <t>6961686</t>
  </si>
  <si>
    <t>PEUGEOT 407 СД+УН 2004-  СТ ВЕТР ТЕПЛООТР+ДД+VIN+ИНК</t>
  </si>
  <si>
    <t>6961253</t>
  </si>
  <si>
    <t>PEUGEOT 407 СД+УН 2004-  СТ ВЕТР ЗЛ GPS+ДД+VIN+ИНК</t>
  </si>
  <si>
    <t>6961254</t>
  </si>
  <si>
    <t>6961255</t>
  </si>
  <si>
    <t>PEUGEOT 407 СД+УН 2004-  СТ ВЕТР ЗЛ+ДД+VIN+ИНК+ИЗМ ДЕРЖ ЗЕРК</t>
  </si>
  <si>
    <t>6961256</t>
  </si>
  <si>
    <t>PEUGEOT 407 СД+УН 2004-  СТ ВЕТР ЗЛ+VIN+ИНК</t>
  </si>
  <si>
    <t>6996557</t>
  </si>
  <si>
    <t>PEUGEOT 407 СД 2004-  СТ ЗАДН ЗЛ+АНТ+СТОП+ИНК</t>
  </si>
  <si>
    <t>6993667</t>
  </si>
  <si>
    <t>PEUGEOT 407 СД+УН 2004-  СТ ПЕР ДВ ОП ЛВ ЗЛ</t>
  </si>
  <si>
    <t>6961184</t>
  </si>
  <si>
    <t>PEUGEOT 407 СД+УН 2004-  СТ ПЕР ДВ ОП ЛВ ЗЛ+ТРИПЛ+УО</t>
  </si>
  <si>
    <t>6997796</t>
  </si>
  <si>
    <t>PEUGEOT 407 СД+УН 2004-  СТ ФОРТ ПЕР НЕП ЛВ ЗЛ+VIN+ИНК</t>
  </si>
  <si>
    <t>6993668</t>
  </si>
  <si>
    <t>PEUGEOT 407 СД 2004-  СТ ЗАДН ДВ ОП ЛВ ЗЛ</t>
  </si>
  <si>
    <t>6961186</t>
  </si>
  <si>
    <t>PEUGEOT 407 СД 2004-  СТ ЗАДН ДВ ОП ЛВ ЗЛ+ТРИПЛ+УО</t>
  </si>
  <si>
    <t>6993887</t>
  </si>
  <si>
    <t>PEUGEOT 407 УН 2004-  СТ ЗАДН ДВ ОП ПР ЗЛ</t>
  </si>
  <si>
    <t>6991088</t>
  </si>
  <si>
    <t>PEUGEOT 407 СД+УН 2004-  СТ ПЕР ДВ ОП ПР ЗЛ</t>
  </si>
  <si>
    <t>6961183</t>
  </si>
  <si>
    <t>PEUGEOT 407 СД+УН 2004-  СТ ПЕР ДВ ОП ПР ЗЛ+ТРИПЛ+УО</t>
  </si>
  <si>
    <t>6997795</t>
  </si>
  <si>
    <t>PEUGEOT 407 СД+УН 2004-  СТ ФОРТ ПЕР НЕП ПР ЗЛ+VIN+ИНК</t>
  </si>
  <si>
    <t>6991089</t>
  </si>
  <si>
    <t>PEUGEOT 407 СД 2004-  СТ ЗАДН ДВ ОП ПР ЗЛ</t>
  </si>
  <si>
    <t>6961185</t>
  </si>
  <si>
    <t>PEUGEOT 407 СД 2004-  СТ ЗАДН ДВ ОП ПР ЗЛ+ТРИПЛ+УО</t>
  </si>
  <si>
    <t>407 КП 2005-</t>
  </si>
  <si>
    <t>6961116</t>
  </si>
  <si>
    <t>PEUGEOT 407 КП 2005- СТ ВЕТР ТЕПЛООТР АКУСТИК GPS+VIN+ДД+ИНК+ИЗМ ДЕРЖ ЗЕРК</t>
  </si>
  <si>
    <t>6961172</t>
  </si>
  <si>
    <t>PEUGEOT 407 КП 2005- СТ ВЕТР ТЕПЛООТР АКУСТИК GPS+VIN+ДД+ИНК</t>
  </si>
  <si>
    <t>6960760</t>
  </si>
  <si>
    <t>PEUGEOT 407 КП 2005- СТ ВЕТР ТЕПЛООТР АКУСТИК+ДД+VIN+ИНК</t>
  </si>
  <si>
    <t>6961171</t>
  </si>
  <si>
    <t>PEUGEOT 407 КП 2005- СТ ВЕТР ТЕПЛООТР АКУСТИК+VIN+ДД+ИНК+ИЗМ КР</t>
  </si>
  <si>
    <t>6992726</t>
  </si>
  <si>
    <t>PEUGEOT 407 КП 2005- СТ ЗАДН ЗЛ+АНТ+ИНК</t>
  </si>
  <si>
    <t>4007 2007-</t>
  </si>
  <si>
    <t>6190853</t>
  </si>
  <si>
    <t>PEUGEOT 4007 2007- СТ ВЕТР ЗЛ+ЭО/ MITSUBISHI OUTLANDER 2007- СТ ВЕТР ЗЛ+ЭО+КР</t>
  </si>
  <si>
    <t>6190934</t>
  </si>
  <si>
    <t>PEUGEOT 4007 2007- СТ ПЕР ДВ ОП ЛВ ЗЛ+УО/MITSUBISHI OUTLANDER 2007- СТ ПЕР ДВ ОП ЛВ ЗЛ+УО</t>
  </si>
  <si>
    <t>6190935</t>
  </si>
  <si>
    <t>PEUGEOT 4007 2007- СТ ЗАДН ДВ ОП ЛВ ЗЛ+УО/MITSUBISHI OUTLANDER 2007- СТ ЗАДН ДВ ОП ЛВ ЗЛ+УО</t>
  </si>
  <si>
    <t>6190937</t>
  </si>
  <si>
    <t>PEUGEOT 4007 2007- СТ ПЕР ДВ ОП ПР ЗЛ+УО/MITSUBISHI OUTLANDER 2007- СТ ПЕР ДВ ОП ПР ЗЛ+УО</t>
  </si>
  <si>
    <t>6190938</t>
  </si>
  <si>
    <t>PEUGEOT 4007 2007- СТ ЗАДН ДВ ОП ПР ЗЛ+УО/MITSUBISHI OUTLANDER 2007- СТ ЗАДН ДВ ОП ПР ЗЛ+УО</t>
  </si>
  <si>
    <t>504, СД+УН 1968-1984</t>
  </si>
  <si>
    <t>6965809</t>
  </si>
  <si>
    <t>1968-1984</t>
  </si>
  <si>
    <t>PEUGEOT 504, СД+УН 1968-1984 СТ ВЕТР</t>
  </si>
  <si>
    <t>505, СД+УН 1979-1986</t>
  </si>
  <si>
    <t>6965810</t>
  </si>
  <si>
    <t>PEUGEOT 505 СД+УН 1979-1986 СТ ВЕТР +КР</t>
  </si>
  <si>
    <t>6997360</t>
  </si>
  <si>
    <t>PEUGEOT 505 СД+УН 1979-1986 СТ ПЕР ДВ ОП ПР</t>
  </si>
  <si>
    <t>508 2010-</t>
  </si>
  <si>
    <t>6965148</t>
  </si>
  <si>
    <t>PEUGEOT 508 2010- СТ ВЕТР ЗЛЗЛ+VIN+ИНК</t>
  </si>
  <si>
    <t>605 1989-2000</t>
  </si>
  <si>
    <t>6965824</t>
  </si>
  <si>
    <t>PEUGEOT 605 1989-2000 СТ ВЕТР ЗЛ</t>
  </si>
  <si>
    <t>6963756</t>
  </si>
  <si>
    <t>PEUGEOT 605 1989-2000  СТ ВЕТР ЗЛГЛ</t>
  </si>
  <si>
    <t>6963757</t>
  </si>
  <si>
    <t>PEUGEOT 605 1989-2000  СТ ВЕТР ЗЛЗЛ</t>
  </si>
  <si>
    <t>6960883</t>
  </si>
  <si>
    <t>PEUGEOT 605 1997-2000  СТ ВЕТР ЗЛ+КР+ДД</t>
  </si>
  <si>
    <t>6996869</t>
  </si>
  <si>
    <t>PEUGEOT 605 1989-2000  СТ ПЕР ДВ ОП ЛВ ЗЛ</t>
  </si>
  <si>
    <t>6996870</t>
  </si>
  <si>
    <t>PEUGEOT 605 1989-2000  СТ ЗАДН ДВ ОП ЛВ ЗЛ</t>
  </si>
  <si>
    <t>6996872</t>
  </si>
  <si>
    <t>PEUGEOT 605 1989-2000  СТ ПЕР ДВ ОП ПР ЗЛ</t>
  </si>
  <si>
    <t>6996873</t>
  </si>
  <si>
    <t>PEUGEOT 605 1989-2000  СТ ЗАДН ДВ ОП ПР ЗЛ</t>
  </si>
  <si>
    <t>6996874</t>
  </si>
  <si>
    <t>PEUGEOT 605 1989-2000 СТ БОК НЕП ПР ЗЛ</t>
  </si>
  <si>
    <t>607 2000-</t>
  </si>
  <si>
    <t>6960167</t>
  </si>
  <si>
    <t>PEUGEOT 607 2000- СТ ВЕТР +ШЕЛК ДД+ИНК+VIN</t>
  </si>
  <si>
    <t>6961028</t>
  </si>
  <si>
    <t>PEUGEOT 607 2000- СТ ВЕТР ТЕПЛООТР+ДД+ИНК+VIN+ИЗМ ШЕЛК</t>
  </si>
  <si>
    <t>6961452</t>
  </si>
  <si>
    <t>PEUGEOT 607 2000- СТ ВЕТР+ДД+VIN+ИНК+ИЗМ ШЕЛК</t>
  </si>
  <si>
    <t>6990431</t>
  </si>
  <si>
    <t>PEUGEOT 607 СД 2000- СТ ЗАДН ЗЛ ИНК+СТОП+АНТ</t>
  </si>
  <si>
    <t>6992694</t>
  </si>
  <si>
    <t>PEUGEOT 607 СД 2004- СТ ЗАДН ЭО ЗЛ+АНТ+СТОП+ИНК+АНТ</t>
  </si>
  <si>
    <t>6999993</t>
  </si>
  <si>
    <t>PEUGEOT 607 2000- СТ ПЕР ДВ ОП ЛВ ЗЛ</t>
  </si>
  <si>
    <t>6962027</t>
  </si>
  <si>
    <t>PEUGEOT 607 2000- СТ ПЕР ДВ ОП ЛВ ЗЛ+ТРИПЛ+УО</t>
  </si>
  <si>
    <t>6900186</t>
  </si>
  <si>
    <t>PEUGEOT 607 2000- СТ ЗАДН ДВ ОП ЛВ ЗЛ</t>
  </si>
  <si>
    <t>6962927</t>
  </si>
  <si>
    <t>PEUGEOT 607 2000- СТ ЗАДН ДВ ОП ЛВ ЗЛ+УО</t>
  </si>
  <si>
    <t>6900082</t>
  </si>
  <si>
    <t>PEUGEOT 607 2000- СТ ПЕР ДВ ОП ПР ЗЛ</t>
  </si>
  <si>
    <t>6900269</t>
  </si>
  <si>
    <t>PEUGEOT 607 2000- СТ ЗАДН ДВ ОП ПР ЗЛ</t>
  </si>
  <si>
    <t>6962930</t>
  </si>
  <si>
    <t>PEUGEOT 607 2000- СТ ЗАДН ДВ ОП ПР ЗЛ+ТРИПЛ+УО</t>
  </si>
  <si>
    <t>807 2002-</t>
  </si>
  <si>
    <t>6960240</t>
  </si>
  <si>
    <t>PEUGEOT 807 2002- СТ ВЕТР ТЕПЛООТР+ДД+VIN+ИНК/ CITROEN C8 2002-  СТ ВЕТР ТЕПЛООТР+ДД+VIN+ИНК</t>
  </si>
  <si>
    <t>6961365</t>
  </si>
  <si>
    <t>PEUGEOT 807 2002- СТ ВЕТР ТЕПЛООТР+ИЗМ ДД+VIN+ИНК/ CITROEN C8 07/2006-2007-  СТ ВЕТР ТЕПЛООТР+ДД+VIN+ИНК+ИЗМ ДД</t>
  </si>
  <si>
    <t>6961515</t>
  </si>
  <si>
    <t>PEUGEOT 807 2002- СТ ВЕТР ТЕПЛООТР+ИНК+ДД+КР+VIN+ИНК+ИЗМ ДЕРЖ ЗЕРК/ CITROEN C8 2007-  СТ ВЕТР ТЕПЛООТР+ДД+VIN+ИНК+ИЗМ ШЕЛК</t>
  </si>
  <si>
    <t>6960165</t>
  </si>
  <si>
    <t>PEUGEOT 807 2002- СТ ВЕТР ТЕПЛООТР+VIN+ИНК/ CITROEN C8 2002-  СТ ВЕТР ТЕПЛООТР+VIN+ИНК</t>
  </si>
  <si>
    <t>6960448</t>
  </si>
  <si>
    <t>PEUGEOT 807 2002- СТ ВЕТР ЗЛ+VIN+ИНК/ CITROEN C8 2002-  СТ ВЕТР ЗЛ+VIN+ИНК</t>
  </si>
  <si>
    <t>6999915</t>
  </si>
  <si>
    <t>PEUGEOT 807 МИН 2002- СТ ЗАДН ЗЛ+СТОП</t>
  </si>
  <si>
    <t>6190076</t>
  </si>
  <si>
    <t>PEUGEOT 807 2002- СТ ПЕР ДВ ОП ЛВ ЗЛ/ CITROEN C8 2002-  СТ ПЕР ДВ ОП ЛВ ЗЛ</t>
  </si>
  <si>
    <t>6900240</t>
  </si>
  <si>
    <t>PEUGEOT 807 2002- СТ ЗАДН ДВ ОП ЛВ ЗЛ/ CITROEN C8 2002- СТ ЗАДН ДВ ОП ЛВ ЗЛ</t>
  </si>
  <si>
    <t>6190077</t>
  </si>
  <si>
    <t>PEUGEOT 807 2002- СТ ПЕР ДВ ОП ПР ЗЛ/ CITROEN C8 2002-  СТ ПЕР ДВ ОП ПР ЗЛ</t>
  </si>
  <si>
    <t>6900268</t>
  </si>
  <si>
    <t>PEUGEOT 807 2002- СТ ЗАДН ДВ ОП ПР ЗЛ/ CITROEN C8 2002- СТ ЗАДН ДВ ОП ПР ЗЛ</t>
  </si>
  <si>
    <t>1007 2004/10-</t>
  </si>
  <si>
    <t>6960459</t>
  </si>
  <si>
    <t>PEUGEOT 1007 2004/10- СТ ВЕТР</t>
  </si>
  <si>
    <t>6960611</t>
  </si>
  <si>
    <t>PEUGEOT 1007 2004/10- СТ ВЕТР ТЕПЛООТР ДД</t>
  </si>
  <si>
    <t>6960460</t>
  </si>
  <si>
    <t>PEUGEOT 1007 2004/10- СТ ВЕТР ЗЛ</t>
  </si>
  <si>
    <t>6960610</t>
  </si>
  <si>
    <t>PEUGEOT 1007 2005/10-  СТ ВЕТР ЗЛ+ДД</t>
  </si>
  <si>
    <t>6991886</t>
  </si>
  <si>
    <t>PEUGEOT 1007 ХБ 2005- СТ ЗАДН ЗЛ</t>
  </si>
  <si>
    <t>6993326</t>
  </si>
  <si>
    <t>PEUGEOT 1007 ХБ 2005/10- СТ ЗАДН ТСР</t>
  </si>
  <si>
    <t>6992260</t>
  </si>
  <si>
    <t>PEUGEOT 1007 ХБ 5Д 2004/10- СТ ЗАДН НЕП ЛВ ТЗЛ</t>
  </si>
  <si>
    <t>6991889</t>
  </si>
  <si>
    <t>PEUGEOT 1007 2005/10- СТ ПЕР ДВ ОП ЛВ ЗЛ</t>
  </si>
  <si>
    <t>6992254</t>
  </si>
  <si>
    <t>PEUGEOT 1007 2005/10- СТ ПЕР НЕП ЛВ ЗЛ+VIN</t>
  </si>
  <si>
    <t>6992261</t>
  </si>
  <si>
    <t>PEUGEOT 1007 2005/10- СТ БОК НЕП ЛВ ЗЛ</t>
  </si>
  <si>
    <t>6991888</t>
  </si>
  <si>
    <t>PEUGEOT 1007 2005/10- СТ БОК ЛВ ЗЛ</t>
  </si>
  <si>
    <t>6993194</t>
  </si>
  <si>
    <t>PEUGEOT 1007 2005/10- СТ БОК ЛВ ТСР</t>
  </si>
  <si>
    <t>6992258</t>
  </si>
  <si>
    <t>PEUGEOT 1007 ХБ 5Д 2004/10- СТ ЗАДН НЕП ПР ТЗЛ</t>
  </si>
  <si>
    <t>6991890</t>
  </si>
  <si>
    <t>PEUGEOT 1007 2005/10- СТ ПЕР ДВ ОП ПР ЗЛ</t>
  </si>
  <si>
    <t>6992255</t>
  </si>
  <si>
    <t>PEUGEOT 1007 2005/10- СТ ПЕР НЕП ПР ЗЛ</t>
  </si>
  <si>
    <t>6992262</t>
  </si>
  <si>
    <t>PEUGEOT 1007 2005/10- СТ БОК НЕП ПР ЗЛ</t>
  </si>
  <si>
    <t>6991887</t>
  </si>
  <si>
    <t>PEUGEOT 1007 2005/10- СТ БОК ПР ЗЛ</t>
  </si>
  <si>
    <t>6993193</t>
  </si>
  <si>
    <t>PEUGEOT 1007 2005/10- СТ БОК ПР ТСР</t>
  </si>
  <si>
    <t>3008 2009-</t>
  </si>
  <si>
    <t>6962358</t>
  </si>
  <si>
    <t>PEUGEOT 3008 09- СТ ВЕТР ЗЛ+ДД+VIN+ДО</t>
  </si>
  <si>
    <t>6963187</t>
  </si>
  <si>
    <t>PEUGEOT 3008 09-СТ ВЕТР ЗЛ+VIN+ДО</t>
  </si>
  <si>
    <t>BIPPER 2008-</t>
  </si>
  <si>
    <t>6190916</t>
  </si>
  <si>
    <t>PEUGEOT BIPPER 2008- СТ ВЕТР ЗЛ+VIN/FIAT FIORINO 2008- СТ ВЕТР ЗЛ+VIN</t>
  </si>
  <si>
    <t>BOXER 1998-2006/1994-2006</t>
  </si>
  <si>
    <t>6190651</t>
  </si>
  <si>
    <t>PEUGEOT BOXER 1998-2006 СТ ВЕТР+КР/CITROEN JUMPER 1998-2006  СТ ВЕТР КР+ИЗМ ШЕЛК</t>
  </si>
  <si>
    <t>6190652</t>
  </si>
  <si>
    <t>PEUGEOT BOXER 1998-2006 СТ ВЕТР ЗЛ+КР/CITROEN JUMPER 1998-2006  СТ ВЕТР ЗЛ КР+ИЗМ ШЕЛК</t>
  </si>
  <si>
    <t>6190654</t>
  </si>
  <si>
    <t>PEUGEOT BOXER 1998-2006 СТ ВЕТР ЗЛЗЛ+КР/CITROEN PEUGEOT BOXER 1998-2006  СТ ВЕТР ЗЛЗЛ+ИЗМ ШЕЛК</t>
  </si>
  <si>
    <t>PEUGEOT BOXER 1998-2006 МОЛД  ДЛЯ СТ ВЕТР</t>
  </si>
  <si>
    <t>6190756</t>
  </si>
  <si>
    <t>PEUGEOT BOXER МИН 1994-2006 СТ ЗАДН ПР Б/ЭО/CITROEN JUMPER 1994-2006  СТ ЗАДН ПР Б/ЭО</t>
  </si>
  <si>
    <t>6190655</t>
  </si>
  <si>
    <t>PEUGEOT BOXER 1994-2006 СТ ПЕР ДВ ОП ЛВ/CITROEN JUMPER 1994-2006  СТ ПЕР ДВ ОП ЛВ</t>
  </si>
  <si>
    <t>6190656</t>
  </si>
  <si>
    <t>PEUGEOT BOXER 1994-2006 СТ ФОТР ПЕР НЕП ЛВ/CITROEN JUMPER 1994-2006  СТ ФОРТ ПЕР НЕП ЛВ</t>
  </si>
  <si>
    <t>6190657</t>
  </si>
  <si>
    <t>PEUGEOT BOXER 1994-2006 СТ ПЕР ДВ ОП ЛВ ЗЛ/CITROEN JUMPER 1994-2006  СТ ПЕР ДВ ОП ЛВ ЗЛ</t>
  </si>
  <si>
    <t>6190659</t>
  </si>
  <si>
    <t>PEUGEOT BOXER 1994-2006 СТ ПЕР ДВ ОП ПР/CITROEN JUMPER 1994-2006  СТ ПЕР ДВ ОП ПР</t>
  </si>
  <si>
    <t>6190661</t>
  </si>
  <si>
    <t>PEUGEOT BOXER 1994-2006 СТ ПЕР ДВ ОП ПР ЗЛ/CITROEN JUMPER 1994-2006  СТ ПЕР ДВ ОП ПР ЗЛ</t>
  </si>
  <si>
    <t>BOXER II 2006-</t>
  </si>
  <si>
    <t>6190833</t>
  </si>
  <si>
    <t>PEUGEOT BOXER II 2006- СТ ВЕТР ТЕПЛООТР+ДД+VIN+ИНК+КР/ CITROEN JUMPER II 2006- СТ ВЕТР ТЕПЛООТР+ДД+VIN+ИНК+ИЗМ ШЕЛК</t>
  </si>
  <si>
    <t>6190880</t>
  </si>
  <si>
    <t>PEUGEOT BOXER II 2006- СТ ВЕТР ТЕПЛООТР+VIN+ИНК/ CITROEN JUMPER II 2006- СТ ВЕТР ТЕПЛООТР+VIN+ИНК</t>
  </si>
  <si>
    <t>6190835</t>
  </si>
  <si>
    <t>PEUGEOT BOXER II 2006- СТ ВЕТР ЗЛ+ДД+VIN+ИНК+КР/ CITROEN JUMPER II 2006- СТ ВЕТР ЗЛ+ДД+VIN+ИНК+ИЗМ ШЕЛК</t>
  </si>
  <si>
    <t>6190836</t>
  </si>
  <si>
    <t>PEUGEOT BOXER II 2006- СТ ВЕТР ЗЛ+VIN+ИНК/ CITROEN JUMPER II 2006- СТ ВЕТР ЗЛ+VIN+ИНК</t>
  </si>
  <si>
    <t>6998584</t>
  </si>
  <si>
    <t>CITROEN JUMPER III 2006-  СТ ПЕР ДВ ОП ЛВ ЗЛ+УО/FIAT DUCATO III 2006-  СТ ПЕР ДВ ОП ЛВ ЗЛ+УО</t>
  </si>
  <si>
    <t>6998585</t>
  </si>
  <si>
    <t>CITROEN JUMPER III 2006-  СТ ПЕР ДВ ОП ПР ЗЛ+УО/FIAT DUCATO III 2006-  СТ ПЕР ДВ ОП ПР ЗЛ+УО</t>
  </si>
  <si>
    <t>806 1994-2000 /EXPERT 1996-2000</t>
  </si>
  <si>
    <t>6960825</t>
  </si>
  <si>
    <t>PEUGEOT 806 1994-2000 /EXPERT 1996-2000 СТ ВЕТР ТЕПЛООТР/CITROEN EVASION 94-/JUMPY 96- СТ ВЕТР ТЕПЛООТР</t>
  </si>
  <si>
    <t>6190627</t>
  </si>
  <si>
    <t>PEUGEOT 806 1994-2000 /EXPERT 1996-2000 СТ ВЕТР/CITROEN EVASION 1994- /PG JUMPY 1996-  СТ ВЕТР</t>
  </si>
  <si>
    <t>6190628</t>
  </si>
  <si>
    <t>PEUGEOT 806 1994-2000 /EXPERT 1996-2000 СТ ВЕТР ЗЛ/CITROEN EVASION 1994- /PG JUMPY 1996-  СТ ВЕТР ЗЛ</t>
  </si>
  <si>
    <t>6190629</t>
  </si>
  <si>
    <t>PEUGEOT 806 1994-2000 /EXPERT 1996-2000 МОЛД  ДЛЯ СТ ВЕТР</t>
  </si>
  <si>
    <t>6190630</t>
  </si>
  <si>
    <t>PEUGEOT 806 МИН 1994-2000 /EXPERT 1996-2000 СТ ЗАДН ЛВ/CITROEN JUMPY 1996-  СТ ЗАДН ЭО ЛВ</t>
  </si>
  <si>
    <t>6190636</t>
  </si>
  <si>
    <t>PEUGEOT 806 МИН 1994-2000 /EXPERT 1996-2000 СТ ЗАДН ЛВ Б/ЭО/CITROEN JUMPY 1996-  СТ ЗАДН ЛВ</t>
  </si>
  <si>
    <t>6190632</t>
  </si>
  <si>
    <t>PEUGEOT 806 МИН 1994-2000 /EXPERT 1996-2000 СТ ЗАДН ПР/CITROEN JUMPY 1996-  СТ ЗАДН ЭО ПР</t>
  </si>
  <si>
    <t>6190633</t>
  </si>
  <si>
    <t>PEUGEOT 806 МИН 1994-2000 /EXPERT 1996-2000 СТ ЗАДН ПР Б/ЭО/CITROEN JUMPY 1996-  СТ ЗАДН ПР</t>
  </si>
  <si>
    <t>6190634</t>
  </si>
  <si>
    <t>PEUGEOT 806 МИН 1994-2000 /EXPERT 1996-2000 СТ ЗАДН ЗЛ+СТОП/CITROEN EVASION 1994-  СТ ЗАДН ЭО ЗЛ+СТОП</t>
  </si>
  <si>
    <t>6190635</t>
  </si>
  <si>
    <t>PEUGEOT 806 МИН 1994-2000 /EXPERT 1996-2000 СТ ЗАДН ЗЛ ЛВ/CITROEN JUMPY 1996-  СТ ЗАДН ЭО ЛВ ЗЛ</t>
  </si>
  <si>
    <t>6190631</t>
  </si>
  <si>
    <t>PEUGEOT 806 МИН 1994-2000 /EXPERT 1996-2000 СТ ЗАДН ЗЛ ЛВ Б/ЭО/CITROEN JUMPY 1996-  СТ ЗАДН ЛВ ЗЛ</t>
  </si>
  <si>
    <t>6190637</t>
  </si>
  <si>
    <t>PEUGEOT 806 МИН 1994-2000 /EXPERT 1996-2000 СТ ЗАДН ЗЛ ПР/CITROEN JUMPY 1996-  СТ ЗАДН ЭО ПР ЗЛ</t>
  </si>
  <si>
    <t>6190638</t>
  </si>
  <si>
    <t>PEUGEOT 806 МИН 1994-2000 /EXPERT 1996-2000 СТ ЗАДН ЗЛ ПР Б/ЭО/CITROEN JUMPY 1996-  СТ ЗАДН ПР ЗЛ</t>
  </si>
  <si>
    <t>6190639</t>
  </si>
  <si>
    <t>PEUGEOT 806 1994-2000 /EXPERT 1996-2000 СТ ПЕР ДВ ОП ЛВ/CITROEN EVASION 1994- /JUMPY 1996- СТ ПЕР ДВ ОП ЛВ</t>
  </si>
  <si>
    <t>6190640</t>
  </si>
  <si>
    <t>PEUGEOT 806 1994-2000 /EXPERT 1996-2000 СТ ПЕР НЕП ЛВ/CITROEN EVASION 1994- /JUMPY 1996-  СТ ПЕР НЕП ЛВ</t>
  </si>
  <si>
    <t>6190643</t>
  </si>
  <si>
    <t>PEUGEOT 806 1994-2000 /EXPERT 1996-2000 СТ ПЕР НЕП ЛВ ЗЛ/CITROEN EVASION 1994- /JUMPY 1996- СТ ПЕР НЕП ЛВ ЗЛ</t>
  </si>
  <si>
    <t>6190645</t>
  </si>
  <si>
    <t>PEUGEOT 806 1994-2000 /EXPERT 1996-2000 СТ ПЕР ДВ ОП ПР/CITROEN EVASION 1994- /JUMPY 1996- СТ ПЕР ДВ ОП ПР</t>
  </si>
  <si>
    <t>6190646</t>
  </si>
  <si>
    <t>PEUGEOT 806 1994-2000 /EXPERT 1996-2000 СТ ПЕР БОК ПЕР НЕП ПР/CITROEN EVASION 1994- /JUMPY 1996-  СТ ПЕР НЕП ПР</t>
  </si>
  <si>
    <t>6190649</t>
  </si>
  <si>
    <t>PEUGEOT 806 1994-2000 /EXPERT 1996-2000 СТ ПЕР ДВ НЕП НЕП ПР/CITROEN EVASION 1994- /JUMPY 1996-  СТ ПЕР НЕП ПР ЗЛ</t>
  </si>
  <si>
    <t>EXPERT (G9) 2006-</t>
  </si>
  <si>
    <t>6961132</t>
  </si>
  <si>
    <t>PEUGEOT EXP (G9) 2006-  СТ ВЕТР ТЕПЛООТР+ДД+VIN+ИНК/CITROEN JUMPY (G9) 2006-  СТ ВЕТР ТЕПЛООТР+ДД+VIN+ИНК</t>
  </si>
  <si>
    <t>6961131</t>
  </si>
  <si>
    <t>PEUGEOT EXP (G9) 2006-  СТ ВЕТР ТЕПЛООТР+VIN+ИНК/CITROEN JUMPY (G9) 2006-  СТ ВЕТР ТЕПЛООТР+VIN+ИНК</t>
  </si>
  <si>
    <t>6961130</t>
  </si>
  <si>
    <t>PEUGEOT EXP (G9) 2006-  СТ ВЕТР ЗЛ+ДД+VIN+ИНК/CITROEN JUMPY (G9) 2006-  СТ ВЕТР ЗЛ+ДД+VIN+ИНК</t>
  </si>
  <si>
    <t>6961133</t>
  </si>
  <si>
    <t>PEUGEOT EXP (G9) 2006-  СТ ВЕТР ЗЛ+VIN+ИНК/CITROEN JUMPY (G9) 2006-  СТ ВЕТР ЗЛ+VIN+ИНК</t>
  </si>
  <si>
    <t>6993610</t>
  </si>
  <si>
    <t>PEUGEOT EXP МИН (G9) 2006-  СТ ЗАДН ТЗЛ+VIN+СТОП/CITROEN JUMPY (G9) 2006-  СТ ЗАДН ТЗЛ+СТОП</t>
  </si>
  <si>
    <t>6993611</t>
  </si>
  <si>
    <t>PEUGEOT EXP МИН (G9) 2006-  СТ ЗАДН ЗЛ+СТОП/CITROEN JUMPY (G9) 2006-  СТ ЗАДН ЗЛ+СТОП</t>
  </si>
  <si>
    <t>6993549</t>
  </si>
  <si>
    <t>PEUGEOT EXP МИН (G9) 2006-  СТ ЗАДН ЗЛ ЛВ/CITROEN JUMPY (G9) 2006-  СТ ЗАДН ЗЛ ЛВ</t>
  </si>
  <si>
    <t>6993802</t>
  </si>
  <si>
    <t>PEUGEOT EXP МИН (G9) 2006-  СТ ЗАДН ЗЛ ЛВ Б/ЭО/FIAT SCUDO 2007-  СТ ЗАДН ЗЛ ЛВ Б/ЭО</t>
  </si>
  <si>
    <t>6993548</t>
  </si>
  <si>
    <t>PEUGEOT EXP МИН (G9) 2006-  СТ ЗАДН ЗЛ ПР/CITROEN JUMPY (G9) 2006-  СТ ЗАДН ЗЛ ПР</t>
  </si>
  <si>
    <t>6993801</t>
  </si>
  <si>
    <t>PEUGEOT EXP МИН (G9) 2006-  СТ ЗАДН ЗЛ ПР+Б/ЭО/FIAT SCUDO 2007-  СТ ЗАДН ЗЛ ПР Б/ЭО</t>
  </si>
  <si>
    <t>6993377</t>
  </si>
  <si>
    <t>PEUGEOT EXP (G9) 2006-  СТ БОК НЕП ЛВ ТЗЛ/CITROEN JUMPY (G9) 2006-  СТ БОК НЕП ЛВ ТЗЛ</t>
  </si>
  <si>
    <t>6993381</t>
  </si>
  <si>
    <t>PEUGEOT EXP (G9) 2006-  СТ БОК НЕП ЛВ ТЗЛ/CITROEN JUMPY (G9) 2006-  СТ БОК НЕП ЛВ ТЗЛ+ИЗМ РАЗМ</t>
  </si>
  <si>
    <t>6993826</t>
  </si>
  <si>
    <t>PEUGEOT EXP (G9) 2006-  СТ ЗАДН ДВ ОП ЛВ ТЗЛ/CITROEN JUMPY (G9) 2006-  СТ ЗАДН ДВ ОП ЛВ ТЗЛ</t>
  </si>
  <si>
    <t>6993753</t>
  </si>
  <si>
    <t>PEUGEOT EXP (G9) 2006-  СТ ПЕР ДВ ОП ЛВ ЗЛ/CITROEN JUMPY (G9) 2006-  СТ ПЕР ДВ ОП ЛВ ЗЛ</t>
  </si>
  <si>
    <t>6993371</t>
  </si>
  <si>
    <t>PEUGEOT EXP (G9) 2006-  СТ ЗАДН ДВ ОП ЛВ ЗЛ/CITROEN JUMPY (G9) 2006-  СТ ЗАДН ДВ ОП ЛВ ТЗЛ</t>
  </si>
  <si>
    <t>6993375</t>
  </si>
  <si>
    <t>PEUGEOT EXP (G9) 2006-  СТ БОК НЕП ЛВ ЗЛ/CITROEN JUMPY (G9) 2006-  СТ ЗАДН ДВ НЕП ЛВ ЗЛ</t>
  </si>
  <si>
    <t>6993379</t>
  </si>
  <si>
    <t>PEUGEOT EXP (G9) 2006-  СТ БОК НЕП ЛВ ЗЛ/CITROEN JUMPY (G9) 2006-  СТ БОК НЕП ЛВ ЗЛ+ИЗМ РАЗМ</t>
  </si>
  <si>
    <t>6993376</t>
  </si>
  <si>
    <t>PEUGEOT EXP (G9) 2006-  СТ БОК НЕП ПР ТЗЛ/CITROEN JUMPY (G9) 2006-  СТ БОК НЕП ПР ТЗЛ</t>
  </si>
  <si>
    <t>6993380</t>
  </si>
  <si>
    <t>PEUGEOT EXP (G9) 2006-  СТ БОК НЕП ПР ТЗЛ/CITROEN JUMPY (G9) 2006-  СТ БОК НЕП ПР ТЗЛ+ИЗМ РАЗМ</t>
  </si>
  <si>
    <t>6993825</t>
  </si>
  <si>
    <t>PEUGEOT EXP (G9) 2006-  СТ ЗАДН ДВ ОП ПР ТЗЛ/CITROEN JUMPY (G9) 2006-  СТ ЗАДН ДВ ОП ПР ТЗЛ</t>
  </si>
  <si>
    <t>6993752</t>
  </si>
  <si>
    <t>PEUGEOT EXP (G9) 2006-  СТ ПЕР ДВ ОП ПР ЗЛ/CITROEN JUMPY (G9) 2006-  СТ ПЕР ДВ ОП ПР ЗЛ</t>
  </si>
  <si>
    <t>6993370</t>
  </si>
  <si>
    <t>PEUGEOT EXP (G9) 2006-  СТ ЗАДН ДВ ОП ПР ЗЛ/CITROEN JUMPY (G9) 2006-  СТ ЗАДН ДВ ОП ПР ТЗЛ</t>
  </si>
  <si>
    <t>6993374</t>
  </si>
  <si>
    <t>PEUGEOT EXP (G9) 2006-  СТ БОК НЕП ПР ЗЛ/CITROEN JUMPY (G9) 2006-  СТ БОК НЕП ПР ЗЛ</t>
  </si>
  <si>
    <t>6993378</t>
  </si>
  <si>
    <t>PEUGEOT EXP (G9) 2006-  СТ БОК НЕП ПР ЗЛ/CITROEN JUMPY (G9) 2006-  СТ БОК НЕП ПР ЗЛ+ИЗМ РАЗМ</t>
  </si>
  <si>
    <t>PARTNER 2001-/1996-</t>
  </si>
  <si>
    <t>6190902</t>
  </si>
  <si>
    <t>PEUGEOT PARTNER 2001- СТ ВЕТР ТЕПЛООТР/CITROEN BERLINGO 2001-2008  СТ ВЕТР ТЕПЛООТР+ИЗМ ДЕР ЗЕРК</t>
  </si>
  <si>
    <t>6190055</t>
  </si>
  <si>
    <t>PEUGEOT PARTNER 1996- СТ ВЕТР/CITROEN BERLINGO 1996-2008  СТ ВЕТР</t>
  </si>
  <si>
    <t>6190056</t>
  </si>
  <si>
    <t>PEUGEOT PARTNER 2001- СТ ВЕТР+КР/CITROEN BERLINGO 1996-2001  СТ ВЕТР+ИЗМ ДЕР ЗЕРК</t>
  </si>
  <si>
    <t>6190057</t>
  </si>
  <si>
    <t>PEUGEOT PARTNER 1996- СТ ВЕТР ЗЛ/CITROEN BERLINGO 1996-2008  СТ ВЕТР ЗЛ</t>
  </si>
  <si>
    <t>6190058</t>
  </si>
  <si>
    <t>PEUGEOT PARTNER 2001- СТ ВЕТР ЗЛ+КР/CITROEN BERLINGO 1996-2001  СТ ВЕТР ЗЛ+ИЗМ ДЕР ЗЕРК</t>
  </si>
  <si>
    <t>6190742</t>
  </si>
  <si>
    <t>PEUGEOT PARTNER 2001- СТ ВЕТР ЗЛГЛ/CITROEN BERLINGO 1996-2001  СТ ВЕТР ЗЛГЛ+ИЗМ ДЕР ЗЕРК</t>
  </si>
  <si>
    <t>6190620</t>
  </si>
  <si>
    <t>PEUGEOT PARTNER 2001- СТ ВЕТР ЗЛ+ДД/CITROEN BERLINGO 2001-2008  СТ ВЕТР ЗЛ+ДД+ИЗМ ДЕР ЗЕРК</t>
  </si>
  <si>
    <t>6190059</t>
  </si>
  <si>
    <t>PEUGEOT PARTNER МИН 1996- СТ ЗАДН/CITROEN BERLINGO 1996-2008  СТ ЗАДН</t>
  </si>
  <si>
    <t>6190061</t>
  </si>
  <si>
    <t>PEUGEOT PARTNER МИН 1996- СТ ЗАДН ЛВ Б/ЭО/CITROEN BERLINGO 1996-2008  СТ ЗАДН ЛВ Б/ЭО</t>
  </si>
  <si>
    <t>6190063</t>
  </si>
  <si>
    <t>PEUGEOT PARTNER МИН 1996- СТ ЗАДН ПР Б/ЭО/CITROEN BERLINGO 1996-2008  СТ ЗАДН ПР Б/ЭО</t>
  </si>
  <si>
    <t>6190064</t>
  </si>
  <si>
    <t>PEUGEOT PARTNER МИН 1996- СТ ЗАДН ЗЛ/CITROEN BERLINGO 1996-2008  СТ ЗАДН ЗЛ</t>
  </si>
  <si>
    <t>6190065</t>
  </si>
  <si>
    <t>PEUGEOT PARTNER МИН 1996- СТ ЗАДН ЗЛ ЛВ/CITROEN BERLINGO 1996-2008  СТ ЗАДН ЭО ЛВ ЗЛ</t>
  </si>
  <si>
    <t>6190066</t>
  </si>
  <si>
    <t>PEUGEOT PARTNER МИН 1996- СТ ЗАДН ЗЛ ЛВ Б/ЭО/CITROEN BERLINGO 1996-2008  СТ ЗАДН ЛВ ЗЛ Б/ЭО</t>
  </si>
  <si>
    <t>6190067</t>
  </si>
  <si>
    <t>PEUGEOT PARTNER МИН 1996- СТ ЗАДН ЗЛ ПР/CITROEN BERLINGO 1996-2008  СТ ЗАДН ПР ЭО ЗЛ</t>
  </si>
  <si>
    <t>6190068</t>
  </si>
  <si>
    <t>PEUGEOT PARTNER МИН 1996- СТ ЗАДН ЗЛ ПР Б/ЭО/CITROEN BERLINGO 1996-2008  СТ ЗАДН ПР ЗЛ Б/ЭО</t>
  </si>
  <si>
    <t>6190069</t>
  </si>
  <si>
    <t>PEUGEOT PARTNER 1996- СТ ПЕР ДВ ОП ЛВ +2ОТВ/CITROEN BERLINGO 1996-2008  СТ ПЕР ДВ ОП ЛВ +2 ОТВ</t>
  </si>
  <si>
    <t>6190070</t>
  </si>
  <si>
    <t>PEUGEOT PARTNER 1996- СТ ПЕР ДВ ОП ЛВ ЗЛ+2ОТВ/CITROEN BERLINGO 1996-2008  СТ ПЕР ДВ ОП ЛВ ЗЛ+2 ОТВ</t>
  </si>
  <si>
    <t>6190071</t>
  </si>
  <si>
    <t>PEUGEOT PARTNER 1996- СТ СР ЗЛ ОТКР/CITROEN BERLINGO 1996-2008  СТ СР ЛВ ЗЛ+3ОТВ+ОТКР</t>
  </si>
  <si>
    <t>6190072</t>
  </si>
  <si>
    <t>PEUGEOT PARTNER 1996- СТ ЗАДН ЗЛ НЕП ОТКР/CITROEN BERLINGO 1996-2008  СТ БОК НЕП ЛВ ЗЛ+1ОТВ+ОТКР</t>
  </si>
  <si>
    <t>6190073</t>
  </si>
  <si>
    <t>PEUGEOT PARTNER 1996- СТ ПЕР ДВ ОП ПР +2ОТВ/CITROEN BERLINGO 1996-2008  СТ ПЕР ДВ ОП ПР+2 ОТВ</t>
  </si>
  <si>
    <t>6190074</t>
  </si>
  <si>
    <t>PEUGEOT PARTNER 1996- СТ ПЕР ДВ ОП ПР ЗЛ+2ОТВ/CITROEN BERLINGO 1996-2008  СТ ПЕР ДВ ОП ПР ЗЛ+2 ОТВ</t>
  </si>
  <si>
    <t>6190075</t>
  </si>
  <si>
    <t>PEUGEOT PARTNER 1996- СТ ЗАДН НЕП ПР ЗЛ ОТКР/CITROEN BERLINGO 1996-2008  СТ БОК НЕП ПР ЗЛ+1ОТВ+ОТКР</t>
  </si>
  <si>
    <t>PARTNER 2008-</t>
  </si>
  <si>
    <t>6190883</t>
  </si>
  <si>
    <t>PEUGEOT PARTNER 2008- СТ ВЕТР ЗЛ+VIN+ИНК/CITROEN BERLINGO 2008-  СТ ВЕТР ЗЛ+VIN+ИНК+ИЗМ ДЕР ЗЕРК</t>
  </si>
  <si>
    <t>6190884</t>
  </si>
  <si>
    <t>PEUGEOT PARTNER 2008- СТ ВЕТР ЗЛ+VIN+ИНК/CITROEN BERLINGO 2008-  СТ ВЕТР ЗЛ+VIN+ИНК</t>
  </si>
  <si>
    <t>PONTIAC</t>
  </si>
  <si>
    <t>TRANS SPORT 1990-1996</t>
  </si>
  <si>
    <t>6968228</t>
  </si>
  <si>
    <t>PONTIAC TRANS SPORT 1990-1996 СТ ВЕТР ТЕПЛООТРГЛ+VIN</t>
  </si>
  <si>
    <t>TRANS SPORT 1997-</t>
  </si>
  <si>
    <t>6190750</t>
  </si>
  <si>
    <t>PONTIAC TRANS SPORT 1997- СТ ВЕТР ТЕПЛООТРГЛ+АНТ+VIN/OPEL SINTRA 1997- СТ ВЕТР ТЕПЛООТРГЛ+АНТ+VIN</t>
  </si>
  <si>
    <t>PORSCHE</t>
  </si>
  <si>
    <t>911 COUPE/CAB (996) 2002-2003</t>
  </si>
  <si>
    <t>6962029</t>
  </si>
  <si>
    <t>PORSCHE 911 CPE/CAB (996) 2002-2003 СТ ВЕТР ЗЛ+АНТ+VIN+ИНК</t>
  </si>
  <si>
    <t>911, 912, CARRERA, TARGA 1964-1985</t>
  </si>
  <si>
    <t>6963576</t>
  </si>
  <si>
    <t>1964-1985</t>
  </si>
  <si>
    <t>PORSCHE 911 1964-1985 СТ ВЕТР</t>
  </si>
  <si>
    <t>6100468</t>
  </si>
  <si>
    <t>PORSCHE 911,912,CARRER,TARGA 1964-1985  РЕЗ ПРОФ ДЛЯ СТ ВЕТР ШИР</t>
  </si>
  <si>
    <t>911, 964 CONV 1989-1993</t>
  </si>
  <si>
    <t>6963705</t>
  </si>
  <si>
    <t>PORSCHE 964 1989-1993 СТ ВЕТР ЗЛ АНТ</t>
  </si>
  <si>
    <t>6963706</t>
  </si>
  <si>
    <t>PORSCHE 964 1989-1993 СТ ВЕТР ЗЛЗЛ АНТ</t>
  </si>
  <si>
    <t>6100375</t>
  </si>
  <si>
    <t>PORSCHE 964, 911 CONV 1989-1993  РЕЗ ПРОФ ДЛЯ СТ ВЕТР</t>
  </si>
  <si>
    <t>924, 944 SERIES 1975-1987</t>
  </si>
  <si>
    <t>6963761</t>
  </si>
  <si>
    <t>1975-1987</t>
  </si>
  <si>
    <t>PORSCHE 924,944 SER 1975-1987 СТ ВЕТР ЗЛЗЛ</t>
  </si>
  <si>
    <t>CAYENNE 2002-</t>
  </si>
  <si>
    <t>6950124</t>
  </si>
  <si>
    <t>PORSCHE CAYENNE 2002- СТ ВЕТР ЗЛСР+ДД+ИНК+VIN/VOLKSWAGEN TOUAREG 2002 СТ ВЕТР ЗЛСР+ДД+ИНК+VIN</t>
  </si>
  <si>
    <t>6190743</t>
  </si>
  <si>
    <t>PORSCHE CAYENNE 2002- СТ ВЕТР ЗЛСР/ VOLKSWAGEN TOUAREG 2002- СТ ВЕТР ЗЛСР+VIN+ИНК</t>
  </si>
  <si>
    <t>6190590</t>
  </si>
  <si>
    <t>PORSCHE CAYENNE 2002- СТ ПЕР ДВ ОП ЛВ ЗЛ/ VOLKSWAGEN TOUAREG 02  СТ ПЕР ДВ ОП ЛВ ЗЛ</t>
  </si>
  <si>
    <t>6190893</t>
  </si>
  <si>
    <t>PORSCHE CAYENNE 2002- СТ ЗАДН ДВ ОП ЛВ ЗЛ/ VOLKSWAGEN TOUAREG 02  СТ ЗАДН ДВ ОП ЛВ ЗЛ</t>
  </si>
  <si>
    <t>6190591</t>
  </si>
  <si>
    <t>PORSCHE CAYENNE 2002- СТ ПЕР ДВ ОП ПР ЗЛ/ VOLKSWAGEN TOUAREG 02  СТ ПЕР ДВ ОП ПР ЗЛ</t>
  </si>
  <si>
    <t>6190592</t>
  </si>
  <si>
    <t>PORSCHE CAYENNE 2002- СТ ЗАДН ДВ ОП ПР/ VOLKSWAGEN TOUAREG 02  СТ ЗАДН ДВ ОП ПР ЗЛ</t>
  </si>
  <si>
    <t>CAYENNE 2010-</t>
  </si>
  <si>
    <t>6965973</t>
  </si>
  <si>
    <t>PORSCHE CAYENNE 10- СТ ВЕТР ЗЛСР+ДД+VIN</t>
  </si>
  <si>
    <t>6965152</t>
  </si>
  <si>
    <t>PORSCHE CAYENNE 729- СТ ВЕТР ЗЛЗЛ+ЭО+ДД</t>
  </si>
  <si>
    <t>6965154</t>
  </si>
  <si>
    <t>PORSCHE CAYENNE 2010-СТ ВЕТР ЗЛСР+ЭО+ДД</t>
  </si>
  <si>
    <t>6965150</t>
  </si>
  <si>
    <t>PORSCHE CAYENNE 2010-СТ ВЕТР ЗЛСР+ДД+VIN</t>
  </si>
  <si>
    <t>PROTON</t>
  </si>
  <si>
    <t>MPI + AEROBACK 1989-</t>
  </si>
  <si>
    <t>6190299</t>
  </si>
  <si>
    <t>1989-</t>
  </si>
  <si>
    <t>PROTON MPI 4Д+5Д AEROBACK 1989- СТ ВЕТР ГЛ/MITSUBISHI  MIRAGE/LANCER 1984-1988 СТ ВЕТР ГЛ</t>
  </si>
  <si>
    <t>6190301</t>
  </si>
  <si>
    <t>PROTON MPI + AEROBACK 1989- СТ ПЕР ДВ ОП ЛВ ГЛ/MITSUBISHI  MIRAGE /LANCER 1984-1988 СТ ПЕР ДВ ОП ЛВ ГЛ</t>
  </si>
  <si>
    <t>6190303</t>
  </si>
  <si>
    <t>PROTON MPI + AEROBACK 1989- СТ ФОРТ ЗАДН ЛВ ГЛ/MITSUBISHI  MIRAGE /LANCER 1984-1988 СТ ФОРТ ЗАДН НЕП ЛВ ГЛ</t>
  </si>
  <si>
    <t>6190304</t>
  </si>
  <si>
    <t>PROTON MPI + AEROBACK 1989- СТ ПЕР ДВ ОП ПР ГЛ/MITSUBISHI  MIRAGE /LANCER 1984-1988 СТ ПЕР ДВ ОП ПР ГЛ</t>
  </si>
  <si>
    <t>PERSONA (M24)/300 1995-</t>
  </si>
  <si>
    <t>6190307</t>
  </si>
  <si>
    <t>PROTON PERSONA (M24)/300 1995-  СТ ВЕТР ГЛ/MITSUBISHI  COLT 3Д CC 1992-1995 СТ ВЕТР ГЛ</t>
  </si>
  <si>
    <t>JUMBUCK 2Д PU 2003-</t>
  </si>
  <si>
    <t>6190309</t>
  </si>
  <si>
    <t>PROTON JUMBUCK 2Д PU 2003-  СТ ВЕТР ЗЛ/MITSUBISHI LANCER 1993-1996 СТ ВЕТР ЗЛ</t>
  </si>
  <si>
    <t>RENAULT</t>
  </si>
  <si>
    <t>CHEROKEE 1987-</t>
  </si>
  <si>
    <t>6190609</t>
  </si>
  <si>
    <t>RENAULT CHEROKEE 1987- СТ ВЕТР ЗЛГЛ/ JEEP CHEROKEE (FCW 0952) 1987-2001  СТ ВЕТР ЗЛГЛ</t>
  </si>
  <si>
    <t>6190610</t>
  </si>
  <si>
    <t>RENAULT CHEROKEE 1987- СТ ПЕР ДВ ОП ЗЛ ЛВ/ JEEP CHEROKEE (FCW 0952) 3Д 1987-2001  СТ ПЕР ДВ ОП ЗЛ ЛВ</t>
  </si>
  <si>
    <t>6190612</t>
  </si>
  <si>
    <t>RENAULT CHEROKEE 1987- СТ ПЕР ДВ ОП ЗЛ ЛВ/ JEEP CHEROKEE (FCW 0952) 5Д 1987-2001  СТ ПЕР ДВ ОП ЗЛ ЛВ</t>
  </si>
  <si>
    <t>6190614</t>
  </si>
  <si>
    <t>RENAULT CHEROKEE 1987- СТ ФОРТ ЗАДН НЕП ЗЛ ЛВ/ JEEP CHEROKEE (FCW 0952) 1987-2001  СТ ФОРТ ЗАДН НЕП ЗЛ ЛВ</t>
  </si>
  <si>
    <t>6190615</t>
  </si>
  <si>
    <t>RENAULT CHEROKEE 1987- СТ ПЕР ДВ ОП ЗЛ ПР/ JEEP CHEROKEE (FCW 0952) 1987-2001  СТ ПЕР ДВ ОП ЗЛ ПР</t>
  </si>
  <si>
    <t>6190618</t>
  </si>
  <si>
    <t>RENAULT CHEROKEE 1987- СТ ФОРТ ЗАДН НЕП ЗЛ ПР/ JEEP CHEROKEE (FCW 0952) 1987-2001  СТ ФОРТ ЗАДН НЕП ЗЛ ПР</t>
  </si>
  <si>
    <t>CLIO 1990-1998</t>
  </si>
  <si>
    <t>6966227</t>
  </si>
  <si>
    <t>RENAULT CLIO 1990-1998  СТ ВЕТР КР</t>
  </si>
  <si>
    <t>6966228</t>
  </si>
  <si>
    <t>RENAULT CLIO 1990-1998  СТ ВЕТР ЗЛ КР</t>
  </si>
  <si>
    <t>6963250</t>
  </si>
  <si>
    <t>RENAULT CLIO 1990-1998  СТ ВЕТР ЗЛГЛ КР</t>
  </si>
  <si>
    <t>6963764</t>
  </si>
  <si>
    <t>RENAULT CLIO 1990-1998  СТ ВЕТР ЗЛЗЛ</t>
  </si>
  <si>
    <t>6100197</t>
  </si>
  <si>
    <t>RENAULT CLIO 1991-1998  УСТ КОМПЛ ДЛЯ СТ ВЕТР ХРОМ С СОЕД</t>
  </si>
  <si>
    <t>6100520</t>
  </si>
  <si>
    <t>RENAULT CLIO 1990-1998  ВНУТР МОЛД ДЛЯ СТ ВЕТР</t>
  </si>
  <si>
    <t>6100358</t>
  </si>
  <si>
    <t>RENAULT CLIO 1990-1998  МОЛД  ДЛЯ СТ ВЕТР</t>
  </si>
  <si>
    <t>6997156</t>
  </si>
  <si>
    <t>RENAULT CLIO ХБ 1990-1998  СТ ЗАДН</t>
  </si>
  <si>
    <t>6997189</t>
  </si>
  <si>
    <t>RENAULT CLIO ХБ 1990-1998  СТ ЗАДН ЗЛ</t>
  </si>
  <si>
    <t>6100308</t>
  </si>
  <si>
    <t>RENAULT CLIO 1990-1998  РЕЗ ПРОФ ДЛЯ СТ ЗАДН</t>
  </si>
  <si>
    <t>6997141</t>
  </si>
  <si>
    <t>RENAULT CLIO 3Д 1990-1998  СТ ПЕР ДВ ОП ЛВ</t>
  </si>
  <si>
    <t>6997211</t>
  </si>
  <si>
    <t>RENAULT CLIO 3Д 1990-1998  СТ БОК ЛВ</t>
  </si>
  <si>
    <t>6997145</t>
  </si>
  <si>
    <t>RENAULT CLIO 5Д 1990-1998  СТ ПЕР ДВ ОП ЛВ</t>
  </si>
  <si>
    <t>6997221</t>
  </si>
  <si>
    <t>RENAULT CLIO 5Д 1990-1998  СТ ЗАДН ДВ ОП ЛВ</t>
  </si>
  <si>
    <t>6997149</t>
  </si>
  <si>
    <t>RENAULT CLIO 5Д 1990-1998  СТ ЗАДН ДВ НЕП ЛВ</t>
  </si>
  <si>
    <t>6997143</t>
  </si>
  <si>
    <t>RENAULT CLIO 3Д 1990-1998  СТ ПЕР ДВ ОП ЛВ ЗЛ</t>
  </si>
  <si>
    <t>6997215</t>
  </si>
  <si>
    <t>RENAULT CLIO 3Д 1990-1998  СТ БОК ПОД ЛВ ЗЛ ОТКР</t>
  </si>
  <si>
    <t>6997147</t>
  </si>
  <si>
    <t>RENAULT CLIO 5Д 1990-1998  СТ ПЕР ДВ ОП ЛВ ЗЛ</t>
  </si>
  <si>
    <t>6997223</t>
  </si>
  <si>
    <t>RENAULT CLIO 5Д 1990-1998  СТ ЗАДН ДВ ОП ЛВ ЗЛ</t>
  </si>
  <si>
    <t>6997151</t>
  </si>
  <si>
    <t>RENAULT CLIO 5Д 1990-1998  СТ ЗАДН ДВ НЕП ЛВ ЗЛ</t>
  </si>
  <si>
    <t>6997142</t>
  </si>
  <si>
    <t>RENAULT CLIO 3Д 1990-1998  СТ ПЕР ДВ ОП ПР</t>
  </si>
  <si>
    <t>6997212</t>
  </si>
  <si>
    <t>RENAULT CLIO 3Д 1990-1998  СТ БОК ПР</t>
  </si>
  <si>
    <t>6997146</t>
  </si>
  <si>
    <t>RENAULT CLIO 5Д 1990-1998  СТ ПЕР ДВ ОП ПР</t>
  </si>
  <si>
    <t>6997222</t>
  </si>
  <si>
    <t>RENAULT CLIO 5Д 1990-1998  СТ ЗАДН ДВ ОП ПР</t>
  </si>
  <si>
    <t>6997150</t>
  </si>
  <si>
    <t>RENAULT CLIO 5Д 1990-1998  СТ ЗАДН ДВ НЕП ПР</t>
  </si>
  <si>
    <t>6997144</t>
  </si>
  <si>
    <t>RENAULT CLIO 3Д 1990-1998  СТ ПЕР ДВ ОП ПР ЗЛ</t>
  </si>
  <si>
    <t>6997216</t>
  </si>
  <si>
    <t>RENAULT CLIO 3Д 1990-1998  СТ БОК ПОД ПР ЗЛ ОТКР</t>
  </si>
  <si>
    <t>6997148</t>
  </si>
  <si>
    <t>RENAULT CLIO 5Д 1990-1998  СТ ПЕР ДВ ОП ПР ЗЛ</t>
  </si>
  <si>
    <t>6997224</t>
  </si>
  <si>
    <t>RENAULT CLIO 5Д 1990-1998  СТ ЗАДН ДВ ОП ПР ЗЛ</t>
  </si>
  <si>
    <t>6997152</t>
  </si>
  <si>
    <t>RENAULT CLIO 5Д 1990-1998  СТ ЗАДН ДВ НЕП ПР ЗЛ</t>
  </si>
  <si>
    <t>CLIO/CLIO SYMBOL 1998-2005</t>
  </si>
  <si>
    <t>6963342</t>
  </si>
  <si>
    <t>RENAULT CLIO 1998-2005  СТ ВЕТР ТЕПЛООТР КР</t>
  </si>
  <si>
    <t>6960974</t>
  </si>
  <si>
    <t>RENAULT CLIO 1998-2005  СТ ВЕТР ТЕПЛООТР ДД</t>
  </si>
  <si>
    <t>6961561</t>
  </si>
  <si>
    <t>RENAULT CLIO 2001-2005 СТ ВЕТР ЗЛ АК+КР+1 ЛОГ</t>
  </si>
  <si>
    <t>6961439</t>
  </si>
  <si>
    <t>RENAULT CLIO 1998-2005  СТ ВЕТР ЗЛ + КР ИЗМ ШЕЛК</t>
  </si>
  <si>
    <t>6960451</t>
  </si>
  <si>
    <t>RENAULT CLIO 2001-2005  СТ ВЕТР ЗЛ+КР</t>
  </si>
  <si>
    <t>6961814</t>
  </si>
  <si>
    <t>RENAULT CLIO 2001-2005 СТ ВЕТР ЗЛ</t>
  </si>
  <si>
    <t>6950125</t>
  </si>
  <si>
    <t>RENAULT CLIO 1998-2005 СТ ВЕТР ЗЛГЛ</t>
  </si>
  <si>
    <t>6963202</t>
  </si>
  <si>
    <t>RENAULT CLIO 1998-2005 СТ ВЕТР ЗЛЗЛ КР</t>
  </si>
  <si>
    <t>6100352</t>
  </si>
  <si>
    <t>RENAULT CLIO 1998-2005 МОЛД УСТ КОМПЛ ДЛЯ СТ ВЕТР ДЛЯ СТ ВЕТР</t>
  </si>
  <si>
    <t>6994846</t>
  </si>
  <si>
    <t>RENAULT CLIO ХБ+3Д МИН 1998-2005  СТ ЗАДН ЭО ЗЛ</t>
  </si>
  <si>
    <t>6994847</t>
  </si>
  <si>
    <t>RENAULT CLIO ХБ+3Д МИН 1998-2005  СТ ПЕР ДВ ОП ЛВ ЗЛ</t>
  </si>
  <si>
    <t>6991937</t>
  </si>
  <si>
    <t>RENAULT CLIO 3Д 2001-2005  СТ ПЕР ДВ ОП ЛВ ЗЛ</t>
  </si>
  <si>
    <t>6994848</t>
  </si>
  <si>
    <t>RENAULT CLIO 3Д 1998-2005  СТ БОК ЛВ ЗЛ+ИНК</t>
  </si>
  <si>
    <t>6997467</t>
  </si>
  <si>
    <t>RENAULT CLIO 5Д 1998-2005  СТ ПЕР ДВ ОП ЛВ ЗЛ</t>
  </si>
  <si>
    <t>6991828</t>
  </si>
  <si>
    <t>RENAULT CLIO 5Д 2001-2005  СТ ПЕР ДВ ОП ЛВ ЗЛ</t>
  </si>
  <si>
    <t>6997247</t>
  </si>
  <si>
    <t>RENAULT CLIO 5Д 1998-2005  СТ ЗАДН ДВ ОП ЛВ ЗЛ</t>
  </si>
  <si>
    <t>6997469</t>
  </si>
  <si>
    <t>RENAULT CLIO 5Д 4/1999-2005  СТ ЗАДН ДВ ОП ЛВ ЗЛ</t>
  </si>
  <si>
    <t>6997249</t>
  </si>
  <si>
    <t>RENAULT CLIO 5Д 1998-2005  СТ ЗАДН ДВ НЕП ЛВ ЗЛ</t>
  </si>
  <si>
    <t>6994849</t>
  </si>
  <si>
    <t>RENAULT CLIO ХБ+3Д МИН 1998-2005  СТ ПЕР ДВ ОП ПР ЗЛ</t>
  </si>
  <si>
    <t>6991938</t>
  </si>
  <si>
    <t>RENAULT CLIO 3Д 2001-2005  СТ ПЕР ДВ ОП ПР ЗЛ</t>
  </si>
  <si>
    <t>6994850</t>
  </si>
  <si>
    <t>RENAULT CLIO 3Д 1998-2005  СТ БОК ПР ЗЛ+ИНК</t>
  </si>
  <si>
    <t>6997466</t>
  </si>
  <si>
    <t>RENAULT CLIO 5Д 1998-2005  СТ ПЕР ДВ ОП ПР ЗЛ</t>
  </si>
  <si>
    <t>6991829</t>
  </si>
  <si>
    <t>RENAULT CLIO 5Д 2001-2005  СТ ПЕР ДВ ОП ПР ЗЛ</t>
  </si>
  <si>
    <t>6997246</t>
  </si>
  <si>
    <t>RENAULT CLIO 5Д 1998-2005   СТ ЗАДН ДВ ОП ПР ЗЛ</t>
  </si>
  <si>
    <t>6997468</t>
  </si>
  <si>
    <t>RENAULT CLIO 5Д 4/1999-2005  СТ ЗАДН ДВ ОП ПР ЗЛ</t>
  </si>
  <si>
    <t>6997248</t>
  </si>
  <si>
    <t>RENAULT CLIO 5Д 1998-2005  СТ ЗАДН ДВ НЕП ПР ЗЛ</t>
  </si>
  <si>
    <t>CLIO ХБ 2005 + CLIO GRAND TOUR УН 2007-</t>
  </si>
  <si>
    <t>6962458</t>
  </si>
  <si>
    <t>RENAULT CLIO 2005- СТ ВЕТР ЗЛ+ДД+VIN</t>
  </si>
  <si>
    <t>6961489</t>
  </si>
  <si>
    <t>RENAULT CLIO ХБ 2005-/CLIO GRAND TOUR УН 2007- СТ ВЕТР ЗЛ+ДД+VIN</t>
  </si>
  <si>
    <t>6961450</t>
  </si>
  <si>
    <t>RENAULT CLIO ХБ 2005-/CLIO GRAND TOUR УН 2007- СТ ВЕТР ЗЛ+VIN</t>
  </si>
  <si>
    <t>6961487</t>
  </si>
  <si>
    <t>6101705</t>
  </si>
  <si>
    <t>RENAULT CLIO 2005- МОЛД  ДЛЯ СТ ВЕТР ВЕРХ</t>
  </si>
  <si>
    <t>6996558</t>
  </si>
  <si>
    <t>RENAULT CLIO 3Д+5Д ХБ 2005- СТ ЗАДН ДВ ТЗЛ</t>
  </si>
  <si>
    <t>6992337</t>
  </si>
  <si>
    <t>RENAULT CLIO 3Д+5Д ХБ 2005- СТ ЗАДН ДВ ЗЛ</t>
  </si>
  <si>
    <t>6992333</t>
  </si>
  <si>
    <t>RENAULT CLIO ХБ 2005-/CLIO GRAND TOUR УН 2007- СТ ПЕР ДВ ОП ЛВ ЗЛ</t>
  </si>
  <si>
    <t>6992335</t>
  </si>
  <si>
    <t>RENAULT CLIO 3Д 2005- СТ БОК НЕП ЛВ ЗЛ</t>
  </si>
  <si>
    <t>6992338</t>
  </si>
  <si>
    <t>6992340</t>
  </si>
  <si>
    <t>RENAULT CLIO ХБ 2005-/CLIO GRAND TOUR УН 2007- СТ ЗАДН ДВ ОП ЗЛ</t>
  </si>
  <si>
    <t>6992244</t>
  </si>
  <si>
    <t>RENAULT CLIO 5Д 2005- СТ ФОРТ ЗАДН НЕП ЛВ ЗЛ</t>
  </si>
  <si>
    <t>6992334</t>
  </si>
  <si>
    <t>RENAULT CLIO ХБ 2005-/CLIO GRAND TOUR УН 2007- СТ ПЕР ДВ ОП ПР ЗЛ</t>
  </si>
  <si>
    <t>6992336</t>
  </si>
  <si>
    <t>RENAULT CLIO 3Д 2005- СТ БОК НЕП ПР ЗЛ</t>
  </si>
  <si>
    <t>6992339</t>
  </si>
  <si>
    <t>6992341</t>
  </si>
  <si>
    <t>6992245</t>
  </si>
  <si>
    <t>RENAULT CLIO 5Д 2005- СТ ФОРТ ЗАДН НЕП ПР ЗЛ</t>
  </si>
  <si>
    <t>Duster 2010-</t>
  </si>
  <si>
    <t>6962980</t>
  </si>
  <si>
    <t>2008-2010</t>
  </si>
  <si>
    <t>RENAULT Duster/SANDERO 5Д ХБ 2008- СТ ВЕТР ЗЛ</t>
  </si>
  <si>
    <t>6900400</t>
  </si>
  <si>
    <t>RENAULT Duster/SANDERO 5Д ХБ 2008- СТ ПЕР ДВ ОП ПР ЗЛ</t>
  </si>
  <si>
    <t>6900401</t>
  </si>
  <si>
    <t>RENAULT Duster/SANDERO 5Д ХБ 2008- СТ ПЕР ДВ ОП ЛВ ЗЛ</t>
  </si>
  <si>
    <t>6901519</t>
  </si>
  <si>
    <t>RENAULT Duster СТЕКЛО ОПУСК. ЗАДНЕЙ ДВЕРИ ПРАВОЕ</t>
  </si>
  <si>
    <t>6901520</t>
  </si>
  <si>
    <t>RENAULT Duster СТЕКЛО ОПУСК. ЗАДНЕЙ ДВЕРИ ЛЕВОЕ</t>
  </si>
  <si>
    <t>6901521</t>
  </si>
  <si>
    <t>RENAULT Duster СТЕКЛО ОКНА БОКОВИНЫ ПРАВОЕ</t>
  </si>
  <si>
    <t>6901522</t>
  </si>
  <si>
    <t>RENAULT Duster СТЕКЛО ОКНА БОКОВИНЫ ЛЕВОЕ</t>
  </si>
  <si>
    <t>6901523</t>
  </si>
  <si>
    <t>RENAULT Duster CTEKЛO OKHA ЗAДKA C Э/O</t>
  </si>
  <si>
    <t>ESPACE 1985-1991</t>
  </si>
  <si>
    <t>6966231</t>
  </si>
  <si>
    <t>1985-1991</t>
  </si>
  <si>
    <t>RENAULT ESPACE 1985-1991 СТ ВЕТР БР КР</t>
  </si>
  <si>
    <t>6966224</t>
  </si>
  <si>
    <t>RENAULT ESPACE 1985-1991 СТ ВЕТР КР</t>
  </si>
  <si>
    <t>6100361</t>
  </si>
  <si>
    <t>RENAULT ESPACE 1985-1987 7228ASMVL+ASMVR МОЛД ДЛЯ СТ ВЕТР ВЕРХ+НИЖН</t>
  </si>
  <si>
    <t>6996887</t>
  </si>
  <si>
    <t>RENAULT ESPACE 1985-1991 СТ ПЕР ДВ ОП ПР БР</t>
  </si>
  <si>
    <t>ESPACE 1991-1996</t>
  </si>
  <si>
    <t>6966240</t>
  </si>
  <si>
    <t>RENAULT ESPACE 1991-1996 СТ ВЕТР КР</t>
  </si>
  <si>
    <t>6966241</t>
  </si>
  <si>
    <t>RENAULT ESPACE 1991-1996 СТ ВЕТР ЗЛ КР</t>
  </si>
  <si>
    <t>6963765</t>
  </si>
  <si>
    <t>RENAULT ESPACE 1991-1996 СТ ВЕТР ЗЛЗЛ</t>
  </si>
  <si>
    <t>6100199</t>
  </si>
  <si>
    <t>RENAULT ESPACE 1991-1996 УСТ КОМПЛ ДЛЯ СТ ВЕТР ДЛЯ СТ ВЕТР</t>
  </si>
  <si>
    <t>6998185</t>
  </si>
  <si>
    <t>RENAULT ESPACE МИН 1991-1994 СТ ЗАДН ЗЛ</t>
  </si>
  <si>
    <t>6995831</t>
  </si>
  <si>
    <t>RENAULT ESPACE 1991-1996  СТ ПЕР ДВ ОП ЛВ ЗЛ</t>
  </si>
  <si>
    <t>6994596</t>
  </si>
  <si>
    <t>RENAULT ESPACE 1991-1996  СТ ПЕР НЕП ЛВ ЗЛ</t>
  </si>
  <si>
    <t>6994597</t>
  </si>
  <si>
    <t>RENAULT ESPACE 1991-1996  СТ БОК ПОД ЛВ ЗЛ</t>
  </si>
  <si>
    <t>6995833</t>
  </si>
  <si>
    <t>RENAULT ESPACE 1991-1996  СТ ПЕР ДВ ОП ПР ЗЛ</t>
  </si>
  <si>
    <t>6994598</t>
  </si>
  <si>
    <t>RENAULT ESPACE 1991-1996  СТ ПЕР НЕП ПР ЗЛ</t>
  </si>
  <si>
    <t>6994599</t>
  </si>
  <si>
    <t>RENAULT ESPACE 1991-1996  СТ БОК ПОД ПР ЗЛ</t>
  </si>
  <si>
    <t>ESPACE 1996-2002</t>
  </si>
  <si>
    <t>6963339</t>
  </si>
  <si>
    <t>RENAULT ESPACE 1996-2002  СТ ВЕТР ТЕПЛООТР+КР+VIN</t>
  </si>
  <si>
    <t>6960832</t>
  </si>
  <si>
    <t>RENAULT ESPACE 1996-2002  СТ ВЕТР ТЕПЛООТР+VIN</t>
  </si>
  <si>
    <t>6963340</t>
  </si>
  <si>
    <t>RENAULT ESPACE 1996-2002  СТ ВЕТР ЗЛ КР+VIN</t>
  </si>
  <si>
    <t>6100206</t>
  </si>
  <si>
    <t>RENAULT ESPACE 1997-2002  УСТ КОМПЛ ДЛЯ СТ ВЕТР ДЛЯ СТ ВЕТР</t>
  </si>
  <si>
    <t>6998807</t>
  </si>
  <si>
    <t>RENAULT ESPACE МИН 1996-2002  СТ ЗАДН ЭО ЗЛ</t>
  </si>
  <si>
    <t>6998808</t>
  </si>
  <si>
    <t>RENAULT ESPACE МИН 1996-2002  СТ ЗАДН ЭО ЗЛ ФИТ ОТКР</t>
  </si>
  <si>
    <t>6994628</t>
  </si>
  <si>
    <t>RENAULT ESPACE 1996-2002  СТ ПЕР ДВ ОП ЛВ ЗЛ</t>
  </si>
  <si>
    <t>6994629</t>
  </si>
  <si>
    <t>RENAULT ESPACE 1996-2002  СТ ПЕР НЕП ЛВ ЗЛ</t>
  </si>
  <si>
    <t>6994631</t>
  </si>
  <si>
    <t>RENAULT ESPACE 1996-2002  СТ БОК ПОД ЛВ ЗЛ</t>
  </si>
  <si>
    <t>6994633</t>
  </si>
  <si>
    <t>RENAULT ESPACE 1996-2002  СТ ПЕР ДВ ОП ПР ЗЛ</t>
  </si>
  <si>
    <t>6994634</t>
  </si>
  <si>
    <t>RENAULT ESPACE 1996-2002  СТ ПЕР НЕП ПР ЗЛ</t>
  </si>
  <si>
    <t>6994636</t>
  </si>
  <si>
    <t>RENAULT ESPACE 1996-2002  СТ БОК ПОД ПР ЗЛ</t>
  </si>
  <si>
    <t>EXPRESS/RAPID/SUPER 5 VAN 1985-1998</t>
  </si>
  <si>
    <t>6966215</t>
  </si>
  <si>
    <t>RENAULT SUPER 5 1985-1998  СТ ВЕТР КР</t>
  </si>
  <si>
    <t>6966216</t>
  </si>
  <si>
    <t>RENAULT SUPER 5 1985-1998  СТ ВЕТР ЗЛ КР</t>
  </si>
  <si>
    <t>6966250</t>
  </si>
  <si>
    <t>RENAULT SUPER 5 1985-1998  СТ ВЕТР ЗЛЗЛ КР</t>
  </si>
  <si>
    <t>6100188</t>
  </si>
  <si>
    <t>RENAULT SUPER 5 1984-1993  УСТ КОМПЛ ДЛЯ СТ ВЕТР ДЛЯ СТ ВЕТР</t>
  </si>
  <si>
    <t>6101807</t>
  </si>
  <si>
    <t>RENAULT SUPER 5 1985-1998  МОЛД  ДЛЯ СТ ВЕТР ВНУТР</t>
  </si>
  <si>
    <t>6100515</t>
  </si>
  <si>
    <t>RENAULT SUPER 5 1985-1998  ВНУТР МОЛД</t>
  </si>
  <si>
    <t>6100516</t>
  </si>
  <si>
    <t>RENAULT SUPER 5 1985-1998  МОЛД  ДЛЯ СТ ВЕТР</t>
  </si>
  <si>
    <t>6997088</t>
  </si>
  <si>
    <t>RENAULT SUPER 5 ХБ 1985-1998  СТ ЗАДН ЭО</t>
  </si>
  <si>
    <t>6998617</t>
  </si>
  <si>
    <t>RENAULT SUPER 5 МИН 1985-1998 92 СТ ЗАДН ЛВ</t>
  </si>
  <si>
    <t>6998618</t>
  </si>
  <si>
    <t>RENAULT SUPER 5 МИН 1985-1998 92 СТ ЗАДН ПР</t>
  </si>
  <si>
    <t>6997089</t>
  </si>
  <si>
    <t>RENAULT SUPER 5 ХБ 1985-1998  СТ ЗАДН ЭО ЗЛ</t>
  </si>
  <si>
    <t>6997457</t>
  </si>
  <si>
    <t>RENAULT SUPER 5 3Д 1985-1998  СТ ПЕР ДВ ОП ЛВ</t>
  </si>
  <si>
    <t>6996879</t>
  </si>
  <si>
    <t>RENAULT SUPER 5 3Д 1985-1998  СТ БОК ЛВ</t>
  </si>
  <si>
    <t>6994584</t>
  </si>
  <si>
    <t>RENAULT SUPER 5 3Д 1985-1998  СТ БОК ПОДВ ЛВ</t>
  </si>
  <si>
    <t>6997451</t>
  </si>
  <si>
    <t>RENAULT SUPER 5 5Д+МИН 1985-1998  СТ ПЕР ДВ ОП ЛВ</t>
  </si>
  <si>
    <t>6997605</t>
  </si>
  <si>
    <t>RENAULT SUPER 5 5Д 1985-1998  СТ БОК НЕП ЛВ</t>
  </si>
  <si>
    <t>6997455</t>
  </si>
  <si>
    <t>RENAULT SUPER 5 3Д 1985-1998  СТ ПЕР ДВ ОП ЛВ ЗЛ</t>
  </si>
  <si>
    <t>6997453</t>
  </si>
  <si>
    <t>RENAULT SUPER 5 5Д+МИН 1985-1998  СТ ПЕР ДВ ОП ЛВ ЗЛ</t>
  </si>
  <si>
    <t>6996882</t>
  </si>
  <si>
    <t>RENAULT SUPER 5 5Д 1985-1998  СТ ЗАДН ДВ ОП ЛВ ЗЛ</t>
  </si>
  <si>
    <t>6997607</t>
  </si>
  <si>
    <t>RENAULT SUPER 5 ХБ 5Д 1985-1998  СТ БОК НЕП ЛВ ЗЛ</t>
  </si>
  <si>
    <t>6997458</t>
  </si>
  <si>
    <t>RENAULT SUPER 5 3Д 1985-1998  СТ ПЕР ДВ ОП ПР</t>
  </si>
  <si>
    <t>6996880</t>
  </si>
  <si>
    <t>RENAULT SUPER 5 3Д 1985-1998  СТ БОК ПР</t>
  </si>
  <si>
    <t>6997452</t>
  </si>
  <si>
    <t>RENAULT SUPER 5 5Д+МИН 1985-1998  СТ ПЕР ДВ ОП ПР</t>
  </si>
  <si>
    <t>6994587</t>
  </si>
  <si>
    <t>RENAULT SUPER 5 5Д 1985-1998  СТ ЗАДН ДВ ОП ПР</t>
  </si>
  <si>
    <t>6997606</t>
  </si>
  <si>
    <t>RENAULT SUPER 5 5Д 1985-1998  СТ БОК НЕП ПР</t>
  </si>
  <si>
    <t>6997456</t>
  </si>
  <si>
    <t>RENAULT SUPER 5 3Д 1985-1998  СТ ПЕР ДВ ОП ПР ЗЛ</t>
  </si>
  <si>
    <t>6994589</t>
  </si>
  <si>
    <t>RENAULT SUPER 5 3Д 1985-1998  СТ БОК ПОД ПР ЗЛ</t>
  </si>
  <si>
    <t>6997454</t>
  </si>
  <si>
    <t>RENAULT SUPER 5 5Д+МИН 1985-1998  СТ ПУО ПР ЗЛ</t>
  </si>
  <si>
    <t>6996884</t>
  </si>
  <si>
    <t>RENAULT SUPER 5 5Д 1985-1998  СТ ЗАДН ДВ ОП ПР ЗЛ</t>
  </si>
  <si>
    <t>6997608</t>
  </si>
  <si>
    <t>RENAULT SUPER 5 ХБ 5Д 1985-1998  СТ БОК НЕП ПР ЗЛ</t>
  </si>
  <si>
    <t>JN 1975-1990 MIDLINER/ SAVIEM JK75 КБ 870</t>
  </si>
  <si>
    <t>6190201</t>
  </si>
  <si>
    <t>RENAULT JN 1975-1990 MIDLINER/ SAVIEM JK75 КБ 870 СТ ВЕТР/DAF F500 700 900 1100 TRUCK 1976-  СТ ВЕТР</t>
  </si>
  <si>
    <t>KANGOO 2007-</t>
  </si>
  <si>
    <t>6962469</t>
  </si>
  <si>
    <t>RENAULT KANGOO II 2007- СТ ВЕТР ЗЛ+ДД+VIN</t>
  </si>
  <si>
    <t>6962669</t>
  </si>
  <si>
    <t>RENAULT KANGOO II 2007- СТ ВЕТР ЗЛ+VIN</t>
  </si>
  <si>
    <t>KANGOO 1997-</t>
  </si>
  <si>
    <t>6963341</t>
  </si>
  <si>
    <t>RENAULT KANGOO 11/2001-  СТ ВЕТР ТЕПЛООТР/ NISSAN KUBISTAR 2003- СТ ВЕТР ТЕПЛООТР</t>
  </si>
  <si>
    <t>6961099</t>
  </si>
  <si>
    <t>RENAULT KANGOO 1997- СТ ВЕТР ЗЛ</t>
  </si>
  <si>
    <t>6961436</t>
  </si>
  <si>
    <t>RENAULT KANGOO 11/2001-  СТ ВЕТР ЗЛ ИЗМ РАЗМ/ NISSAN KUBISTAR 2003- СТ ВЕТР ЗЛ</t>
  </si>
  <si>
    <t>6102374</t>
  </si>
  <si>
    <t>RENAULT KANGOO 1997-  VAN НАБОР КЛИПС ДЛЯ СТ ВЕТР</t>
  </si>
  <si>
    <t>6100208</t>
  </si>
  <si>
    <t>RENAULT KANGOO 1998-  МОЛД  ДЛЯ СТ ВЕТР</t>
  </si>
  <si>
    <t>6101703</t>
  </si>
  <si>
    <t>RENAULT KANGOO 11/2001-  МОЛД  ДЛЯ СТ ВЕТР</t>
  </si>
  <si>
    <t>6102373</t>
  </si>
  <si>
    <t>RENAULT KANGOO 1997-  МОЛД  ДЛЯ СТ ВЕТР НИЖН</t>
  </si>
  <si>
    <t>6998670</t>
  </si>
  <si>
    <t>RENAULT KANGOO МИН 1997-  СТ ЗАДН ЗЛ</t>
  </si>
  <si>
    <t>6980038</t>
  </si>
  <si>
    <t>RENAULT KANGOO МИН 1999-  СТ ЗАДН ЗЛ+ИЗМ РАЗМ / NISSAN KUBISTAR 2003- СТ ЗАДН ЗЛ+VIN+ИЗМ РАЗМ</t>
  </si>
  <si>
    <t>6998922</t>
  </si>
  <si>
    <t>RENAULT KANGOO МИН 1997-  СТ ЗАДН ЭО ЛВ ЗЛ/ NISSAN KUBISTAR 2003- СТ ЗАДН ЗЛ ЛВ</t>
  </si>
  <si>
    <t>6998669</t>
  </si>
  <si>
    <t>RENAULT KANGOO МИН 1997-  СТ ЗАДН ЗЛ ПР Б/ЭО/ NISSAN KUBISTAR 2003- СТ ЗАДН ЗЛ ПР+Б/ЭО</t>
  </si>
  <si>
    <t>6994638</t>
  </si>
  <si>
    <t>RENAULT KANGOO 1997-  СТ ПЕР ДВ ОП ЛВ ЗЛ/ NISSAN KUBISTAR 2003- СТ ПЕР ДВ ОП ЛВ ЗЛ</t>
  </si>
  <si>
    <t>6994639</t>
  </si>
  <si>
    <t>RENAULT KANGOO 1997-  СТ ПЕР ДВ ОП ПР ЗЛ/ NISSAN KUBISTAR 2003- СТ ПЕР ДВ ОП ПР ЗЛ</t>
  </si>
  <si>
    <t>6995626</t>
  </si>
  <si>
    <t>RENAULT KANGOO 1997-  СТ ЗАДН ДВ ОП ПР ЗЛ/ NISSAN KUBISTAR 2003- СТ ЗАДН ДВ ОП ПР ЗЛ</t>
  </si>
  <si>
    <t>6995627</t>
  </si>
  <si>
    <t>RENAULT KANGOO 1997-  СТ БОК ПР ЗЛ/NISSAN KUBISTAR 03 СТ ЗАДН НЕП ПР ЗЛ+ОТКР</t>
  </si>
  <si>
    <t>KOLEOS 2008-</t>
  </si>
  <si>
    <t>6964601</t>
  </si>
  <si>
    <t>RENAULT KOLEOS 2008- СТ ВЕТР ЗЛ+ДД+VIN+УО</t>
  </si>
  <si>
    <t>6964820</t>
  </si>
  <si>
    <t>RENAULT KOLEOS 2008- СТ ВЕТР ЗЛ+VIN+ДД</t>
  </si>
  <si>
    <t>LAGUNA I 1994-2001</t>
  </si>
  <si>
    <t>6966254</t>
  </si>
  <si>
    <t>RENAULT LAGUNA I ХБ+УН 1994-2001  СТ ВЕТР ТЕПЛООТР</t>
  </si>
  <si>
    <t>6963279</t>
  </si>
  <si>
    <t>RENAULT LAGUNA I ХБ+УН 1994-2001  СТ ВЕТР ТЕПЛООТР+GPS</t>
  </si>
  <si>
    <t>6966244</t>
  </si>
  <si>
    <t>RENAULT LAGUNA I ХБ+УН 1994-2001  СТ ВЕТР КР</t>
  </si>
  <si>
    <t>6966108</t>
  </si>
  <si>
    <t>RENAULT LAGUNA I ХБ+УН 1994-2001  СТ ВЕТР ЗЛ</t>
  </si>
  <si>
    <t>6966245</t>
  </si>
  <si>
    <t>RENAULT LAGUNA I ХБ+УН 1994-2001  СТ ВЕТР ЗЛЗЛ</t>
  </si>
  <si>
    <t>6100521</t>
  </si>
  <si>
    <t>RENAULT LAGUNA I ХБ+УН 1994-2001  НАБ КЛИПС ДЛЯ СТ ВЕТР</t>
  </si>
  <si>
    <t>6100972</t>
  </si>
  <si>
    <t>RENAULT LAGUNA I ХБ+УН 1994-2001  МОЛД  ДЛЯ СТ ВЕТР ВЕРХ</t>
  </si>
  <si>
    <t>6998191</t>
  </si>
  <si>
    <t>RENAULT LAGUNA I ХБ 1999-2001  СТ ЗАДН ТЗЛ+АНТ+СТОП+ИНК</t>
  </si>
  <si>
    <t>6998190</t>
  </si>
  <si>
    <t>RENAULT LAGUNA I СД 1998-2001  СТ ЗАДН ЭО ТЗЛ+СТОП+ИНК</t>
  </si>
  <si>
    <t>6998805</t>
  </si>
  <si>
    <t>RENAULT LAGUNA I УН 1995-2001  СТ ЗАДН ЭО ЗЛ+ИНК</t>
  </si>
  <si>
    <t>6997420</t>
  </si>
  <si>
    <t>RENAULT LAGUNA I ХБ 1994-2001  СТ ЗАДН ЭО ЗЛ+СТОП+ИНК</t>
  </si>
  <si>
    <t>6999476</t>
  </si>
  <si>
    <t>RENAULT LAGUNA I ХБ 1998-2001  СТ ЗАДН ЭО ЗЛ+СТОП+ИНК</t>
  </si>
  <si>
    <t>6998094</t>
  </si>
  <si>
    <t>RENAULT LAGUNA I ХБ 1994-2001  СТ ЗАДН ЭО ЗЛ + ИНК</t>
  </si>
  <si>
    <t>6994613</t>
  </si>
  <si>
    <t>RENAULT LAGUNA I ХБ+УН 1994-2001  СТ ПЕР ДВ ОП ЛВ ЗЛ</t>
  </si>
  <si>
    <t>6991190</t>
  </si>
  <si>
    <t>RENAULT LAGUNA I ХБ+УН 1994-2001  СТ ЗАДН ДВ ОП ЛВ ЗЛ</t>
  </si>
  <si>
    <t>6993457</t>
  </si>
  <si>
    <t>RENAULT LAGUNA I 1999-2001 СТ ЗАДН ДВ ОП ЛВ ЗЛ</t>
  </si>
  <si>
    <t>6997415</t>
  </si>
  <si>
    <t>RENAULT LAGUNA I ХБ 1994-2001  СТ БОК НЕП ЛВ ЗЛ</t>
  </si>
  <si>
    <t>6997442</t>
  </si>
  <si>
    <t>RENAULT LAGUNA I ХБ+УН 1994-2001  СТ ЗАДН ДВ ОП ПР</t>
  </si>
  <si>
    <t>6997414</t>
  </si>
  <si>
    <t>RENAULT LAGUNA I ХБ 1994-2001  СТ БОК НЕП ПР</t>
  </si>
  <si>
    <t>6994615</t>
  </si>
  <si>
    <t>RENAULT LAGUNA I ХБ+УН 1994-2001  СТ ПЕР ДВ ОП ПР ЗЛ</t>
  </si>
  <si>
    <t>6991076</t>
  </si>
  <si>
    <t>RENAULT LAGUNA I ХБ+УН 1994-2001  СТ ЗАДН ДВ ОП ПР ЗЛ</t>
  </si>
  <si>
    <t>6993458</t>
  </si>
  <si>
    <t>RENAULT LAGUNA I ХБ 1999-2001  СТ ЗАДН ДВ ОП ПР ЗЛ</t>
  </si>
  <si>
    <t>6997416</t>
  </si>
  <si>
    <t>RENAULT LAGUNA I ХБ 1994-2001  СТ БОК НЕП ПР ЗЛ</t>
  </si>
  <si>
    <t>LAGUNA II 2000-</t>
  </si>
  <si>
    <t>6960834</t>
  </si>
  <si>
    <t>RENAULT LAGUNA II 2000-2007 СТ ВЕТР ТЕПЛООТР ДД+VIN</t>
  </si>
  <si>
    <t>6961257</t>
  </si>
  <si>
    <t>RENAULT LAGUNA II 2003-2007 СТ ВЕТР ТЕПЛООТР ДД+VIN</t>
  </si>
  <si>
    <t>6960822</t>
  </si>
  <si>
    <t>RENAULT LAGUNA II 2000-2007 СТ ВЕТР ТЕПЛООТР+VIN</t>
  </si>
  <si>
    <t>6960818</t>
  </si>
  <si>
    <t>RENAULT LAGUNA II 2000-2007 СТ ВЕТР ЗЛ ДД+VIN</t>
  </si>
  <si>
    <t>6961919</t>
  </si>
  <si>
    <t>RENAULT LAGUNA II 2000-2007 CТ ВЕТР ЗЛ+VIN</t>
  </si>
  <si>
    <t>6960810</t>
  </si>
  <si>
    <t>RENAULT LAGUNA II 2000-2007 СТ ВЕТР ЗЛ+VIN+LOGO</t>
  </si>
  <si>
    <t>6101274</t>
  </si>
  <si>
    <t>RENAULT LAGUNA II 2000-2007 УСТ КОМПЛ ДЛЯ СТ ВЕТР</t>
  </si>
  <si>
    <t>6100525</t>
  </si>
  <si>
    <t>RENAULT LAGUNA II 2000-2007 МОЛД  ДЛЯ СТ ВЕТР  ВЕРХ</t>
  </si>
  <si>
    <t>6993081</t>
  </si>
  <si>
    <t>RENAULT LAGUNA II УН 2001-2007 СТ ЗАДН ЭО ТЗЛ</t>
  </si>
  <si>
    <t>6990923</t>
  </si>
  <si>
    <t>RENAULT LAGUNA II УН 2001-2007 СТ ЗАДН ПОД ЭО ТЗЛ+УО</t>
  </si>
  <si>
    <t>6993082</t>
  </si>
  <si>
    <t>RENAULT LAGUNA II УН 2001-2007 СТ ЗАДН ЭО</t>
  </si>
  <si>
    <t>6990461</t>
  </si>
  <si>
    <t>RENAULT LAGUNA II УН 2001-2007 СТ ЗАДН ПОД ЭО+УО</t>
  </si>
  <si>
    <t>6990919</t>
  </si>
  <si>
    <t>RENAULT LAGUNA II 2001-2007 СТ ЗАДН ДВ ОП ЛВ ТЗЛ</t>
  </si>
  <si>
    <t>6990464</t>
  </si>
  <si>
    <t>RENAULT LAGUNA II 2001-2007 СТ БОК ЛВ ИНК+ТЗЛ</t>
  </si>
  <si>
    <t>6990467</t>
  </si>
  <si>
    <t>RENAULT LAGUNA II 2001-2007 СТ ЗАДН ДВ НЕП ЛВ ТЗЛ</t>
  </si>
  <si>
    <t>6990922</t>
  </si>
  <si>
    <t>RENAULT LAGUNA II 2001-2007 СТ ЗАДН ДВ ОП ЛВ ЗЛ</t>
  </si>
  <si>
    <t>6990465</t>
  </si>
  <si>
    <t>RENAULT LAGUNA II 2001-2007 СТ БОК ЛВ ЗЛ ИНК</t>
  </si>
  <si>
    <t>6991714</t>
  </si>
  <si>
    <t>RENAULT LAGUNA II 2001-2007 СТ ЗАДН ДВ НЕП ЛВ ЗЛ</t>
  </si>
  <si>
    <t>6980130</t>
  </si>
  <si>
    <t>RENAULT LAGUNA II ХБ+УН 2000-2007  СТ ПЕР ДВ ОП ЛВ ЗЛ</t>
  </si>
  <si>
    <t>6980132</t>
  </si>
  <si>
    <t>RENAULT LAGUNA II ХБ 2000-2007  СТ ЗАДН ДВ ОП ЛВ ЗЛ</t>
  </si>
  <si>
    <t>6992779</t>
  </si>
  <si>
    <t>RENAULT LAGUNA II ХБ 2000-2007  СТ ЗАДН ДВ НЕП ЛВ</t>
  </si>
  <si>
    <t>6990921</t>
  </si>
  <si>
    <t>RENAULT LAGUNA II 2001-2007 СТ ЗАДН ДВ ОП ПР ТЗЛ</t>
  </si>
  <si>
    <t>6990462</t>
  </si>
  <si>
    <t>RENAULT LAGUNA II 2001-2007 СТ БОК ПР ТЗЛ+ИНК+АНТ</t>
  </si>
  <si>
    <t>6990466</t>
  </si>
  <si>
    <t>RENAULT LAGUNA II 2001-2007 СТ ЗАДН ДВ НЕП ПР ТЗЛ</t>
  </si>
  <si>
    <t>6990920</t>
  </si>
  <si>
    <t>RENAULT LAGUNA II 2001-2007 СТ ЗАДН ДВ ОП ПР ЗЛ</t>
  </si>
  <si>
    <t>6990463</t>
  </si>
  <si>
    <t>RENAULT LAGUNA II 2001-2007 СТ БОК ПР ЗЛ ИНК+АНТ</t>
  </si>
  <si>
    <t>6991713</t>
  </si>
  <si>
    <t>RENAULT LAGUNA II 2001-2007 СТ ЗАДН ДВ НЕП ПР ЗЛ</t>
  </si>
  <si>
    <t>6980131</t>
  </si>
  <si>
    <t>RENAULT LAGUNA II ХБ+УН 2000-2007 СТ ПЕР ДВ ОП ПР ЗЛ+2 ОТВ</t>
  </si>
  <si>
    <t>6980133</t>
  </si>
  <si>
    <t>RENAULT LAGUNA II ХБ 2000-2007 СТ ЗАДН ДВ ОП ПР ЗЛ</t>
  </si>
  <si>
    <t>6992780</t>
  </si>
  <si>
    <t>RENAULT LAGUNA II ХБ 2000-2007  СТ ЗАДН ДВ НЕП ПР</t>
  </si>
  <si>
    <t>LAGUNA III 2007-</t>
  </si>
  <si>
    <t>6961199</t>
  </si>
  <si>
    <t>RENAULT LAGUNA III 4Д СД+5Д ХБ 2007- СТ ВЕТP+ДД+VIN+ИНК</t>
  </si>
  <si>
    <t>6961198</t>
  </si>
  <si>
    <t>RENAULT LAGUNA III 4Д СД+5Д ХБ 2007- СТ ВЕТР ЗЛ+ДД+VIN+ИНК</t>
  </si>
  <si>
    <t>6961204</t>
  </si>
  <si>
    <t>RENAULT LAGUNA III СЕД + ХБ 2007-  СТ ВЕТР ЗЛ+ДД+VIN</t>
  </si>
  <si>
    <t>6961200</t>
  </si>
  <si>
    <t>RENAULT LAGUNA III СЕД + ХБ 2007-  СТ ВЕТР ЗЛ+VIN</t>
  </si>
  <si>
    <t>6993998</t>
  </si>
  <si>
    <t>RENAULT LAGUNA III СЕД + УН+ ХБ 2007-  СТ ПЕР ДВ ОП ЛВ ЗЛ</t>
  </si>
  <si>
    <t>6993995</t>
  </si>
  <si>
    <t>RENAULT LAGUNA III СЕД + УН+ ХБ 2007-  СТ ПЕР ДВ ОП ПР ЗЛ</t>
  </si>
  <si>
    <t>LATITUDE 2011-</t>
  </si>
  <si>
    <t>6965838</t>
  </si>
  <si>
    <t>RENAULT LATITUDE 2011-СТ ВЕТР ЗЛ+ДД+VIN</t>
  </si>
  <si>
    <t>LOGAN 2005-</t>
  </si>
  <si>
    <t>6961291</t>
  </si>
  <si>
    <t>RENAULT LOGAN 2005- СТ ВЕТР</t>
  </si>
  <si>
    <t>6961454</t>
  </si>
  <si>
    <t>RENAULT LOGAN 2005- / MCV 2007-  СТ ВЕТР ЗЛ</t>
  </si>
  <si>
    <t>6962675</t>
  </si>
  <si>
    <t>RENAULT LOGAN 2005- / MCV 2007-  СТ ВЕТР ЗЛГЛ</t>
  </si>
  <si>
    <t>6102144</t>
  </si>
  <si>
    <t>RENAULT LOGAN 2005- / MCV 2007- МОЛД  ДЛЯ СТ ВЕТР ВЕРХ</t>
  </si>
  <si>
    <t>6102145</t>
  </si>
  <si>
    <t>RENAULT LOGAN 2005- / MCV 2007- МОЛД ДЛЯ СТ ВЕТР НИЗ</t>
  </si>
  <si>
    <t>6993986</t>
  </si>
  <si>
    <t>RENAULT LOGAN СД 2005-  СТ ЗАДН ЗЛ ЭО</t>
  </si>
  <si>
    <t>6993954</t>
  </si>
  <si>
    <t>RENAULT LOGAN СД 2005-  СТ ЗАДН ЭО+СТОП</t>
  </si>
  <si>
    <t>6993399</t>
  </si>
  <si>
    <t>RENAULT LOGAN 2005-  СТ ПЕР ДВ ОП ЛВ</t>
  </si>
  <si>
    <t>6993454</t>
  </si>
  <si>
    <t>RENAULT LOGAN 2005-  СТ ЗАДН ДВ ОП ЛВ</t>
  </si>
  <si>
    <t>6993452</t>
  </si>
  <si>
    <t>RENAULT LOGAN 2005-  СТ ПЕР ДВ ОП ЛВ ЗЛ</t>
  </si>
  <si>
    <t>6993520</t>
  </si>
  <si>
    <t>RENAULT LOGAN 2005-  СТ ЗАДН ДВ ОП ЛВ ЗЛ</t>
  </si>
  <si>
    <t>6993398</t>
  </si>
  <si>
    <t>RENAULT LOGAN 2005-  СТ ПЕР ДВ ОП ПР</t>
  </si>
  <si>
    <t>6993453</t>
  </si>
  <si>
    <t>RENAULT LOGAN 2005-  СТ ЗАДН ДВ ОП ПР</t>
  </si>
  <si>
    <t>6993400</t>
  </si>
  <si>
    <t>RENAULT LOGAN 2005-  СТ ПЕР ДВ ОП ПР ЗЛ</t>
  </si>
  <si>
    <t>6993519</t>
  </si>
  <si>
    <t>RENAULT LOGAN 2005-  СТ ЗАДН ДВ ОП ПР ЗЛ</t>
  </si>
  <si>
    <t>MAXITY 2007-</t>
  </si>
  <si>
    <t>6962668</t>
  </si>
  <si>
    <t>RENAULT MAXITY 2007- СТ ВЕТР ЗЛ</t>
  </si>
  <si>
    <t>MEGANE I 4D/5Д 1995-2002</t>
  </si>
  <si>
    <t>6966252</t>
  </si>
  <si>
    <t>RENAULT MEGANE I 5Д ХБ+4Д СД 1995-2002  СТ ВЕТР ТЕПЛООТР+КР</t>
  </si>
  <si>
    <t>6966248</t>
  </si>
  <si>
    <t>RENAULT MEGANE I 5Д ХБ+4Д СД 1995-2002  СТ ВЕТР +КР</t>
  </si>
  <si>
    <t>6964402</t>
  </si>
  <si>
    <t>RENAULT MEGANE I ХБ+СД 1995-2002 /УН 1999-2002  СТ ВЕТР ЗЛГЛ</t>
  </si>
  <si>
    <t>6963664</t>
  </si>
  <si>
    <t>RENAULT MEGANE I 5Д ХБ+4Д СД 1995-2002  СТ ВЕТР ЗЛЗЛ+КР</t>
  </si>
  <si>
    <t>6963337</t>
  </si>
  <si>
    <t>RENAULT MEGANE I ХБ+СЕД 1995-2002 /УН 1999-2002  СТ ВЕТР ЗЛ ЭО</t>
  </si>
  <si>
    <t>6966249</t>
  </si>
  <si>
    <t>RENAULT MEGANE I 5Д ХБ+4Д СД 1995-2002  СТ ВЕТР ЗЛ+КР</t>
  </si>
  <si>
    <t>6102317</t>
  </si>
  <si>
    <t>RENAULT MEGANE I ХБ/СД 1995-2002/ УН 1999-2002 УСТ КОМПЛ ДЛЯ СТ ВЕТР</t>
  </si>
  <si>
    <t>6995053</t>
  </si>
  <si>
    <t>RENAULT MEGANE I 5Д ХБ 1995-2002  СТ ЗАДН ЭО+СТОП</t>
  </si>
  <si>
    <t>6991172</t>
  </si>
  <si>
    <t>RENAULT MEGANE I 4Д СД 1995-2002  СТ ЗАДН ЭО ЗЛ+СТОП</t>
  </si>
  <si>
    <t>6996018</t>
  </si>
  <si>
    <t>2001-2002</t>
  </si>
  <si>
    <t>RENAULT MEGANE I 5Д ХБ 2001-2002  СТ ЗАДН ЭО ТЗЛ+СТОП</t>
  </si>
  <si>
    <t>6996019</t>
  </si>
  <si>
    <t>RENAULT MEGANE I 4Д СД 2001-2002  СТ ЗАДН ЭО ТЗЛ+СТОП</t>
  </si>
  <si>
    <t>6996274</t>
  </si>
  <si>
    <t>RENAULT MEGANE I УН 1999-2002  СТ ЗАДН ЗЛ+УО</t>
  </si>
  <si>
    <t>6995054</t>
  </si>
  <si>
    <t>RENAULT MEGANE I 5Д ХБ 1995-2002  СТ ЗАДН ЭО ЗЛ+СТОП</t>
  </si>
  <si>
    <t>6100204</t>
  </si>
  <si>
    <t>RENAULT MEGANE I ХБ 1996-2002   МОЛД  ДЛЯ СТ ЗАДН</t>
  </si>
  <si>
    <t>6994616</t>
  </si>
  <si>
    <t>RENAULT MEGANE I 5Д ХБ+4Д СД 1995-2002 СТ ПЕР ДВ ОП ЛВ</t>
  </si>
  <si>
    <t>6994826</t>
  </si>
  <si>
    <t>RENAULT MEGANE I 5Д ХБ+4Д СД 1995-2002 СТ ПЕР ДВ ОП ЛВ ЗЛ</t>
  </si>
  <si>
    <t>6994827</t>
  </si>
  <si>
    <t>RENAULT MEGANE I 5Д ХБ+4Д СД 1995-2002 СТ ЗАДН ДВ ОП ЛВ ЗЛ</t>
  </si>
  <si>
    <t>6994828</t>
  </si>
  <si>
    <t>RENAULT MEGANE I 5Д ХБ+4Д СД 1995-2002 СТ БОК НЕП ЛВ ЗЛ</t>
  </si>
  <si>
    <t>6994619</t>
  </si>
  <si>
    <t>RENAULT MEGANE I 5Д ХБ+4Д СД 1995-2002 СТ ПЕР ДВ ОП ПР</t>
  </si>
  <si>
    <t>6994621</t>
  </si>
  <si>
    <t>RENAULT MEGANE I 5Д ХБ+4Д СД 1995-2002 СТ БОК НЕП ПР</t>
  </si>
  <si>
    <t>6994829</t>
  </si>
  <si>
    <t>RENAULT MEGANE I 5Д ХБ+4Д СД 1995-2002 СТ ПЕР ДВ ОП ПР ЗЛ</t>
  </si>
  <si>
    <t>6994830</t>
  </si>
  <si>
    <t>RENAULT MEGANE I 5Д ХБ+4Д СД 1995-2002 СТ ЗАДН ДВ ОП ПР ЗЛ</t>
  </si>
  <si>
    <t>6994831</t>
  </si>
  <si>
    <t>RENAULT MEGANE I 5Д ХБ+4Д СД 1995-2002 СТ БОК НЕП ПР ЗЛ</t>
  </si>
  <si>
    <t>6900270</t>
  </si>
  <si>
    <t>RENAULT MEGANE I УН 1999-2002  СТ ЗАДН ДВ ОП ПР ЗЛ</t>
  </si>
  <si>
    <t>MEGANE I КП 1995-2002/КБ 1996-2002</t>
  </si>
  <si>
    <t>6963281</t>
  </si>
  <si>
    <t>RENAULT MEGANE I КП 1995-2002 /КБ 1996-2002  СТ ВЕТР ТЕПЛООТР</t>
  </si>
  <si>
    <t>6963665</t>
  </si>
  <si>
    <t>RENAULT MEGANE I КП 1995-2002 /КБ 1996-2002  СТ ВЕТР ЗЛ+КР</t>
  </si>
  <si>
    <t>6963666</t>
  </si>
  <si>
    <t>RENAULT MEGANE I КП 1995-2002 /КБ 1996-2002  СТ ВЕТР ЗЛЗЛ+КР</t>
  </si>
  <si>
    <t>6994832</t>
  </si>
  <si>
    <t>RENAULT MEGANE I КП 1995-2002  СТ ЗАДН ЭО ЗЛ+ОТВ</t>
  </si>
  <si>
    <t>6995167</t>
  </si>
  <si>
    <t>RENAULT MEGANE I КП 2001-2002  СТ ЗАДН ЭО ТЗЛ</t>
  </si>
  <si>
    <t>6100205</t>
  </si>
  <si>
    <t>RENAULT MEGANE I КБ 1996-2002   МОЛД  ДЛЯ СТ ЗАДН</t>
  </si>
  <si>
    <t>6991196</t>
  </si>
  <si>
    <t>RENAULT MEGANE I КП 1995-2002  СТ ПЕР ДВ ОП ЛВ ЗЛ+2ОТВ</t>
  </si>
  <si>
    <t>6994834</t>
  </si>
  <si>
    <t>RENAULT MEGANE I КП 1995-2002  СТ БОК НЕП ЛВ ЗЛ</t>
  </si>
  <si>
    <t>6994838</t>
  </si>
  <si>
    <t>RENAULT MEGANE I КП 1995-2002  СТ БОК ПОД ЛВ ЗЛ+3 ОТВ</t>
  </si>
  <si>
    <t>6995168</t>
  </si>
  <si>
    <t>RENAULT MEGANE I КП 2001-2002  СТ БОК ПОД ЛВ ТЗЛ</t>
  </si>
  <si>
    <t>6991195</t>
  </si>
  <si>
    <t>RENAULT MEGANE I КП 1995-2002  СТ ПЕР ДВ ОП ПР ЗЛ+2ОТВ</t>
  </si>
  <si>
    <t>6994835</t>
  </si>
  <si>
    <t>RENAULT MEGANE I КП 1995-2002 СТ БОК ПОД ПР ЗЛ+3ОТВ</t>
  </si>
  <si>
    <t>6994627</t>
  </si>
  <si>
    <t>RENAULT MEGANE I КБ 1996-2002  СТ БОК ПОД ПР ЗЛ+ФИТ</t>
  </si>
  <si>
    <t>6995169</t>
  </si>
  <si>
    <t>RENAULT MEGANE I КП 2001-2002  СТ БОК ПОД ПР ТЗЛ</t>
  </si>
  <si>
    <t>MEGANE II 3Д/5Д 2002-</t>
  </si>
  <si>
    <t>6961468</t>
  </si>
  <si>
    <t>RENAULT MEGANE II 2002- СТ ВЕТР ЗЛ+ДД+VIN</t>
  </si>
  <si>
    <t>6961351</t>
  </si>
  <si>
    <t>RENAULT MEGANE II 3Д/5Д 2002- СТ ВЕТР ЗЛ+VIN</t>
  </si>
  <si>
    <t>6961352</t>
  </si>
  <si>
    <t>6961340</t>
  </si>
  <si>
    <t>RENAULT MEGANE II 2002- СТ ВЕТР ЗЛ VIN</t>
  </si>
  <si>
    <t>6100617</t>
  </si>
  <si>
    <t>RENAULT MEGANE II 3Д/5Д 2002- МОЛД  ДЛЯ СТ ВЕТР</t>
  </si>
  <si>
    <t>6996116</t>
  </si>
  <si>
    <t>RENAULT MEGANE II УН 2003-  СТ ЗАДН ЗЛ</t>
  </si>
  <si>
    <t>6900109</t>
  </si>
  <si>
    <t>RENAULT MEGANE II УН 2003-  СТ ЗАДН ЗЛ ОТКР+УО</t>
  </si>
  <si>
    <t>6997801</t>
  </si>
  <si>
    <t>RENAULT MEGANE II ХБ 2002-  СТ ЗАДН ЗЛ</t>
  </si>
  <si>
    <t>6900840</t>
  </si>
  <si>
    <t>RENAULT MEGANE II СД 2003- СТ ЗАДН ЗЛ+СТОП</t>
  </si>
  <si>
    <t>6997623</t>
  </si>
  <si>
    <t>RENAULT MEGANE II УН 2003-  СТ ЗАДН ДВ ОП ЛВ ЗЛ</t>
  </si>
  <si>
    <t>6993288</t>
  </si>
  <si>
    <t>RENAULT MEGANE II 2002-  СТ ПЕР ДВ ОП ЛВ ЗЛ</t>
  </si>
  <si>
    <t>6993289</t>
  </si>
  <si>
    <t>6995923</t>
  </si>
  <si>
    <t>RENAULT MEGANE II 2002-  СТ ЗАДН ДВ ОП ЛВ ЗЛ</t>
  </si>
  <si>
    <t>6995924</t>
  </si>
  <si>
    <t>RENAULT MEGANE II 2002-  СТ ФОРТ ЗАДН НЕП ЛВ ЗЛ</t>
  </si>
  <si>
    <t>6995919</t>
  </si>
  <si>
    <t>RENAULT MEGANE II СД 2003-  СТ ЗАДН ДВ ОП ЛВ ЗЛ</t>
  </si>
  <si>
    <t>6995920</t>
  </si>
  <si>
    <t>RENAULT MEGANE II СД 2003-  СТ ФОРТ ЗАДН НЕП ЛВ ЗЛ</t>
  </si>
  <si>
    <t>6993891</t>
  </si>
  <si>
    <t>RENAULT MEGANE II УН 2003-  СТ ЗАДН ДВ ОП ПР ЗЛ</t>
  </si>
  <si>
    <t>6993287</t>
  </si>
  <si>
    <t>RENAULT MEGANE II 2002-  СТ ПЕР ДВ ОП ПР ЗЛ</t>
  </si>
  <si>
    <t>6993290</t>
  </si>
  <si>
    <t>6993890</t>
  </si>
  <si>
    <t>RENAULT MEGANE II 2002-  СТ ЗАДН ДВ ОП ПР ЗЛ</t>
  </si>
  <si>
    <t>6995925</t>
  </si>
  <si>
    <t>RENAULT MEGANE II 2002-  СТ ФОРТ ЗАДН НЕП ПР ЗЛ</t>
  </si>
  <si>
    <t>6993889</t>
  </si>
  <si>
    <t>RENAULT MEGANE II СЕД 2003-  СТ ЗАДН ДВ ОП ПР ЗЛ</t>
  </si>
  <si>
    <t>6995922</t>
  </si>
  <si>
    <t>RENAULT MEGANE II СЕД 2003-  СТ ФОРТ ЗАДН НЕП ПР ЗЛ</t>
  </si>
  <si>
    <t>MEGANE КП 2008-</t>
  </si>
  <si>
    <t>6901449</t>
  </si>
  <si>
    <t>RENAULT MEGANE КП 2008- СТ ЗАДН ЗЛ</t>
  </si>
  <si>
    <t>6901450</t>
  </si>
  <si>
    <t>RENAULT MEGANE КП 2008- СТ ЗАДН ЗЛ+АНТ</t>
  </si>
  <si>
    <t>6901452</t>
  </si>
  <si>
    <t>RENAULT MEGANE КП 2008- СТ ПЕР ДВ ОП ЛВ ЗЛ+УО</t>
  </si>
  <si>
    <t>6901451</t>
  </si>
  <si>
    <t>RENAULT MEGANE КП 2008- СТ ПЕР ДВ ОП ПР ЗЛ+УО</t>
  </si>
  <si>
    <t>MEGANE III 5Д 2008-/ FLUENCE 10-</t>
  </si>
  <si>
    <t>6964732</t>
  </si>
  <si>
    <t>RENAULT MEGANE 5Д ХБ/УН 2008- СТ ВЕТР ЗЛ+ДД+VIN</t>
  </si>
  <si>
    <t>6964731</t>
  </si>
  <si>
    <t>RENAULT MEGANE 5Д ХБ/УН 2008- СТ ВЕТР ЗЛ+VIN</t>
  </si>
  <si>
    <t>6964730</t>
  </si>
  <si>
    <t>RENAULT MEGANE 08-СТ ВЕТР ЗЛ АКУСТИК+ДД+VIN</t>
  </si>
  <si>
    <t>6964733</t>
  </si>
  <si>
    <t>RENAULT MEGANE 08-СТ ВЕТР ЗЛ АКУСТИК+VIN</t>
  </si>
  <si>
    <t>6965094</t>
  </si>
  <si>
    <t>RENAULT FLUENCE 10- СТ ВЕТР ЗЛ+ДД+VIN</t>
  </si>
  <si>
    <t>6965302</t>
  </si>
  <si>
    <t>RENAULT  FLUENCE 10- СТ ВЕТР ЗЛ+VIN</t>
  </si>
  <si>
    <t>6901455</t>
  </si>
  <si>
    <t>RENAULT MEGANE 5Д ХБ 2008- СТ ЗАДН ЗЛ</t>
  </si>
  <si>
    <t>6901456</t>
  </si>
  <si>
    <t>RENAULT MEGANE 5Д ХБ 2008- СТ ЗАДН ЗЛ+АНТ</t>
  </si>
  <si>
    <t>6901462</t>
  </si>
  <si>
    <t>RENAULT MEGANE 5Д УН 2008- СТ ЗАДН ДВ ОП ЛВ ЗЛ+УО</t>
  </si>
  <si>
    <t>6901461</t>
  </si>
  <si>
    <t>RENAULT MEGANE 5Д УН 2008- СТ ЗАДН ДВ ОП ПР ЗЛ+УО</t>
  </si>
  <si>
    <t>MEGANE SCENIC I 1996-2003</t>
  </si>
  <si>
    <t>6966253</t>
  </si>
  <si>
    <t>RENAULT MEGANE SCENIC I 1996-  СТ ВЕТР ТЕПЛООТР</t>
  </si>
  <si>
    <t>6960488</t>
  </si>
  <si>
    <t>RENAULT MEGANE SCENIC I 1996-  СТ ВЕТР</t>
  </si>
  <si>
    <t>6966255</t>
  </si>
  <si>
    <t>RENAULT MEGANE SCENIC I 1996-  СТ ВЕТР ЗЛ</t>
  </si>
  <si>
    <t>6960489</t>
  </si>
  <si>
    <t>RENAULT MEGANE SCENIC I 2002-  СТ ВЕТР ЗЛ</t>
  </si>
  <si>
    <t>6963255</t>
  </si>
  <si>
    <t>RENAULT MEGANE SCENIC I 1996-  СТ ВЕТР ЗЛЗЛ</t>
  </si>
  <si>
    <t>6961435</t>
  </si>
  <si>
    <t>RENAULT MEGANE SCENIC I 1996-  СТ ВЕТР ЭО ЗЛ</t>
  </si>
  <si>
    <t>6960487</t>
  </si>
  <si>
    <t>RENAULT MEGANE SCENIC I 1996- СТ ВЕТР ЭО ЗЛ</t>
  </si>
  <si>
    <t>6101227</t>
  </si>
  <si>
    <t>RENAULT MEGANE SCENIC I 1996-  УСТ КОМПЛ ДЛЯ СТ ВЕТР</t>
  </si>
  <si>
    <t>6994839</t>
  </si>
  <si>
    <t>RENAULT MEGANE SCENIC I МИН 1996-  СТ ЗАДН ЭО ЗЛ</t>
  </si>
  <si>
    <t>6990994</t>
  </si>
  <si>
    <t>RENAULT MEGANE SCENIC I МИН 2001-  СТ ЗАДН ЭО ТЗЛ</t>
  </si>
  <si>
    <t>6990995</t>
  </si>
  <si>
    <t>RENAULT MEGANE SCENIC I МИН 2001-  СТ ЗАДН ЭО ТЗЛ+ИЗМ РАЗМ</t>
  </si>
  <si>
    <t>6993456</t>
  </si>
  <si>
    <t>RENAULT MEGANE SCENIC I МИН 2001  СТ ЗАДН ЗЛ+ИЗМ РАЗМ</t>
  </si>
  <si>
    <t>6992987</t>
  </si>
  <si>
    <t>RENAULT MEGANE SCENIC I МИН 1999- СТЕК ЗАДН ЗЛ+ИЗМ РАЗМ</t>
  </si>
  <si>
    <t>6997479</t>
  </si>
  <si>
    <t>RENAULT MEGANE SCENIC I 1996-  СТ ПЕР ДВ ОП ЛВ ЗЛ+1ОТВ</t>
  </si>
  <si>
    <t>6997477</t>
  </si>
  <si>
    <t>RENAULT MEGANE SCENIC I 1996-  СТ ПЕР ДВ НЕП ЛВ ЗЛ</t>
  </si>
  <si>
    <t>6994840</t>
  </si>
  <si>
    <t>RENAULT MEGANE SCENIC I 1996-  СТ ЗАДН ДВ ОП ЛВ ЗЛ+2ОТВ</t>
  </si>
  <si>
    <t>6997615</t>
  </si>
  <si>
    <t>RENAULT MEGANE SCENIC I 5/1999-  СТ БОК НЕП ЛВ ЗЛ ИНК</t>
  </si>
  <si>
    <t>6990993</t>
  </si>
  <si>
    <t>RENAULT MEGANE SCENIC I 2001- СТ ЗАДН ДВ ОП ЛВ ТЗЛ</t>
  </si>
  <si>
    <t>6991133</t>
  </si>
  <si>
    <t>RENAULT MEGANE SCENIC I 2001- СТ БОК НЕП ЛВ ТЗЛ+ИНК</t>
  </si>
  <si>
    <t>6991042</t>
  </si>
  <si>
    <t>6997478</t>
  </si>
  <si>
    <t>RENAULT MEGANE SCENIC I 1996-  СТ ПЕР ДВ ОП ПР ЗЛ+1ОТВ</t>
  </si>
  <si>
    <t>6997476</t>
  </si>
  <si>
    <t>RENAULT MEGANE SCENIC I 1996- СТ ПЕР ДВ НЕП ПР ЗЛ</t>
  </si>
  <si>
    <t>6991177</t>
  </si>
  <si>
    <t>RENAULT MEGANE SCENIC I 1996-  СТ ЗАДН ДВ ОП ПР ЗЛ+2ОТВ</t>
  </si>
  <si>
    <t>6997482</t>
  </si>
  <si>
    <t>RENAULT MEGANE SCENIC I 1996-  СТ БОК НЕП ПР ЗЛ</t>
  </si>
  <si>
    <t>6997614</t>
  </si>
  <si>
    <t>RENAULT MEGANE SCENIC I 5/1999  СТ БОК НЕП ПР ЗЛ ИНК</t>
  </si>
  <si>
    <t>6990992</t>
  </si>
  <si>
    <t>RENAULT MEGANE SCENIC I 2001-  СТ ЗАДН ДВ ОП ПР ТЗЛ</t>
  </si>
  <si>
    <t>6991132</t>
  </si>
  <si>
    <t>RENAULT MEGANE SCENIC I 2001-  СТ БОК НЕП ПР ТЗЛ+ИНК</t>
  </si>
  <si>
    <t>6991040</t>
  </si>
  <si>
    <t>RENAULT MEGANE SCENIC I 1996- СТ ПЕР ДВ ОП ПР ЗЛ+1ОТВ</t>
  </si>
  <si>
    <t>MEGANE SCENIC II 2003-</t>
  </si>
  <si>
    <t>6960408</t>
  </si>
  <si>
    <t>RENAULT MEGANE SCENIC II 2003- СТ ВЕТР ДД+VIN</t>
  </si>
  <si>
    <t>6960406</t>
  </si>
  <si>
    <t>RENAULT MEGANE SCENIC II 2003- СТ ВЕТР ЗЛ+VIN</t>
  </si>
  <si>
    <t>6960409</t>
  </si>
  <si>
    <t>RENAULT MEGANE SCENIC II 2003- СТ ВЕТР ТЕПЛООТР+ДД+VIN+ИЗМ РАЗМ</t>
  </si>
  <si>
    <t>6101577</t>
  </si>
  <si>
    <t>RENAULT MEGANE SCENIC II 2003- МОЛД  ДЛЯ СТ ВЕТР</t>
  </si>
  <si>
    <t>6993794</t>
  </si>
  <si>
    <t>RENAULT MEGANE SCENIC II МИН 2003- СТ ЗАДН ТЗЛ</t>
  </si>
  <si>
    <t>6991708</t>
  </si>
  <si>
    <t>RENAULT MEGANE SCENIC II МИН 2003- СТ ЗАДН ЗЛ</t>
  </si>
  <si>
    <t>6991264</t>
  </si>
  <si>
    <t>RENAULT MEGANE SCENIC II МИН2003- СТ ПОД ЗАДН ЗЛ+УО</t>
  </si>
  <si>
    <t>6993793</t>
  </si>
  <si>
    <t>RENAULT MEGANE SCENIC II 2003- СТ ЗУО ЛВ ТЗЛ</t>
  </si>
  <si>
    <t>6991686</t>
  </si>
  <si>
    <t>RENAULT MEGANE SCENIC II 2003- СТ ПЕР ДВ ОП ЛВ ЗЛ</t>
  </si>
  <si>
    <t>6991744</t>
  </si>
  <si>
    <t>RENAULT MEGANE SCENIC II 2003- СТ ПЕР ДВ НЕП ЛВ ЗЛ</t>
  </si>
  <si>
    <t>6991688</t>
  </si>
  <si>
    <t>RENAULT MEGANE SCENIC II 2003- СТ ЗАДН ДВ ОП ЛВ ЗЛ</t>
  </si>
  <si>
    <t>6993792</t>
  </si>
  <si>
    <t>RENAULT MEGANE SCENIC II 2003- СТ ЗУО ПР ТЗЛ</t>
  </si>
  <si>
    <t>6991685</t>
  </si>
  <si>
    <t>RENAULT MEGANE SCENIC II 2003- СТ ПЕР ДВ ОП ПР ЗЛ</t>
  </si>
  <si>
    <t>6991745</t>
  </si>
  <si>
    <t>RENAULT MEGANE SCENIC II 2003- СТ ПЕР ДВ НЕП ПР ЗЛ</t>
  </si>
  <si>
    <t>6991687</t>
  </si>
  <si>
    <t>RENAULT MEGANE SCENIC II 2003- СТ ЗАДН ДВ ОП ПР ЗЛ</t>
  </si>
  <si>
    <t>MEGANE SCENIC III 2008-</t>
  </si>
  <si>
    <t>6962360</t>
  </si>
  <si>
    <t>RENAULT MEGANE SCENIC III 2008- СТ ВЕТР ЗЛ+ДД</t>
  </si>
  <si>
    <t>6962885</t>
  </si>
  <si>
    <t>RENAULT MEGANE SCENIC III 2008- СТ ВЕТР ЗЛ+VIN</t>
  </si>
  <si>
    <t>6900759</t>
  </si>
  <si>
    <t>RENAULT MEGANE SCENIC III 2008- СТ ЗАДН ОП ПР</t>
  </si>
  <si>
    <t>6997822</t>
  </si>
  <si>
    <t>RENAULT MEGANE SCENIC III 2008- СТ ПЕР ДВ ОП ПР ЗЛ</t>
  </si>
  <si>
    <t>6998195</t>
  </si>
  <si>
    <t>RENAULT MEGANE SCENIC III 2008- СТ ФОРТ ПР ЗЛ</t>
  </si>
  <si>
    <t>6900760</t>
  </si>
  <si>
    <t>RENAULT MEGANE SCENIC III 2008- СТ ЗАДН ОП ЛВ</t>
  </si>
  <si>
    <t>6997823</t>
  </si>
  <si>
    <t>RENAULT MEGANE SCENIC III 2008- СТ ПЕР ДВ ОП ЛВ ЗЛ</t>
  </si>
  <si>
    <t>6998196</t>
  </si>
  <si>
    <t>RENAULT MEGANE SCENIC III 2008- СТ ФОРТ ЛВ ЗЛ</t>
  </si>
  <si>
    <t>MODUS 2004-</t>
  </si>
  <si>
    <t>6961341</t>
  </si>
  <si>
    <t>RENAULT MODUS J77 07/2004-  СТ ВЕТР ЗЛ+ДД+VIN</t>
  </si>
  <si>
    <t>6961342</t>
  </si>
  <si>
    <t>RENAULT MODUS J77 07/2004-  СТ ВЕТР ЗЛ+VIN</t>
  </si>
  <si>
    <t>6997532</t>
  </si>
  <si>
    <t>RENAULT MODUS J77 МИН 07/2004-  СТ ЗАДН ЗЛ+УО</t>
  </si>
  <si>
    <t>6997393</t>
  </si>
  <si>
    <t>RENAULT MODUS J77 07/2004-  СТ ПЕР ДВ ОП ЛВ ЗЛ</t>
  </si>
  <si>
    <t>6997624</t>
  </si>
  <si>
    <t>RENAULT MODUS J77 07/2004-  СТ ЗАДН ДВ ОП ЛВ ЗЛ</t>
  </si>
  <si>
    <t>6993892</t>
  </si>
  <si>
    <t>RENAULT MODUS J77 07/2004-  СТ ПЕР ДВ ОП ПР ЗЛ</t>
  </si>
  <si>
    <t>6993893</t>
  </si>
  <si>
    <t>RENAULT MODUS J77 07/2004-  СТ ЗАДН ДВ ОП ПР ЗЛ</t>
  </si>
  <si>
    <t>R4 1961-1980</t>
  </si>
  <si>
    <t>6966201</t>
  </si>
  <si>
    <t>1961-1980</t>
  </si>
  <si>
    <t>RENAULT R4, СД+УН 1961-1980 СТ ВЕТР</t>
  </si>
  <si>
    <t>R9/R11 1982-1989</t>
  </si>
  <si>
    <t>6966209</t>
  </si>
  <si>
    <t>1982-1988</t>
  </si>
  <si>
    <t>RENAULT R9/11 1982-1989 СТ ВЕТР КР</t>
  </si>
  <si>
    <t>6966212</t>
  </si>
  <si>
    <t>RENAULT R9/11 1982-1989 СТ ВЕТР ЗЛ КР</t>
  </si>
  <si>
    <t>6100366</t>
  </si>
  <si>
    <t>RENAULT R9/11 1982-1989 РЕЗ ПРОФ ДЛЯ СТ ВЕТР</t>
  </si>
  <si>
    <t>6998793</t>
  </si>
  <si>
    <t>RENAULT R9 СД 1982-1989 СТ ЗАДН ЗЛ</t>
  </si>
  <si>
    <t>6997401</t>
  </si>
  <si>
    <t>RENAULT R9 4Д+R11 5Д 1982-1989 СТ ПЕР ДВ ОП ЛВ</t>
  </si>
  <si>
    <t>6997403</t>
  </si>
  <si>
    <t>RENAULT R9 4Д+R11 5Д 1982-1989 СТ ПЕР ДВ ОП ЛВ ЗЛ</t>
  </si>
  <si>
    <t>6997402</t>
  </si>
  <si>
    <t>RENAULT R9 4Д+R11 5Д 1982-1989 СТ ПЕР ДВ ОП ПР</t>
  </si>
  <si>
    <t>R18 1979-1986</t>
  </si>
  <si>
    <t>6966211</t>
  </si>
  <si>
    <t>RENAULT R18 1979-1986 СТ ВЕТР+КР</t>
  </si>
  <si>
    <t>R19 1989-1997</t>
  </si>
  <si>
    <t>6966225</t>
  </si>
  <si>
    <t>1989-1997</t>
  </si>
  <si>
    <t>RENAULT R19 1989-1997 СТ ВЕТР+КР</t>
  </si>
  <si>
    <t>6966226</t>
  </si>
  <si>
    <t>RENAULT R19 1989-1997 СТ ВЕТР ЗЛ КР</t>
  </si>
  <si>
    <t>6966276</t>
  </si>
  <si>
    <t>RENAULT R19 1989-1997 СТ ВЕТР ЗЛГЛ</t>
  </si>
  <si>
    <t>6966275</t>
  </si>
  <si>
    <t>RENAULT R19 1989-1997 СТ ВЕТР ЗЛЗЛ</t>
  </si>
  <si>
    <t>6100194</t>
  </si>
  <si>
    <t>RENAULT R19 1988-1997 УСТ КОМПЛ ДЛЯ СТ ВЕТР ХРОМ С СОЕД</t>
  </si>
  <si>
    <t>6100360</t>
  </si>
  <si>
    <t>RENAULT R19 1989-1997  ВНУТР  МОЛД  ДЛЯ СТ ВЕТР</t>
  </si>
  <si>
    <t>6100359</t>
  </si>
  <si>
    <t>RENAULT R19 1989-1997  МОЛД  ДЛЯ СТ ВЕТР</t>
  </si>
  <si>
    <t>6998801</t>
  </si>
  <si>
    <t>RENAULT R19 ХБ 1989-1997  СТ ЗАДН ДВ</t>
  </si>
  <si>
    <t>6997130</t>
  </si>
  <si>
    <t>RENAULT R19 СД 4Д 1989-1997 СТ ЗАДН ЭО</t>
  </si>
  <si>
    <t>6994812</t>
  </si>
  <si>
    <t>RENAULT R19 ХБ 1989-1997 СТ ЗАДН ЭО ЗЛ</t>
  </si>
  <si>
    <t>6997118</t>
  </si>
  <si>
    <t>RENAULT R19 СД 4Д 1989-1997  СТ ЗАДН ЭО ЗЛ</t>
  </si>
  <si>
    <t>6997461</t>
  </si>
  <si>
    <t>RENAULT R19 ХБ 5Д+СД 4Д 1989-1997  СТ ПЕР ДВ ОП ЛВ</t>
  </si>
  <si>
    <t>6994815</t>
  </si>
  <si>
    <t>RENAULT R19 ХБ 5Д+СД 4Д 1989-1997  СТ ЗАДН ДВ ОП ЛВ</t>
  </si>
  <si>
    <t>6997609</t>
  </si>
  <si>
    <t>RENAULT R19 ХБ 5Д+СД 4Д 1989-1997  СТ БОК НЕП ЛВ</t>
  </si>
  <si>
    <t>6997463</t>
  </si>
  <si>
    <t>RENAULT R19 ХБ 5Д+СД 4Д 1989-1997  СТ ПЕР ДВ ОП ЛВ ЗЛ</t>
  </si>
  <si>
    <t>6994818</t>
  </si>
  <si>
    <t>RENAULT R19 ХБ 5Д+СД 4D 1989-1997  СТ ЗАДН ДВ ОП ЛВ ТЗЛ</t>
  </si>
  <si>
    <t>6997611</t>
  </si>
  <si>
    <t>RENAULT R19 ХБ 5Д+СД 4D 1989-1997  СТ БОК НЕП ЛВ ЗЛ</t>
  </si>
  <si>
    <t>6997462</t>
  </si>
  <si>
    <t>RENAULT R19 ХБ 5Д+СД 4D 1989-1997  СТ ПЕР ДВ ОП ПР</t>
  </si>
  <si>
    <t>6997610</t>
  </si>
  <si>
    <t>RENAULT R19 ХБ 5Д+СД 4D 1989-1997  СТ БОК НЕП ПР</t>
  </si>
  <si>
    <t>6996898</t>
  </si>
  <si>
    <t>RENAULT R19 ХБ 3Д 1989-1997  СТ БОК НЕП ПР ЗЛ</t>
  </si>
  <si>
    <t>6997464</t>
  </si>
  <si>
    <t>RENAULT R19 ХБ 5Д+СД 4D 1989-1997  СТ ПЕР ДВ ОП ПР ЗЛ</t>
  </si>
  <si>
    <t>6994824</t>
  </si>
  <si>
    <t>RENAULT R19 ХБ 5Д+СД 4D 1989-1997  СТ ЗАДН ДВ ОП ПР ЗЛ</t>
  </si>
  <si>
    <t>6997612</t>
  </si>
  <si>
    <t>RENAULT R19 ХБ 5Д+СД 4D 1989-1997  СТ БОК НЕП ПР ЗЛ</t>
  </si>
  <si>
    <t>R21 1986-1995</t>
  </si>
  <si>
    <t>6966221</t>
  </si>
  <si>
    <t>RENAULT R21 1986-1995 СТ ВЕТР КР</t>
  </si>
  <si>
    <t>6966222</t>
  </si>
  <si>
    <t>RENAULT R21 1986-1995 СТ ВЕТР ЗЛ КР</t>
  </si>
  <si>
    <t>6966262</t>
  </si>
  <si>
    <t>RENAULT R21 1986-1995 СТ ВЕТР ЗЛЗЛ КР</t>
  </si>
  <si>
    <t>6100518</t>
  </si>
  <si>
    <t>RENAULT R21 1986-1995 УСТ КОМПЛ ДЛЯ СТ ВЕТР</t>
  </si>
  <si>
    <t>6994802</t>
  </si>
  <si>
    <t>RENAULT R21 УН 1986-1995  СТ ЗАДН ЭО</t>
  </si>
  <si>
    <t>6998798</t>
  </si>
  <si>
    <t>RENAULT R21 СД 1986-1995  СТ ЗАДН ЭО</t>
  </si>
  <si>
    <t>6994803</t>
  </si>
  <si>
    <t>RENAULT R21 УН 1986-1995  СТ ЗАДН ЭО ЗЛ</t>
  </si>
  <si>
    <t>6998800</t>
  </si>
  <si>
    <t>RENAULT R21 СД 1986-1995  СТ ЗАДН ЭО ЗЛ</t>
  </si>
  <si>
    <t>6994804</t>
  </si>
  <si>
    <t>RENAULT R21 УН 1986-1995  СТ ЗАДН ДВ ОП ЛВ</t>
  </si>
  <si>
    <t>6994594</t>
  </si>
  <si>
    <t>RENAULT R21 СД 1986-1995  СТ ПЕР ДВ ОП ЛВ</t>
  </si>
  <si>
    <t>6996895</t>
  </si>
  <si>
    <t>RENAULT R21 СД 1986-1995  СТ ПЕР ДВ ОП ЛВ ЗЛ</t>
  </si>
  <si>
    <t>6995330</t>
  </si>
  <si>
    <t>RENAULT R21 СД 4Д 1986-1995 СТ ЗАДН ДВ ОП ЛВ ЗЛ</t>
  </si>
  <si>
    <t>6997127</t>
  </si>
  <si>
    <t>RENAULT R21 СД 1986-1995  СТ БОК НЕП ЛВ ЗЛ</t>
  </si>
  <si>
    <t>6994808</t>
  </si>
  <si>
    <t>RENAULT R21 УН 1986-1995  СТ ЗАДН ДВ ОП ПР</t>
  </si>
  <si>
    <t>6994595</t>
  </si>
  <si>
    <t>RENAULT R21 СД 1986-1995  СТ ПЕР ДВ ОП ПР</t>
  </si>
  <si>
    <t>6995329</t>
  </si>
  <si>
    <t>RENAULT R21 СД+ХБ 1986-1995  СТ ЗАДН ДВ ОП ПР</t>
  </si>
  <si>
    <t>6994810</t>
  </si>
  <si>
    <t>RENAULT R21 УН 1986-1995  СТ ЗАДН ДВ ОП ПР ЗЛ</t>
  </si>
  <si>
    <t>6996896</t>
  </si>
  <si>
    <t>RENAULT R21 СД 1986-1995  СТ ПЕР ДВ ОП ПР ЗЛ</t>
  </si>
  <si>
    <t>6995331</t>
  </si>
  <si>
    <t>RENAULT R21 СД+ХБ 1986-1995  СТ ЗАДН ДВ ОП ПР ЗЛ</t>
  </si>
  <si>
    <t>6997128</t>
  </si>
  <si>
    <t>RENAULT R21 СД 1986-1995  СТ БОК НЕП ПР ЗЛ</t>
  </si>
  <si>
    <t>R25 1984-1993</t>
  </si>
  <si>
    <t>6966220</t>
  </si>
  <si>
    <t>RENAULT R25 1984-1993 СТ ВЕТР</t>
  </si>
  <si>
    <t>6966219</t>
  </si>
  <si>
    <t>RENAULT R25 1984-1993 СТ ВЕТР ЗЛ КР</t>
  </si>
  <si>
    <t>6966291</t>
  </si>
  <si>
    <t>RENAULT R25 1984-1993 СТ ВЕТР ЗЛЗЛ</t>
  </si>
  <si>
    <t>6101806</t>
  </si>
  <si>
    <t>RENAULT R25 1984-1993 УСТ КОМПЛ ДЛЯ СТ ВЕТР</t>
  </si>
  <si>
    <t>6100364</t>
  </si>
  <si>
    <t>RENAULT R25 1984-1993 ВНУТР  МОЛД  ДЛЯ СТ ВЕТР</t>
  </si>
  <si>
    <t>6100363</t>
  </si>
  <si>
    <t>6998668</t>
  </si>
  <si>
    <t>RENAULT R25 ХБ 1984-1993 СТ ЗАДН ЗЛ</t>
  </si>
  <si>
    <t>6994578</t>
  </si>
  <si>
    <t>RENAULT R25 1984-1993 СТ ПЕР ДВ ОП ЛВ ЗЛ</t>
  </si>
  <si>
    <t>6994579</t>
  </si>
  <si>
    <t>RENAULT R25 1984-1993 СТ ЗАДН ДВ ОП ЛВ ЗЛ</t>
  </si>
  <si>
    <t>6994580</t>
  </si>
  <si>
    <t>RENAULT R25 1984-1993 СТ БОК НЕП ЛВ ЗЛ</t>
  </si>
  <si>
    <t>6994581</t>
  </si>
  <si>
    <t>RENAULT R25 1984-1993 СТ ПЕР ДВ ОП ПР ЗЛ</t>
  </si>
  <si>
    <t>6994582</t>
  </si>
  <si>
    <t>RENAULT R25 1984-1993 СТ ЗАДН ДВ ОП ПР ЗЛ</t>
  </si>
  <si>
    <t>6994583</t>
  </si>
  <si>
    <t>RENAULT R25 1984-1993 СТ БОК НЕП ПР ЗЛ</t>
  </si>
  <si>
    <t>SAFRANE 1993-2001</t>
  </si>
  <si>
    <t>6966243</t>
  </si>
  <si>
    <t>RENAULT SAFRANE 1993-2001  СТ ВЕТР ЗЛ КР</t>
  </si>
  <si>
    <t>6100200</t>
  </si>
  <si>
    <t>RENAULT SAFRANE 1993-2001 МОЛД  ДЛЯ СТ ВЕТР ВЕРХ МЯГК СО СПЕЙС</t>
  </si>
  <si>
    <t>6998803</t>
  </si>
  <si>
    <t>RENAULT SAFRANE ХБ 1996-2001  СТ ЗАДН ДВ ЗЛ+СТОП+ИНК</t>
  </si>
  <si>
    <t>6998804</t>
  </si>
  <si>
    <t>RENAULT SAFRANE ХБ 1993-2001  СТ ЗАДН ЭО ЗЛ+ИНК</t>
  </si>
  <si>
    <t>6994600</t>
  </si>
  <si>
    <t>RENAULT SAFRANE 1993-2001  СТ ПЕР ДВ ОП ЛВ ЗЛ</t>
  </si>
  <si>
    <t>6994601</t>
  </si>
  <si>
    <t>RENAULT SAFRANE 1993-2001  СТ ЗАДН ДВ ОП ЛВ ЗЛ</t>
  </si>
  <si>
    <t>6994603</t>
  </si>
  <si>
    <t>RENAULT SAFRANE 1993-2001  СТ ПЕР ДВ ОП ПР ЗЛ</t>
  </si>
  <si>
    <t>6994604</t>
  </si>
  <si>
    <t>RENAULT SAFRANE 1993-2001  СТ ЗАДН ДВ ОП ПР ЗЛ</t>
  </si>
  <si>
    <t>6994237</t>
  </si>
  <si>
    <t>RENAULT SAFRANE 1996-2001  СТ БОК НЕП ПР ЗЛ+ИНК</t>
  </si>
  <si>
    <t>SANDERO 2008</t>
  </si>
  <si>
    <t>RENAULT SANDERO 5Д ХБ 2008- СТ ВЕТР ЗЛ</t>
  </si>
  <si>
    <t>RENAULT SANDERO 5Д ХБ 08- СТ ПЕР ДВ ОП ПР ЗЛ</t>
  </si>
  <si>
    <t>RENAULT SANDERO 5Д ХБ 08- СТ ПЕР ДВ ОП ЛВ ЗЛ</t>
  </si>
  <si>
    <t>6900402</t>
  </si>
  <si>
    <t>RENAULT SANDERO 5Д ХБ 08-СТ ЗАДН ДВ ОП ПР ЗЛ</t>
  </si>
  <si>
    <t>6900403</t>
  </si>
  <si>
    <t>RENAULT SANDERO 5Д ХБ 08-СТ ЗАДН ДВ ОП ЛВ ЗЛ</t>
  </si>
  <si>
    <t>6900404</t>
  </si>
  <si>
    <t>RENAULT SANDERO 5Д ХБ 08-ФОРТ ЗАДН НЕП ПР ЗЛ</t>
  </si>
  <si>
    <t>6900405</t>
  </si>
  <si>
    <t>RENAULT SANDERO 5Д ХБ 08-ФОРТ ЗАДН НЕП ЛВ ЗЛ</t>
  </si>
  <si>
    <t>6900406</t>
  </si>
  <si>
    <t>RENAULT SANDERO ХБ 08- СТ ЗАДН ЗЛ ИЗМ ЭО</t>
  </si>
  <si>
    <t>TRAFIC 2001-</t>
  </si>
  <si>
    <t>6960176</t>
  </si>
  <si>
    <t>2001-2013</t>
  </si>
  <si>
    <t>RENAULT TRAFIC 2001- СТ ВЕТР ТЕПЛООТР+VIN/ OPEL VIVARO 2001-  СТ ВЕТР ТЕПЛООТР+VIN</t>
  </si>
  <si>
    <t>6961714</t>
  </si>
  <si>
    <t>RENAULT TRAFIC 2001- СТ ВЕТР ТЕПЛООТР+VIN+КР/ OPEL VIVARO 2001-  СТ ВЕТР ТЕПЛООТР+VIN</t>
  </si>
  <si>
    <t>6961100</t>
  </si>
  <si>
    <t>2006-2013</t>
  </si>
  <si>
    <t>RENAULT TRAFIC 2006- СТ ВЕТР ЗЛ+ДД+VIN</t>
  </si>
  <si>
    <t>6960177</t>
  </si>
  <si>
    <t>RENAULT TRAFIC 2001- СТ ВЕТР ЗЛ+VIN/ RENAULT TRAFIC 2001- СТ ВЕТР ЗЛ+VIN</t>
  </si>
  <si>
    <t>6190459</t>
  </si>
  <si>
    <t>RENAULT TRAFIC 2001- СТ ВЕТР ЗЛ+VIN/ RENAULT TRAFIC 2001-  СТ ВЕТР ЗЛ+VIN</t>
  </si>
  <si>
    <t>6960178</t>
  </si>
  <si>
    <t>RENAULT TRAFIC 2001- СТ ВЕТР БЕЗ КР ЗЛ+VIN/ VAUXHALL/OPEL VIVARO 2001-  СТ ВЕТР ЗЛ+VIN</t>
  </si>
  <si>
    <t>6961715</t>
  </si>
  <si>
    <t>RENAULT TRAFIC 2001- СТ ВЕТР ЗЛ+VIN/ OPEL VIVARO 2001-  СТ ВЕТР ЗЛ+VIN</t>
  </si>
  <si>
    <t>6100330</t>
  </si>
  <si>
    <t>RENAULT TRAFIC 2001- МОЛД  ДЛЯ СТ ВЕТР ВЕРХ</t>
  </si>
  <si>
    <t>6990926</t>
  </si>
  <si>
    <t>RENAULT TRAFIC МИН 2001-  СТ ЗАДН ЭО ЗЛ/ OPEL VIVARO 2001- СТ ЗАДН ЗЛ</t>
  </si>
  <si>
    <t>6990765</t>
  </si>
  <si>
    <t>RENAULT TRAFIC МИН 2001-  СТ ЗАДН ЛВ ЭО/ NISSAN PRIMASTAR X83 03  СТ ЗАДН ЗЛ ЛВ</t>
  </si>
  <si>
    <t>6990444</t>
  </si>
  <si>
    <t>RENAULT TRAFIC МИН 2001-  СТ ЗАДН ЛВ ЗЛ Б/ЭО / VAUXHALL/OPEL VIVARO 2001-  СТ ЗАДН ЗЛ ЛВ Б/ЭО</t>
  </si>
  <si>
    <t>6990764</t>
  </si>
  <si>
    <t>RENAULT TRAFIC МИН 2001-  СТ ЗАДН ПР ЭО ЗЛ/ NISSAN PRIMASTAR X83 03  СТ ЗАДН ЗЛ ПР</t>
  </si>
  <si>
    <t>6991146</t>
  </si>
  <si>
    <t>RENAULT TRAFIC МИН 2001-  СТ ЗАДН ПР ЗЛ Б/ЭО / VAUXHALL/OPEL VIVARO 2001-  СТ ЗАДН ЗЛ ПР Б/ЭО</t>
  </si>
  <si>
    <t>6991153</t>
  </si>
  <si>
    <t>RENAULT TRAFIC 2001-  СТ ПЕР ДВ ОП ЛВ ЗЛ / VAUXHALL/OPEL VIVARO 2001-  СТ ПЕР ДВ ОП ЛВ</t>
  </si>
  <si>
    <t>6990475</t>
  </si>
  <si>
    <t>RENAULT TRAFIC 2001-  СТ ПЕР ДВ НЕП ЛВ ЗЛ / VAUXHALL/OPEL VIVARO 2001-  СТ ФОРТ ПЕР НЕП ЛВ</t>
  </si>
  <si>
    <t>6990775</t>
  </si>
  <si>
    <t>RENAULT TRAFIC 2001-  СТ ЗАДН ДВ НЕП ЛВ ЗЛ / OPEL VIVARO VAN 2D 2001- СТ ЗАДН НЕП ЛВ ЗЛ</t>
  </si>
  <si>
    <t>6990773</t>
  </si>
  <si>
    <t>RENAULT TRAFIC 2001-  СТ БОК ЛВ ЗЛЗЛ+VIN / VAUXHALL/OPEL VIVARO 4Д LHD 2001- СТ СР ЛВ ЗЛ</t>
  </si>
  <si>
    <t>6990774</t>
  </si>
  <si>
    <t>RENAULT TRAFIC 4Д ЛВРУЛЬ/5Д 2001-  СТ ЗАДН ДВ ОП ЛВ ТЗЛ / VAUXHALL/OPEL VIVARO RHD/ 2001-  СТ ЗАДН ОП ЛВ ЗЛ</t>
  </si>
  <si>
    <t>6992099</t>
  </si>
  <si>
    <t>RENAULT TRAFIC 2001- СТ ЗАДН ДВ НЕП ЛВ / VAUXHALL/OPEL VIVARO LWB 2001-  СТ БОК НЕП ЛВ ЗЛ</t>
  </si>
  <si>
    <t>6900980</t>
  </si>
  <si>
    <t>RENAULT TRAFIC 2001- СТ ЗАДН ДВ НЕП ЛВ ЗЛ</t>
  </si>
  <si>
    <t>6991151</t>
  </si>
  <si>
    <t>RENAULT TRAFIC 2001-  СТ ПЕР ДВ ОП ПР ЗЛ / VAUXHALL/OPEL VIVARO 2001-  СТ ПЕР ДВ ОП ПР</t>
  </si>
  <si>
    <t>6990474</t>
  </si>
  <si>
    <t>RENAULT TRAFIC 2001- СТ ПЕР ДВ НЕП ПР ЗЛ / VAUXHALL/OPEL VIVARO 2001-  СТ ФОРТ ПЕР НЕП ПР</t>
  </si>
  <si>
    <t>6990769</t>
  </si>
  <si>
    <t>RENAULT TRAFIC 2001-  СТ ЗАДН ДВ НЕП ПР ЗЛ / OPEL VIVARO VAN 2D 2001- СТ ЗАДН НЕП ПР ЗЛ</t>
  </si>
  <si>
    <t>6990770</t>
  </si>
  <si>
    <t>RENAULT TRAFIC 4Д ЛВРУЛЬ/5Д 2001-  СТ ЗАДН ДВ ОП ПР ЗЛ / VAUXHALL/OPEL VIVARO LHD/ 2001-  СТ ЗАДН ОП ПР ЗЛ</t>
  </si>
  <si>
    <t>6992100</t>
  </si>
  <si>
    <t>RENAULT TRAFIC 2001- СТ ЗАДН ДВ НЕП ПР / VAUXHALL/OPEL VIVARO LWB 2001-  СТ БОК НЕП ПР ЗЛ</t>
  </si>
  <si>
    <t>6900984</t>
  </si>
  <si>
    <t>RENAULT TRAFIC 01 СТ ЗАДН НЕП ЛВ ЗЛ+ИЗМ РАЗМ</t>
  </si>
  <si>
    <t>TRAFIC 1981-2001</t>
  </si>
  <si>
    <t>6966233</t>
  </si>
  <si>
    <t>1981-2001</t>
  </si>
  <si>
    <t>RENAULT TRAFIC 1981-2001  СТ ВЕТР КР</t>
  </si>
  <si>
    <t>6100368</t>
  </si>
  <si>
    <t>RENAULT TRAFIC 1981-2001  РЕЗ ПРОФ ДЛЯ СТ ВЕТР</t>
  </si>
  <si>
    <t>6997371</t>
  </si>
  <si>
    <t>RENAULT TRAFIC 1981-2001  СТ ПЕР ДВ ОП ЛВ</t>
  </si>
  <si>
    <t>6997369</t>
  </si>
  <si>
    <t>RENAULT TRAFIC 2Д 1981-2001 СТ ФОР ПЕР ДВ ЛВ/OPEL ARENA УН 1997-  СТ ФОРТ ПЕР НЕП ЛВ</t>
  </si>
  <si>
    <t>6997370</t>
  </si>
  <si>
    <t>RENAULT TRAFIC 1981-2001  СТ ПЕР ДВ ОП ПР</t>
  </si>
  <si>
    <t>6997368</t>
  </si>
  <si>
    <t>RENAULT TRAFIC 2Д 1981-2001  СТ ФОРТ ПЕР ДВ ПР/OPEL ARENA УН 1997-  СТ ФОРТ ПЕР НЕП ПР</t>
  </si>
  <si>
    <t>TWINGO 2007-</t>
  </si>
  <si>
    <t>6962336</t>
  </si>
  <si>
    <t>RENAULT TWINGO II 2007-  СТ ВЕТР ЗЛ+ДД+VIN</t>
  </si>
  <si>
    <t>6962337</t>
  </si>
  <si>
    <t>RENAULT TWINGO II 2007-  СТ ВЕТР ЗЛ+VIN</t>
  </si>
  <si>
    <t>TWINGO 1993-2006-</t>
  </si>
  <si>
    <t>6963335</t>
  </si>
  <si>
    <t>1993-2006</t>
  </si>
  <si>
    <t>RENAULT TWINGO 1993-2006  СТ ВЕТР ТЕПЛООТР КР</t>
  </si>
  <si>
    <t>6964562</t>
  </si>
  <si>
    <t>RENAULT TWINGO 1993-2006  СТ ВЕТР КР</t>
  </si>
  <si>
    <t>6966235</t>
  </si>
  <si>
    <t>RENAULT TWINGO 2000-2006  СТ ВЕТР ЗЛ</t>
  </si>
  <si>
    <t>6966247</t>
  </si>
  <si>
    <t>RENAULT TWINGO 1993-2006  СТ ВЕТР ЗЛГЛ КР ИЗМ ШЕЛК</t>
  </si>
  <si>
    <t>6966246</t>
  </si>
  <si>
    <t>RENAULT TWINGO 1993-2006  СТ ВЕТР ЗЛЗЛ КР ИЗМ ШЕЛК</t>
  </si>
  <si>
    <t>6100356</t>
  </si>
  <si>
    <t>RENAULT TWINGO 1993-2006  МОЛД  ДЛЯ СТ ВЕТР</t>
  </si>
  <si>
    <t>6997604</t>
  </si>
  <si>
    <t>RENAULT TWINGO ХБ 1993-2006  СТ ЗАДН ЭО ЗЛ</t>
  </si>
  <si>
    <t>6100355</t>
  </si>
  <si>
    <t>RENAULT TWINGO 1993-2006  РЕЗ ПРОФ ДЛЯ СТ ЗАДН</t>
  </si>
  <si>
    <t>6994606</t>
  </si>
  <si>
    <t>RENAULT TWINGO 1993-2006  СТ ПЕР ДВ ОП ЛВ ЗЛ</t>
  </si>
  <si>
    <t>6997603</t>
  </si>
  <si>
    <t>RENAULT TWINGO 1993-2006  СТ БОК ЛВ ЗЛ</t>
  </si>
  <si>
    <t>6994608</t>
  </si>
  <si>
    <t>RENAULT TWINGO 1993-2006  СТ ПЕР ДВ ОП ПР ЗЛ</t>
  </si>
  <si>
    <t>6997602</t>
  </si>
  <si>
    <t>RENAULT TWINGO 1993-2006  СТ БОК ПР ЗЛ</t>
  </si>
  <si>
    <t>VEL SATIS 2001-</t>
  </si>
  <si>
    <t>6961258</t>
  </si>
  <si>
    <t>RENAULT VEL SATIS 2001-  СТ ВЕТР+ДД+VIN+УО</t>
  </si>
  <si>
    <t>G SERIES 1979-1985</t>
  </si>
  <si>
    <t>6963501</t>
  </si>
  <si>
    <t>1979-1985</t>
  </si>
  <si>
    <t>RENAULT G SERIES 1979-1985 СТ ВЕТР</t>
  </si>
  <si>
    <t>6964183</t>
  </si>
  <si>
    <t>RENAULT G SERIES 1979-1985 СТ ВЕТР ЗЛ</t>
  </si>
  <si>
    <t>A.E TRUCK 1991-</t>
  </si>
  <si>
    <t>6963502</t>
  </si>
  <si>
    <t>RENAULT A.E TRUCK 1991-  СТ ВЕТР ЗЛ</t>
  </si>
  <si>
    <t>6963795</t>
  </si>
  <si>
    <t>RENAULT A.E TRUCK 1991-  СТ ВЕТР ЗЛЗЛ</t>
  </si>
  <si>
    <t>6100307</t>
  </si>
  <si>
    <t>RENAULT A.E TRUCK 1991-  МОЛД  ДЛЯ СТ ВЕТР</t>
  </si>
  <si>
    <t>6900374</t>
  </si>
  <si>
    <t>RENAULT A.E TRUCK 1991-  СТ ПЕР ДВ ОП ЗЛ</t>
  </si>
  <si>
    <t>MAJOR 2P TRUCK CLEAR</t>
  </si>
  <si>
    <t>6190169</t>
  </si>
  <si>
    <t>RENAULT MAJOR 2P TRUCK CLEAR СТ ВЕТР/FORD TRANSCONTINENTAL,H SER 1975-1985 СТ ВЕТР</t>
  </si>
  <si>
    <t>MASTER 1981-1997</t>
  </si>
  <si>
    <t>6966202</t>
  </si>
  <si>
    <t>1980-1997</t>
  </si>
  <si>
    <t>RENAULT MASTER 1981-1997 СТ ВЕТР БЕЗ КР</t>
  </si>
  <si>
    <t>6100367</t>
  </si>
  <si>
    <t>RENAULT MASTER 1981-1997  РЕЗ ПРОФ ДЛЯ СТ ВЕТР</t>
  </si>
  <si>
    <t>MASTER 1997-</t>
  </si>
  <si>
    <t>6960773</t>
  </si>
  <si>
    <t>RENAULT MASTER 1997-  СТ ВЕТР ТЕПЛООТР/NISSAN INTERSTAR X70 03  СТ ВЕТР ТЕПЛООТР</t>
  </si>
  <si>
    <t>6961437</t>
  </si>
  <si>
    <t>RENAULT MASTER 1997-  СТ ВЕТР ЗЛ /NISSAN INTERSTAR X70 03  СТ ВЕТР ЗЛ</t>
  </si>
  <si>
    <t>6962398</t>
  </si>
  <si>
    <t>RENAULT MASTER 12/1999- СТ ВЕТР ЗЛГЛ+КР</t>
  </si>
  <si>
    <t>6961438</t>
  </si>
  <si>
    <t>RENAULT MASTER 1997-  СТ ВЕТР ЭО ЗЛ КР/NISSAN INTERSTAR X70 03  СТ ВЕТР ЗЛ+ЭО</t>
  </si>
  <si>
    <t>6102375</t>
  </si>
  <si>
    <t>RENAULT MASTER 1999-  VAN МОЛДИНГ СТ ВЕТР+СПЕЙС</t>
  </si>
  <si>
    <t>6100524</t>
  </si>
  <si>
    <t>RENAULT MASTER 1997-  МОЛД  ДЛЯ СТ ВЕТР</t>
  </si>
  <si>
    <t>6991178</t>
  </si>
  <si>
    <t>RENAULT MASTER МИН 12/1999- СТ ЗАДН ЗЛ ЛВ/NISSAN INTERSTAR X70 03  СТ ЗАДН ЗЛ ЛВ+ИЗМ РАЗМ</t>
  </si>
  <si>
    <t>6993461</t>
  </si>
  <si>
    <t>RENAULT MASTER МИН 12/1999- СТ ЗАДН ЗЛ ЛВ Б/ЭО/NISSAN INTERSTAR X70 03  СТ ЗАДН ЗЛ ЛВ Б/ЭО+ИЗМ РАЗМ</t>
  </si>
  <si>
    <t>6994844</t>
  </si>
  <si>
    <t>RENAULT MASTER МИН 1997-  СТ ЗАДН ЗЛ ПР</t>
  </si>
  <si>
    <t>6991179</t>
  </si>
  <si>
    <t>RENAULT MASTER МИН 12/1999- СТ ЗАДН ЗЛ ПР/NISSAN INTERSTAR X70 03  СТ ЗАДН ЗЛ ПР+ИЗМ РАЗМ</t>
  </si>
  <si>
    <t>6993463</t>
  </si>
  <si>
    <t>RENAULT MASTER МИН 12/1999- СТ ЗАДН ЗЛ ПР Б/ЭО/NISSAN INTERSTAR X70 03  СТ ЗАДН ЗЛ ПР Б/ЭО+ИЗМ РАЗМ</t>
  </si>
  <si>
    <t>6190183</t>
  </si>
  <si>
    <t>RENAULT MASTER 12/1999-  VAN 4Д СТ ПЕР ДВ ОП ЛВ ЗЛ+УО/IVECO DAILY S 2000 11999-9- СТ ПЕР ДВ ОП ЛВ ЗЛ+УО</t>
  </si>
  <si>
    <t>6190184</t>
  </si>
  <si>
    <t>RENAULT MASTER 12/1999-  VAN 4Д СТ ФОРТ ПЕР НЕП ЛВ ЗЛ/IVECO DAILY S 2000 11999-9- СТ ПЕР ДВ НЕП ЛВ ЗЛ</t>
  </si>
  <si>
    <t>6190185</t>
  </si>
  <si>
    <t>RENAULT MASTER 12/1999-  VAN 4Д СТ ПЕР ДВ ОП ПР ЗЛ+УО/IVECO DAILY S 2000 11999-9- СТ ПЕР ДВ ОП ПР ЗЛ+УО</t>
  </si>
  <si>
    <t>6190186</t>
  </si>
  <si>
    <t>RENAULT MASTER 12/1999-  VAN 4Д СТ ФОТР ПЕР НЕП ПР ЗЛ/IVECO DAILY S 2000 11999-9- СТ ПЕР ДВ НЕП ПР ЗЛ</t>
  </si>
  <si>
    <t>MIDLUM 1999-</t>
  </si>
  <si>
    <t>6960813</t>
  </si>
  <si>
    <t>RENAULT MIDLUM 1999- СТ ВЕТР+УО/DAF LF45-55 2001- СТ ВЕТР+УО</t>
  </si>
  <si>
    <t>6961062</t>
  </si>
  <si>
    <t>RENAULT MIDLUM 1999- СТ ВЕТР ЗЛГЛ/DAF LF45-55 2001- СТ ВЕТР ЗЛГЛ</t>
  </si>
  <si>
    <t>6960812</t>
  </si>
  <si>
    <t>RENAULT MIDLUM 1999- СТ ВЕТР ЗЛ+УО/DAF LF45 55 2001- СТ ВЕТР ЗЛ</t>
  </si>
  <si>
    <t>6101436</t>
  </si>
  <si>
    <t>RENAULT MIDLUM 1999- МОЛД ДЛЯ СТ ВЕТР</t>
  </si>
  <si>
    <t>PREMIUM 1996-</t>
  </si>
  <si>
    <t>6963767</t>
  </si>
  <si>
    <t>RENAULT PREMIUM 1996-  СТ ВЕТР ЗЛ/VOLVO FE 2007- СТ ВЕТР ЗЛ</t>
  </si>
  <si>
    <t>6963285</t>
  </si>
  <si>
    <t>RENAULT PREMIUM 1996-  СТ ВЕТР ЗЛЗЛ</t>
  </si>
  <si>
    <t>6100469</t>
  </si>
  <si>
    <t>RENAULT PREMIUM 1996-  МОЛД  ДЛЯ СТ ВЕТР</t>
  </si>
  <si>
    <t>6996272</t>
  </si>
  <si>
    <t>RENAULT PREMIUM 1996-  TRUCK 2Д СТ ПЕР ДВ ОП ЛВ+ЗЛ</t>
  </si>
  <si>
    <t>6996273</t>
  </si>
  <si>
    <t>75 1998-2002</t>
  </si>
  <si>
    <t>6961433</t>
  </si>
  <si>
    <t>ROVER 75 1998-2002  СТ ВЕТР ЗЛ+VIN+ШЕЛК ДД</t>
  </si>
  <si>
    <t>6961241</t>
  </si>
  <si>
    <t>ROVER 75 2004/02- СТ ВЕТР ЗЛ+VIN+ИЗМ ШЕЛК ДД</t>
  </si>
  <si>
    <t>6961434</t>
  </si>
  <si>
    <t>ROVER 75 1998-2002  СТ ВЕТР ЗЛ+VIN</t>
  </si>
  <si>
    <t>6999513</t>
  </si>
  <si>
    <t>ROVER 75 1998-2002  СТ ПЕР ДВ ОП ЛВ ЗЛ</t>
  </si>
  <si>
    <t>6999511</t>
  </si>
  <si>
    <t>ROVER 75 1998-2002  СТ ЗАДН ДВ ОП ЛВ ЗЛ</t>
  </si>
  <si>
    <t>6999515</t>
  </si>
  <si>
    <t>ROVER 75 1998-2002  СТ ЗАДН ДВ НЕП ЛВ ЗЛ</t>
  </si>
  <si>
    <t>6990779</t>
  </si>
  <si>
    <t>ROVER 75 1998-2002/ TOURERSW 2001- СТ ЗАДН ДВ ОП ЛВ ЗЛ</t>
  </si>
  <si>
    <t>6990480</t>
  </si>
  <si>
    <t>ROVER 75 1998-2002/ TOURERSW 2001- СТ ЗАДН ДВ НЕП ЛВ ЗЛ</t>
  </si>
  <si>
    <t>6999512</t>
  </si>
  <si>
    <t>ROVER 75 1998-2002  СТ ПЕР ДВ ОП ПР ЗЛ</t>
  </si>
  <si>
    <t>6999510</t>
  </si>
  <si>
    <t>ROVER 75 1998-2002  СТ ЗАДН ДВ ОП ПР ЗЛ</t>
  </si>
  <si>
    <t>6999514</t>
  </si>
  <si>
    <t>ROVER 75 1998-2002  СТ ЗАДН ДВ НЕП ПР ЗЛ</t>
  </si>
  <si>
    <t>6990777</t>
  </si>
  <si>
    <t>ROVER 75 TOURERSW 2001- СТ ЗАДН ДВ ОП ПР ЗЛ</t>
  </si>
  <si>
    <t>6990478</t>
  </si>
  <si>
    <t>ROVER 75 TOURERSW 2001- СТ ЗАДН ДВ НЕП ПР ЗЛ</t>
  </si>
  <si>
    <t>200 1984-1989</t>
  </si>
  <si>
    <t>6969918</t>
  </si>
  <si>
    <t>ROVER 200 SER 1984-1989 СТ ВЕТР</t>
  </si>
  <si>
    <t>200 1995-2000</t>
  </si>
  <si>
    <t>6969983</t>
  </si>
  <si>
    <t>ROVER 200 ХБ 1995-2000 СТ ВЕТР ЗЛЗЛ+VIN+ФИТ</t>
  </si>
  <si>
    <t>6960951</t>
  </si>
  <si>
    <t>ROVER 200 ХБ 1995-2000 / ROVER 25 2000- СТ ВЕТР ЗЛ+VIN+ИНК</t>
  </si>
  <si>
    <t>6101181</t>
  </si>
  <si>
    <t>ROVER 200 ХБ 1995-2000 /ROVER 25 2000-  МОЛД ДЛЯ СТ ВЕТР С АЛЮМ ВСТ</t>
  </si>
  <si>
    <t>6102377</t>
  </si>
  <si>
    <t>ROVER 200 ХБ 1995-2000 /ROVER 25 2000-  МОЛД ДЛЯ СТ ВЕТР БЕЗ АЛЮМ ВСТ</t>
  </si>
  <si>
    <t>6999901</t>
  </si>
  <si>
    <t>ROVER 200 ХБ 1996-2000 / ROVER 25 2000- / MG ZR 3Д+5Д 11/2002-  СТ ЗАДН ЗЛ+ИЗМ РАЗМ</t>
  </si>
  <si>
    <t>6999994</t>
  </si>
  <si>
    <t>ROVER 200 ХБ 1996-2000 / ROVER 25 2000- СТ ПЕР ДВ ОП ЛВ ЗЛ+УО</t>
  </si>
  <si>
    <t>6999995</t>
  </si>
  <si>
    <t>6995602</t>
  </si>
  <si>
    <t>ROVER 200 ХБ 1995-2000 / ROVER 25 2000- СТ ЗАДН ОП ЛВ ЗЛ+УО</t>
  </si>
  <si>
    <t>6900083</t>
  </si>
  <si>
    <t>ROVER 200 ХБ 1996-2000 / ROVER 25 2000- СТ ПЕР ДВ ОП ПР ЗЛ+УО</t>
  </si>
  <si>
    <t>6900084</t>
  </si>
  <si>
    <t>ROVER 200 ХБ 1996-2000 / ROVER 25 2000-  СТ ПЕР ДВ ОП ПР ЗЛ+ФИТ</t>
  </si>
  <si>
    <t>6995604</t>
  </si>
  <si>
    <t>ROVER 200 ХБ 1995-2000 / ROVER 25 2000-  СТ ЗАДН ОП ПР ЗЛ+УО</t>
  </si>
  <si>
    <t>200/400 СД+ХБ+КБ 1989-1994</t>
  </si>
  <si>
    <t>6969224</t>
  </si>
  <si>
    <t>ROVER 200/400 СД+ХБ+КБ 1989-1994  СТ ВЕТР ГЛГЛ/HONDA CONCERTO SJ14+SJ15 1990-1995  СТ ВЕТР ГЛГЛ</t>
  </si>
  <si>
    <t>6969923</t>
  </si>
  <si>
    <t>ROVER 200/400 СД+ХБ+КБ 1989-1994  СТ ВЕТР ЗЛГЛ/HONDA CONCERTO SJ14+SJ15 1990-1995  СТ ВЕТР ЗЛГЛ</t>
  </si>
  <si>
    <t>6101090</t>
  </si>
  <si>
    <t>ROVER 200/400 СД+ХБ+КБ 1989-1994  НАБ СОЕД ДЛЯ СТ ВЕТР</t>
  </si>
  <si>
    <t>6100183</t>
  </si>
  <si>
    <t>ROVER 200/400 СД+ХБ+КБ 1989-1994  МОЛД  ДЛЯ СТ ВЕТР ВЕРХ</t>
  </si>
  <si>
    <t>6999419</t>
  </si>
  <si>
    <t>ROVER 200/400 ХБ 5Д+СД 4Д 1989-1994 СТ ПЕР ДВ ОП ЛВ ЗЛ+ФИТ/HONDA CONCERTO SJ14+SJ15 1991- СТ ПЕР ДВ ОП ЛВ ЗЛ+ФИТ</t>
  </si>
  <si>
    <t>6999313</t>
  </si>
  <si>
    <t>ROVER 200/400 ХБ 5Д+СД 4Д 1989-1994 СТ ЗАДН ДВ ОП ЛВ ЗЛ+ФИТ+УО/HONDA CONCERTO SJ14+SJ15 1991- СТ ЗАДН ДВ ОП ЛВ ЗЛ+ФИТ+УО</t>
  </si>
  <si>
    <t>6999420</t>
  </si>
  <si>
    <t>ROVER 200/400 ХБ 5Д+СД 4Д 1989-1994 СТ ПЕР ДВ ОП ПР ЗЛ+ФИТ/HONDA CONCERTO SJ14+SJ15 1991- СТ ПЕР ДВ ОП ПР ЗЛ+ФИТ</t>
  </si>
  <si>
    <t>6999320</t>
  </si>
  <si>
    <t>ROVER 200/400 ХБ 5Д+СД 4Д 1989-1994 СТ ЗАДН ДВ ОП ПР ЗЛ+ФИТ+УО/ HONDA CONCERTO SJ14+SJ15 1991- СТ ЗАДН ДВ ОП ПР ЗЛ+ФИТ+УО</t>
  </si>
  <si>
    <t>400 5Д ХБ 1995-2001</t>
  </si>
  <si>
    <t>6190187</t>
  </si>
  <si>
    <t>ROVER 400 ХБ 1995-2001 / СЕД 1996-2001  СТ ВЕТР ЗЛЗЛ+VIN+УО/HONDA CIVIC 5Д ХБ 1995-2001 СТ ВЕТР ЗЛЗЛ+VIN+ФИТ</t>
  </si>
  <si>
    <t>6190188</t>
  </si>
  <si>
    <t>ROVER 400 ХБ 1995-2001 / СЕД 1996-2001  СТ ВЕТР ЗЛ+VIN+УО/HONDA CIVIC 5Д ХБ 1995-2001 СТ ВЕТР ЗЛ+VIN+ФИТ</t>
  </si>
  <si>
    <t>6190776</t>
  </si>
  <si>
    <t>ROVER 400 ХБ 1995-2001 / СЕД 1996-2001 НАБ КЛИПС ДЛЯ СТ ВЕТР</t>
  </si>
  <si>
    <t>6102378</t>
  </si>
  <si>
    <t>ROVER 400 ХБ 1995-2001 ХБ КЛИПСА ДЛЯ СТ ВЕТР БОК</t>
  </si>
  <si>
    <t>6100373</t>
  </si>
  <si>
    <t>ROVER 400 ХБ 1995-2001 / СЕД 1996-2001 МОЛД  ДЛЯ СТ ВЕТР ВЕРХ</t>
  </si>
  <si>
    <t>6993018</t>
  </si>
  <si>
    <t>ROVER 400 ХБ 1995-2001 / СЕД 1996-2001  СТ ПЕР ДВ ОП ЛВ ЗЛ+УО/HONDA CIVIC ХБ 1995-2001 /УН 1998-2001  СТ ПЕР ДВ ОП ЛВ ЗЛ+УО</t>
  </si>
  <si>
    <t>6994797</t>
  </si>
  <si>
    <t>ROVER 400 ХБ 1995-2001 / СЕД 1996-2001 СТ ЗАДН ДВ ОП ЛВ ЗЛ+УО/HONDA CIVIC ХБ 1995-2001 /УН 1998-2001  СТ ЗАДН ДВ ОП ЛВ ЗЛ+УО</t>
  </si>
  <si>
    <t>6190189</t>
  </si>
  <si>
    <t>ROVER 400 ХБ 1995-2001 / СЕД 1996-2001 СТ ФОРТ ЗАДН ЛВ ЗЛ+ИНК/HONDA CIVIC 5Д ХБ 1995-2001 СТ ЗАДН ДВ НЕП ЛВ ЗЛ+ИНК</t>
  </si>
  <si>
    <t>6993019</t>
  </si>
  <si>
    <t>ROVER 400 ХБ 1995-2001 / СЕД 1996-2001 СТ ПЕР ДВ ОП ПР ЗЛ+УО/HONDA CIVIC ХБ 1995-2001 /УН 1998-2001  СТ ПЕР ДВ ОП ПР ЗЛ+УО</t>
  </si>
  <si>
    <t>6994799</t>
  </si>
  <si>
    <t>ROVER 400 ХБ 1995-2001 / СЕД 1996-2001 СТ ЗАДН ДВ ОП ПР ЗЛ+УО/HONDA CIVIC ХБ 1995-2001 /УН 1998-2001  СТ ЗАДН ДВ ОП ПР ЗЛ+УО</t>
  </si>
  <si>
    <t>6190190</t>
  </si>
  <si>
    <t>ROVER 400 ХБ 1995-2001 / СЕД 1996-2001 СТ ФОРТ ЗАДН ПР ЗЛ+ИНК/HONDA CIVIC 5Д ХБ 1995-2001 СТ ЗАДН ДВ НЕП ПР ЗЛ+ИНК</t>
  </si>
  <si>
    <t>600 1993-1998</t>
  </si>
  <si>
    <t>6969936</t>
  </si>
  <si>
    <t>ROVER 600 1993-1998  СТ ВЕТР ЗЛ/HONDA ACCORD СЕД 1993-1998  СТ ВЕТР ЗЛ</t>
  </si>
  <si>
    <t>6963196</t>
  </si>
  <si>
    <t>ROVER 600 1993-1998  СТ ВЕТР ЗЛГЛ/HONDA ACCORD СЕД 1993-1998  СТ ВЕТР ЗЛГЛ</t>
  </si>
  <si>
    <t>6969938</t>
  </si>
  <si>
    <t>ROVER 600 1993-1998  СТ ВЕТР ЗЛЗЛ/HONDA ACCORD СЕД 1993-1998  СТ ВЕТР ЗЛЗЛ</t>
  </si>
  <si>
    <t>6993907</t>
  </si>
  <si>
    <t>ROVER 600 1993-1998  СТ ПЕР ДВ ОП ЛВ ЗЛ+ФИТ/HONDA ACCORD СЕД 1993-1998  СТ ПЕР ДВ ОП ЛВ ЗЛ+УО</t>
  </si>
  <si>
    <t>6995827</t>
  </si>
  <si>
    <t>ROVER 600 1993-1998  СТ ЗАДН ДВ ОП ЛВ ЗЛ+ФИТ</t>
  </si>
  <si>
    <t>6995593</t>
  </si>
  <si>
    <t>ROVER 600 1993-1998  СТ ФОРТ ЗАДН НЕП ЛВ ЗЛ+ИНК</t>
  </si>
  <si>
    <t>6993906</t>
  </si>
  <si>
    <t>ROVER 600 1993-1998  СТ ПЕР ДВ ОП ПР ЗЛ+ФИТ/HONDA ACCORD СЕД 1993-1998  СТ ПЕР ДВ ОП ПР ЗЛ+УО</t>
  </si>
  <si>
    <t>6995828</t>
  </si>
  <si>
    <t>ROVER 600 1993-1998  СТ ЗАДН ДВ ОП ПР ЗЛ+ФИТ</t>
  </si>
  <si>
    <t>6995594</t>
  </si>
  <si>
    <t>ROVER 600 1993-1998  СТ ФОРТ ЗАДН НЕП ПР ЗЛ+ИНК</t>
  </si>
  <si>
    <t>800 1987-1991</t>
  </si>
  <si>
    <t>6969943</t>
  </si>
  <si>
    <t>ROVER 800 SER 1987-1991 СТ ВЕТР БРБР+КР</t>
  </si>
  <si>
    <t>6969930</t>
  </si>
  <si>
    <t>ROVER 800 SER 1987-1991 СТ ВЕТР ЗЛГЛ+КР</t>
  </si>
  <si>
    <t>800 1991-1998</t>
  </si>
  <si>
    <t>6969934</t>
  </si>
  <si>
    <t>ROVER 800 СД+ХБ+КП 1991-1998  СТ ВЕТР ЗЛГЛ+VIN</t>
  </si>
  <si>
    <t>6969933</t>
  </si>
  <si>
    <t>ROVER 800 СД+ХБ+КП 1991-1998  СТ ВЕТР ЗЛ+VIN</t>
  </si>
  <si>
    <t>CITY 5Д ХБ 2003-</t>
  </si>
  <si>
    <t>6961142</t>
  </si>
  <si>
    <t>ROVER CITY 5Д ХБ 2003-  СТ ВЕТР ЗЛГЛ</t>
  </si>
  <si>
    <t>6993564</t>
  </si>
  <si>
    <t>ROVER CITY 5Д ХБ 2003-  СТ ЗАДН ЗЛ</t>
  </si>
  <si>
    <t>6993558</t>
  </si>
  <si>
    <t>ROVER CITY 5Д ХБ 2003- ХБ 5Д СТ ПЕР ДВ ОП ЛВ ЗЛ+УО</t>
  </si>
  <si>
    <t>6993560</t>
  </si>
  <si>
    <t>ROVER CITY ХБ 2003-  СТ ЗАДН ДВ ОП ЛВ ЗЛ+УО</t>
  </si>
  <si>
    <t>6993562</t>
  </si>
  <si>
    <t>ROVER CITY 5Д ХБ 2003- СТ ЗАДН ДВ НЕП ЛВ ЗЛ</t>
  </si>
  <si>
    <t>6993559</t>
  </si>
  <si>
    <t>ROVER CITY 5Д ХБ 2003- ХБ 5Д СТ ПЕР ДВ ОП ПР ЗЛ+УО</t>
  </si>
  <si>
    <t>6993561</t>
  </si>
  <si>
    <t>ROVER CITY ХБ 2003-  СТ ЗАДН ДВ ОП ПР ЗЛ+УО</t>
  </si>
  <si>
    <t>6993563</t>
  </si>
  <si>
    <t>ROVER CITY 5Д ХБ 2003- СТ ЗАДН ДВ НЕП ПР ЗЛ</t>
  </si>
  <si>
    <t>MAESTRO 1983-1994</t>
  </si>
  <si>
    <t>6969902</t>
  </si>
  <si>
    <t>ROVER MAESTRO T3 1983-1994 СТ ВЕТР</t>
  </si>
  <si>
    <t>6997274</t>
  </si>
  <si>
    <t>ROVER MAESTRO ХБ 1983-1994 СТ ЗАДН ДВ БР</t>
  </si>
  <si>
    <t>METRO/100 1980-1990</t>
  </si>
  <si>
    <t>6969907</t>
  </si>
  <si>
    <t>ROVER METRO/100 1980-1990  СТ ВЕТР</t>
  </si>
  <si>
    <t>MG F SPORTS 1995-</t>
  </si>
  <si>
    <t>6963331</t>
  </si>
  <si>
    <t>ROVER MG F SPORTS 1995- СТ ВЕТР ЗЛ ИНК</t>
  </si>
  <si>
    <t>6101444</t>
  </si>
  <si>
    <t>ROVER MG F SPORTS 1995- МОЛД ДЛЯ СТ ВЕТР БЕЗ АЛЮМ ВСТАВКИ</t>
  </si>
  <si>
    <t>MINI 1958-</t>
  </si>
  <si>
    <t>6995591</t>
  </si>
  <si>
    <t>1958-</t>
  </si>
  <si>
    <t>ROVER MINI 1958-  СТ ПЕР ДВ ОП ЗЛ</t>
  </si>
  <si>
    <t>MONTEGO 1984-1994</t>
  </si>
  <si>
    <t>6969910</t>
  </si>
  <si>
    <t>ROVER MONTEGO 1983-1994 СТ ВЕТР</t>
  </si>
  <si>
    <t>SAAB</t>
  </si>
  <si>
    <t>99</t>
  </si>
  <si>
    <t>6962460</t>
  </si>
  <si>
    <t>SAAB 99 СТ ВЕТР</t>
  </si>
  <si>
    <t>9.3 Conv 1998-</t>
  </si>
  <si>
    <t>6993464</t>
  </si>
  <si>
    <t>SAAB 93 CONV КБ 1998-  СТ ЗАДН ЗЛ</t>
  </si>
  <si>
    <t>9.3 СД 2002-2007</t>
  </si>
  <si>
    <t>6961795</t>
  </si>
  <si>
    <t>SAAB 9.3 СД 2002-2007 / SPORT COMBI 2005- СТ ВЕТР ЗЛ+ДД+VIN+УО/CADILLAC BLS 10/2005-  СТ ВЕТР ЗЛ+ДД+VIN+УО</t>
  </si>
  <si>
    <t>6961794</t>
  </si>
  <si>
    <t>SAAB 9.3 СД 2002-2007 СТ ВЕТР ЗЛ+VIN+УО/CADILLAC BLS 10/2005-  СТ ВЕТР ЗЛ+VIN+УО</t>
  </si>
  <si>
    <t>6102038</t>
  </si>
  <si>
    <t>SAAB 9.3 СД 2002-2007  МОЛД  ДЛЯ СТ ВЕТР</t>
  </si>
  <si>
    <t>6995931</t>
  </si>
  <si>
    <t>SAAB 9.3 СД 2002-2007 / SPORT COMBI 2005-2007 СТ ПЕР ДВ ОП ЛВ ЗЛ/CADILLAC BLS 10/2005-  СТ ПЕР ДВ ОП ЛВ ЗЛ</t>
  </si>
  <si>
    <t>6900188</t>
  </si>
  <si>
    <t>SAAB 9.3 СД 2002-2007  СТ ЗАДН ДВ ОП ЛВ ЗЛ+УО/CADILLAC BLS 10/2005- СТ ЗАДН ДВ ОП ЛВ ЗЛ+УО</t>
  </si>
  <si>
    <t>6995932</t>
  </si>
  <si>
    <t>SAAB 9.3 СД 2002-2007 / SPORT COMBI 2005-2007 СТ ПЕР ДВ ОП ПР ЗЛ/CADILLAC BLS 10/2005-  СТ ПЕР ДВ ОП ПР ЗЛ</t>
  </si>
  <si>
    <t>6900272</t>
  </si>
  <si>
    <t>SAAB 9.3 СД 2002-2007 СТ ЗАДН ДВ ОП ПР ЗЛ+УО/CADILLAC BLS 10/2005- СТ ЗАДН ДВ ОП ПР ЗЛ+УО</t>
  </si>
  <si>
    <t>9.5 СД+УН 1997-</t>
  </si>
  <si>
    <t>6961793</t>
  </si>
  <si>
    <t>SAAB 95 СД+УН 1997- СТ ВЕТР ЗЛ+ДД+VIN+УО</t>
  </si>
  <si>
    <t>6963343</t>
  </si>
  <si>
    <t>SAAB 95 СД+УН 1997- СТ ВЕТР ЗЛ+VIN+ФИТ</t>
  </si>
  <si>
    <t>6101578</t>
  </si>
  <si>
    <t>SAAB 95 СД+УН 1997- МОЛД ДЛЯ СТ ВЕТР ВЕРХ</t>
  </si>
  <si>
    <t>6998809</t>
  </si>
  <si>
    <t>SAAB 95 СД СД 1997- СТ ЗАДН ЗЛ+АНТ+СТОП+ИНК</t>
  </si>
  <si>
    <t>6994648</t>
  </si>
  <si>
    <t>SAAB 95 СД+УН 1997- СТ ПЕР ДВ ОП ЛВ ЗЛ+УО</t>
  </si>
  <si>
    <t>6994649</t>
  </si>
  <si>
    <t>SAAB 95 СД 1997- СТ ЗАДН ДВ ОП ЛВ ЗЛ+УО</t>
  </si>
  <si>
    <t>6994650</t>
  </si>
  <si>
    <t>SAAB 95 СД+УН 1997- СТ ПЕР ДВ ОП ПР ЗЛ+УО</t>
  </si>
  <si>
    <t>6994651</t>
  </si>
  <si>
    <t>SAAB 95 СД 1997- СТ ЗАДН ДВ ОП ПР ЗЛ+УО</t>
  </si>
  <si>
    <t>9.5 2009-</t>
  </si>
  <si>
    <t>6965287</t>
  </si>
  <si>
    <t>SAAB 9.5 2009- СТ ВЕТР ЗЛ+ДД+VIN+ДО+ИНК</t>
  </si>
  <si>
    <t>6966037</t>
  </si>
  <si>
    <t>SAAB 9.5 4D 2009- СТ ВЕТР ЗЛ+ДО+ИНК</t>
  </si>
  <si>
    <t>9.7 X 2007-</t>
  </si>
  <si>
    <t>6962677</t>
  </si>
  <si>
    <t>SAAB 9.7X SUV 2007-  СТ ВЕТР ЗЛГЛ+ДД</t>
  </si>
  <si>
    <t>900 1994-1998/9.3 1999-2002</t>
  </si>
  <si>
    <t>6101042</t>
  </si>
  <si>
    <t>SAAB 900 1994-1998  МОЛД  ДЛЯ СТ ВЕТР ВЕРХ</t>
  </si>
  <si>
    <t>6999888</t>
  </si>
  <si>
    <t>SAAB 900 5Д 1994-1998  СТ ПЕР ДВ ОП ПР ЗЛ+ФИТ</t>
  </si>
  <si>
    <t>900 СД 1979-1993</t>
  </si>
  <si>
    <t>6963503</t>
  </si>
  <si>
    <t>SAAB 900 1979-1993 СТ ВЕТР БР</t>
  </si>
  <si>
    <t>6963504</t>
  </si>
  <si>
    <t>SAAB 900 1979-1993 СТ ВЕТР</t>
  </si>
  <si>
    <t>9000 SAL 1985-1998</t>
  </si>
  <si>
    <t>6961163</t>
  </si>
  <si>
    <t>SAAB 9000 СД 1985-1998  СТ ВЕТР ЗЛЗЛ+VIN</t>
  </si>
  <si>
    <t>6963203</t>
  </si>
  <si>
    <t>SAAB 9000 СД 1985-1998 СТ ВЕТР ЗЛЗЛ+VIN</t>
  </si>
  <si>
    <t>6101059</t>
  </si>
  <si>
    <t>SAAB 9000 СД 1985-1998  УСТ КОМПЛ ДЛЯ СТ ВЕТР</t>
  </si>
  <si>
    <t>6995835</t>
  </si>
  <si>
    <t>SAAB 9000 СД 1985-1998  СТ ПЕР ДВ ОП ЛВ ЗЛ</t>
  </si>
  <si>
    <t>6994644</t>
  </si>
  <si>
    <t>SAAB 9000 СД 1985-1998  СТ ЗАДН ДВ ОП ЛВ ЗЛ</t>
  </si>
  <si>
    <t>6994645</t>
  </si>
  <si>
    <t>SAAB 9000 СД 1985-1998  СТ БОК НЕП ЛВ ЗЛ</t>
  </si>
  <si>
    <t>6995836</t>
  </si>
  <si>
    <t>SAAB 9000 СД 1985-1998  СТ ПЕР ДВ ОП ПР ЗЛ</t>
  </si>
  <si>
    <t>6994646</t>
  </si>
  <si>
    <t>SAAB 9000 СД 1985-1998  СТ ЗАДН ДВ ОП ПР ЗЛ</t>
  </si>
  <si>
    <t>6994647</t>
  </si>
  <si>
    <t>SAAB 9000 СД 1985-1998  СТ БОК НЕП ПР ЗЛ</t>
  </si>
  <si>
    <t>SCANIA</t>
  </si>
  <si>
    <t>4 SERIE 1996-2004</t>
  </si>
  <si>
    <t>6950243</t>
  </si>
  <si>
    <t>SCANIA 4 SERIE 1996-2004 СТ ВЕТР</t>
  </si>
  <si>
    <t>6963505</t>
  </si>
  <si>
    <t>SCANIA 4 SERIE 1996-2004  СТ ВЕТР ЗЛ</t>
  </si>
  <si>
    <t>6964014</t>
  </si>
  <si>
    <t>SCANIA 4 SERIE 1996-2004  СТ ВЕТР ЗЛЗЛ</t>
  </si>
  <si>
    <t>6100533</t>
  </si>
  <si>
    <t>SCANIA 4 SERIE 1996-2004  РЕЗ ПРОФ ДЛЯ СТ ВЕТР</t>
  </si>
  <si>
    <t>6994652</t>
  </si>
  <si>
    <t>SCANIA 4 SERIE 1996-2004  СТ ПЕР ДВ ОП ЛВ ЗЛ+УО</t>
  </si>
  <si>
    <t>6994653</t>
  </si>
  <si>
    <t>SCANIA 4 SERIE 1996-2004  СТ ПЕР ДВ ОП ПР ЗЛ+УО</t>
  </si>
  <si>
    <t>5 SERIE 2004-</t>
  </si>
  <si>
    <t>6962287</t>
  </si>
  <si>
    <t>SCANIA 5 SERIE 2004- СТ ВЕТР</t>
  </si>
  <si>
    <t>6961500</t>
  </si>
  <si>
    <t>SCANIA 5 SERIE 2004- СТ ВЕТР ЗЛ</t>
  </si>
  <si>
    <t>LB 110-141</t>
  </si>
  <si>
    <t>6964184</t>
  </si>
  <si>
    <t>SCANIA LB 110 141 СТ ВЕТР</t>
  </si>
  <si>
    <t>M SERIES TRUCK 1981-1995</t>
  </si>
  <si>
    <t>6969999</t>
  </si>
  <si>
    <t>1981-1995</t>
  </si>
  <si>
    <t>SCANIA M SERIES TRUCK 1981-1995  СТ ВЕТР БР</t>
  </si>
  <si>
    <t>6969986</t>
  </si>
  <si>
    <t>SCANIA M SERIES TRUCK 1981-1995  СТ ВЕТР</t>
  </si>
  <si>
    <t>6969988</t>
  </si>
  <si>
    <t>SCANIA M SERIES TRUCK 1981-1995  СТ ВЕТР ЗЛ</t>
  </si>
  <si>
    <t>6969987</t>
  </si>
  <si>
    <t>SCANIA M SERIES TRUCK 1981-1995  СТ ВЕТР ЗЛЗЛ</t>
  </si>
  <si>
    <t>6100532</t>
  </si>
  <si>
    <t>SCANIA M SERIES TRUCK 1981-1995  РЕЗ ПРОФ ДЛЯ СТ ВЕТР</t>
  </si>
  <si>
    <t>6995462</t>
  </si>
  <si>
    <t>SCANIA M SERIES TRUCK 1981-1995  СТ ПЕР ДВ ОП</t>
  </si>
  <si>
    <t>SEAT</t>
  </si>
  <si>
    <t>ALHAMBRA 1995-2006</t>
  </si>
  <si>
    <t>6190139</t>
  </si>
  <si>
    <t>SEAT ALHAMBRA 1995-2006 СТ ВЕТР ЗЛ/FORD GALAXY I 1995-2006  СТ ВЕТР ЗЛ</t>
  </si>
  <si>
    <t>6190140</t>
  </si>
  <si>
    <t>SEAT ALHAMBRA 03/2000-2006 СТ ВЕТР ЗЛГЛ/FORD GALAXY I 1995-2006 05/1999-2006 СТ ВЕТР ЗЛГЛ</t>
  </si>
  <si>
    <t>6190858</t>
  </si>
  <si>
    <t>SEAT ALHAMBRA 03/2000-2006 СТ ВЕТР ЗЛГЛ+ЭО+VIN/FORD GALAXY I 03/2000-2006  СТ ВЕТР ЗЛГЛ+ЭО+VIN</t>
  </si>
  <si>
    <t>6190141</t>
  </si>
  <si>
    <t>SEAT ALHAMBRA 03/2000-2006 СТ ВЕТР ЗЛГЛ+VIN/FORD GALAXY I 03/2000-2006 СТ ВЕТР ЗЛГЛ+VIN</t>
  </si>
  <si>
    <t>6190856</t>
  </si>
  <si>
    <t>SEAT ALHAMBRA 1995-05/1999 СТ ВЕТР ЗЛЗЛ/FORD GALAXY I 1995-2006  СТ ВЕТР ЗЛЗЛ</t>
  </si>
  <si>
    <t>6190143</t>
  </si>
  <si>
    <t>SEAT ALHAMBRA 03/2000-2006  СТ ВЕТР ЗЛЗЛ+VIN/FORD GALAXY I 03/2000-2006  СТ ВЕТР ЗЛЗЛ+VIN</t>
  </si>
  <si>
    <t>6190146</t>
  </si>
  <si>
    <t>SEAT ALHAMBRA 05/1999-03/2000 СТ ВЕТР ЗЛ+ЭО+VIN/FORD GALAXY I 1995-06/2000 СТ ВЕТР  ЗЛ ЭО +VIN ИЗМ ШЕЛК</t>
  </si>
  <si>
    <t>6190147</t>
  </si>
  <si>
    <t>SEAT ALHAMBRA 03/2000-2006 СТ ВЕТР ЗЛ+ЭО+VIN/FORD GALAXY I 03/2000-2006  СТ ВЕТР ЗЛ ЭО+VIN</t>
  </si>
  <si>
    <t>6190149</t>
  </si>
  <si>
    <t>SEAT ALHAMBRA 03/2000-2006 СТ ВЕТР ЗЛ+VIN/FORD GALAXY I 03/2000-2006  СТ ВЕТР ЗЛ+VIN</t>
  </si>
  <si>
    <t>6190862</t>
  </si>
  <si>
    <t>SEAT ALHAMBRA 11/2003-2006 СТ ВЕТР ЗЛ+VIN+УО/FORD GALAXY I 11/2003-2006 СТ ВЕТР ЗЛ SOL+VIN+УО</t>
  </si>
  <si>
    <t>6190777</t>
  </si>
  <si>
    <t>SEAT ALHAMBRA 1995-2006 МОЛД  ДЛЯ СТ ВЕТР</t>
  </si>
  <si>
    <t>6190150</t>
  </si>
  <si>
    <t>SEAT ALHAMBRA МИН 1995-2006  СТ ЗАДН ЗЛ/FORD GALAXY I 1995-2006  СТ ЗАДН ЭО ЗЛ</t>
  </si>
  <si>
    <t>6190151</t>
  </si>
  <si>
    <t>SEAT ALHAMBRA МИН 1995-2006  СТ ЗАДН ЗЛ+СТОП/FORD GALAXY I 1995-2006  СТ ЗАДН ЗЛ+СТОП</t>
  </si>
  <si>
    <t>6190778</t>
  </si>
  <si>
    <t>SEAT ALHAMBRA 1995-2006  МОЛД ДЛЯ СТ ЗАДН</t>
  </si>
  <si>
    <t>6190152</t>
  </si>
  <si>
    <t>SEAT ALHAMBRA 1995-2006  СТ ПЕР ДВ ОП ЛВ ЗЛ/FORD GALAXY I 1995-2006  СТ ПЕР ДВ ОП ЛВ ЗЛ</t>
  </si>
  <si>
    <t>6190154</t>
  </si>
  <si>
    <t>SEAT ALHAMBRA 1995-2006  СТ ЗАДН ДВ ОП ЛВ ЗЛ/FORD GALAXY I 1995-2006  СТ ЗАДН ДВ ОП ЛВ ЗЛ</t>
  </si>
  <si>
    <t>6190156</t>
  </si>
  <si>
    <t>SEAT ALHAMBRA 1995-2006  СТ ПЕР ДВ ОП ПР ЗЛ/FORD GALAXY I 1995-2006  СТ ПЕР ДВ ОП ПР ЗЛ</t>
  </si>
  <si>
    <t>6190158</t>
  </si>
  <si>
    <t>SEAT ALHAMBRA 1995-2006  СТ ЗАДН ДВ ОП ПР ЗЛ/FORD GALAXY I 1995-2006  СТ ЗАДН ДВ ОП ПР ЗЛ</t>
  </si>
  <si>
    <t>ALTEA/TOLEDO 2004-</t>
  </si>
  <si>
    <t>6961259</t>
  </si>
  <si>
    <t>SEAT ALTEA/TOLEDO 2004- СТ ВЕТР ЗЛГЛ+VIN+ИНК</t>
  </si>
  <si>
    <t>6993894</t>
  </si>
  <si>
    <t>SEAT ALTEA/TOLEDO 2004- СТ ПЕР ДВ ОП ПР ЗЛ</t>
  </si>
  <si>
    <t>6962991</t>
  </si>
  <si>
    <t>SEAT ALTEA 08- СТ ВЕТР ЗЛ+ДД+VIN+ИНК</t>
  </si>
  <si>
    <t>6962992</t>
  </si>
  <si>
    <t>SEAT ALTEA 08-СТ ВЕТР ЗЛ+VIN+ИНК</t>
  </si>
  <si>
    <t>AROSA 1997-2003</t>
  </si>
  <si>
    <t>6963345</t>
  </si>
  <si>
    <t>SEAT AROSA 1997-2003  СТ ВЕТР ЗЛ+ИНК/VOLKSWAGEN LUPO 1997-2003  СТ ВЕТР ЗЛ+ИНК</t>
  </si>
  <si>
    <t>6998923</t>
  </si>
  <si>
    <t>SEAT AROSA ХБ 1997-2003  СТ ЗАДН ДВ ЗЛ+ИНК+ОТВ</t>
  </si>
  <si>
    <t>6994656</t>
  </si>
  <si>
    <t>SEAT AROSA 1997-2003  СТ ПЕР ДВ ОП ЛВ ЗЛ/VOLKSWAGEN LUPO 1997-2003  СТ ПЕР ДВ ОП ЛВ ЗЛ</t>
  </si>
  <si>
    <t>6994658</t>
  </si>
  <si>
    <t>SEAT AROSA 1997-2003  СТ ПЕР ДВ ОП ПР ЗЛ/VOLKSWAGEN LUPO 1997-2003  СТ ПЕР ДВ ОП ПР ЗЛ</t>
  </si>
  <si>
    <t>IBIZA 2002-2008/CORDOBA 4Д 2003-</t>
  </si>
  <si>
    <t>6960799</t>
  </si>
  <si>
    <t>SEAT IBIZA 3Д/5Д 2002-2008 /CORDOBA 4Д 2003- СТ ВЕТР ЗЛ+ДД+ИН</t>
  </si>
  <si>
    <t>6960798</t>
  </si>
  <si>
    <t>SEAT IBIZA 3Д/5Д 2002-2008 /CORDOBA 4Д 2003-  СТ ВЕТР ЗЛ+ИНК+VIN+ИНК</t>
  </si>
  <si>
    <t>6992598</t>
  </si>
  <si>
    <t>SEAT IBIZA 3Д 2002-2008  СТ ПЕР ДВ ОП ЛВ ЗЛ</t>
  </si>
  <si>
    <t>6992603</t>
  </si>
  <si>
    <t>SEAT IBIZA 5Д 2002-2008 /CORDOBA 4Д 2003- СТ ПЕР ДВ ОП ЛВ ЗЛ</t>
  </si>
  <si>
    <t>6992618</t>
  </si>
  <si>
    <t>SEAT IBIZA 5Д 2002-2008 СТ ЗАДН ДВ ОП ЛВ ЗЛ+УО</t>
  </si>
  <si>
    <t>6992600</t>
  </si>
  <si>
    <t>SEAT IBIZA 3Д 2002-2008 СТ ПЕР ДВ ОП ПР ЗЛ</t>
  </si>
  <si>
    <t>6992617</t>
  </si>
  <si>
    <t>SEAT IBIZA 5Д 2002-2008 /CORDOBA 4Д 2003- СТ ПЕР ДВ ОП ПР ЗЛ</t>
  </si>
  <si>
    <t>6992619</t>
  </si>
  <si>
    <t>SEAT IBIZA 5Д 2002-2008 СТ ЗАДН ДВ ОП ПР ЗЛ+УО</t>
  </si>
  <si>
    <t>IBIZA 1985-1993</t>
  </si>
  <si>
    <t>6960502</t>
  </si>
  <si>
    <t>SEAT IBIZA 1985-1993 СТ ВЕТР</t>
  </si>
  <si>
    <t>6960501</t>
  </si>
  <si>
    <t>SEAT IBIZA 1985-1993 СТ ВЕТР ЗЛ</t>
  </si>
  <si>
    <t>6100351</t>
  </si>
  <si>
    <t>SEAT IBIZA 1985-1993 РЕЗ ПРОФ ДЛЯ СТ ВЕТР</t>
  </si>
  <si>
    <t>6998810</t>
  </si>
  <si>
    <t>SEAT IBIZA ХБ 1985-1993 СТ ЗАДН</t>
  </si>
  <si>
    <t>6995463</t>
  </si>
  <si>
    <t>SEAT IBIZA 3Д 1985-1993 СТ ПЕР ДВ ОП ЛВ</t>
  </si>
  <si>
    <t>6995464</t>
  </si>
  <si>
    <t>SEAT IBIZA 3Д 1985-1993 СТ БОК ЛВ</t>
  </si>
  <si>
    <t>6995465</t>
  </si>
  <si>
    <t>SEAT IBIZA 5Д 1985-1993 СТ ПЕР ДВ ОП ЛВ</t>
  </si>
  <si>
    <t>6995475</t>
  </si>
  <si>
    <t>SEAT IBIZA 3Д 1985-1993 СТ ПЕР ДВ ОП ЛВ ЗЛ</t>
  </si>
  <si>
    <t>6995477</t>
  </si>
  <si>
    <t>SEAT IBIZA 5Д 1985-1993 СТ ПЕР ДВ ОП ЛВ ЗЛ</t>
  </si>
  <si>
    <t>6995469</t>
  </si>
  <si>
    <t>SEAT IBIZA 3Д 1985-1993 СТ ПЕР ДВ ОП ПР</t>
  </si>
  <si>
    <t>6995474</t>
  </si>
  <si>
    <t>SEAT IBIZA 5Д 1985-1993 СТ ЗАДН ДВ НЕП ПР</t>
  </si>
  <si>
    <t>6995481</t>
  </si>
  <si>
    <t>SEAT IBIZA 3Д 1985-1993 СТ ПЕР ДВ ОП ПР ЗЛ</t>
  </si>
  <si>
    <t>6995483</t>
  </si>
  <si>
    <t>SEAT IBIZA 5Д 1985-1993 СТ ПЕР ДВ ОП ПР ЗЛ</t>
  </si>
  <si>
    <t>IBIZA 1999-2000/CORDOBA 1999-2000</t>
  </si>
  <si>
    <t>6960436</t>
  </si>
  <si>
    <t>SEAT IBIZA 1999-2000/CORDOBA 1999-2000 СТ ВЕТР ЗЛЗЛ+ДД+ИНК/VOLKSWAGEN POLO CLIC 1999  СТ ВЕТР ЗЛЗЛ+ДД+ИНК</t>
  </si>
  <si>
    <t>6960437</t>
  </si>
  <si>
    <t>SEAT IBIZA 1999-2000/CORDOBA 1999-2000 СТ ВЕТР ЗЛЗЛ+ИНК/VOLKSWAGEN POLO CLIC 1999  СТ ВЕТР ЗЛЗЛ+ИНК</t>
  </si>
  <si>
    <t>6960922</t>
  </si>
  <si>
    <t>SEAT IBIZA 1999-2000/CORDOBA 1999-2000 СТ ВЕТР ЗЛСР+ИНК/VOLKSWAGEN POLO CLIC 1999  СТ ВЕТР ЗЛСР+ИНК</t>
  </si>
  <si>
    <t>6960438</t>
  </si>
  <si>
    <t>SEAT IBIZA 1999-2000/CORDOBA 1999-2000 СТ ВЕТР ЗЛ+ДД+ИНК/VOLKSWAGEN POLO CLIC 1999  СТ ВЕТР ЗЛ+ДД+ИНК</t>
  </si>
  <si>
    <t>6960439</t>
  </si>
  <si>
    <t>SEAT IBIZA 1999-2000/CORDOBA 1999-2000 СТ ВЕТР ЗЛ+ИНК/VOLKSWAGEN POLO CLIC 1999  СТ ВЕТР ЗЛ+ИНК</t>
  </si>
  <si>
    <t>6190719</t>
  </si>
  <si>
    <t>SEAT CORDOBA СД+УН 1999-2000  СТ ПЕР ДВ ОП ЛВ ЗЛ/VOLKSWAGEN POLO CLASSIC 4Д 1995- /УН 1997- СТ ПЕР ДВ ОП ЛВ ЗЛ</t>
  </si>
  <si>
    <t>6190720</t>
  </si>
  <si>
    <t>SEAT CORDOBA СД 1999-2000  СТ ЗАДН ДВ ОП ЛВ ЗЛ/SEAT IBIZA 5Д+CORDOBA 1993-1999 СТ ЗАДН ДВ ОП ЛВ ЗЛ</t>
  </si>
  <si>
    <t>6190721</t>
  </si>
  <si>
    <t>SEAT CORDOBA СД+УН 1999-2000  СТ ПЕР ДВ ОП ПР ЗЛ/VOLKSWAGEN POLO CLASSIC 4Д 1995- /УН 1997  СТ ПЕР ДВ ОП ПР ЗЛ</t>
  </si>
  <si>
    <t>6190722</t>
  </si>
  <si>
    <t>SEAT CORDOBA СД 1999-2000  СТ ЗАДН ДВ ОП ПР ЗЛ/SEAT IBIZA 5Д+CORDOBA 1993-1999  СТ ЗАДН ДВ ОП ПР ЗЛ</t>
  </si>
  <si>
    <t>IBIZA+CORDOBA 1993-/INCA 1996-</t>
  </si>
  <si>
    <t>6960505</t>
  </si>
  <si>
    <t>SEAT IBIZA+CORDOBA 1993-1999 /INCA 1996-1999 СТ ВЕТР+ИНК+КР</t>
  </si>
  <si>
    <t>6960507</t>
  </si>
  <si>
    <t>SEAT IBIZA+CORDOBA 1993-1999 /INCA 1996-1999 СТ ВЕТР ЗЛЗЛ+ИНК</t>
  </si>
  <si>
    <t>6190572</t>
  </si>
  <si>
    <t>SEAT IBIZA+CORDOBA 1993-1999 /INCA 1996-1999 СТ ВЕТР ЗЛЗЛ+ИНК/VOLKSWAGEN POLO 4Д/CAD/IBIZ/CORDOBA 1995-1999 СТ ВЕТР ЗЛЗЛ +ИНК</t>
  </si>
  <si>
    <t>6960506</t>
  </si>
  <si>
    <t>SEAT IBIZA+CORDOBA 1993-1999 /INCA 1996-1999 СТ ВЕТР ЗЛ+ИНК</t>
  </si>
  <si>
    <t>6960967</t>
  </si>
  <si>
    <t>SEAT IBIZA+CORDOBA 1993-1999 /INCA 1996-1999  СТ ВЕТР ЗЛ ИНК КР</t>
  </si>
  <si>
    <t>6101509</t>
  </si>
  <si>
    <t>SEAT IBIZA+CORDOBA 1993-1999 /INCA 1996-1999  НАБ КЛИПС ДЛЯ СТ ВЕТР</t>
  </si>
  <si>
    <t>6100535</t>
  </si>
  <si>
    <t>SEAT IBIZA+CORDOBA 1993-1999 /INCA 1996-1999  МОЛД  ДЛЯ СТ ВЕТР ВЕРХ</t>
  </si>
  <si>
    <t>6190486</t>
  </si>
  <si>
    <t>SEAT IBIZA+CORDOBA 1993-1999 УН  /INCA 1996-1999  СТ ЗАДН ЗЛ+УО/VOLKSWAGEN POLO УН 1997-  СТ ЗАДН ЗЛ+УО</t>
  </si>
  <si>
    <t>6998815</t>
  </si>
  <si>
    <t>SEAT IBIZA+CORDOBA 1993-1999 ХБ /INCA 1996-1999  СТ ЗАДН ЭО ЗЛ+СТОП+ИНК</t>
  </si>
  <si>
    <t>6998816</t>
  </si>
  <si>
    <t>SEAT IBIZA+CORDOBA 1993-1999 ХБ /INCA 1996-1999  СТ ЗАДН ЭО ЗЛ+ИНК+3ОТВ+СТОП</t>
  </si>
  <si>
    <t>6998818</t>
  </si>
  <si>
    <t>SEAT IBIZA+CORDOBA 1993-1999 ХБ /INCA 1996-1999  СТ ЗАДН ЭО ЗЛ+ИНК+3 ОТВ</t>
  </si>
  <si>
    <t>6992992</t>
  </si>
  <si>
    <t>SEAT IBIZA+CORDOBA 1993-1999 СД /INCA 1996-1999  СТ ЗАДН ЗЛ+ИНК</t>
  </si>
  <si>
    <t>6995933</t>
  </si>
  <si>
    <t>SEAT IBIZA+CORDOBA 1993-1999 МИН /INCA 1996-1999  СТ ЗАДН ЗЛ ЛВ</t>
  </si>
  <si>
    <t>6995837</t>
  </si>
  <si>
    <t>SEAT IBIZA+CORDOBA 1993-1999 /INCA 1996-1999  СТ ПЕР ДВ ОП ЛВ ЗЛ</t>
  </si>
  <si>
    <t>6995838</t>
  </si>
  <si>
    <t>6995839</t>
  </si>
  <si>
    <t>SEAT IBIZA+CORDOBA 1993-1999 /INCA 1996-1999  СТ ЗАДН ДВ ОП ЛВ ЗЛ/SEAT CORDOBA СЕД 2000- СТ ЗАДН ДВ ОП ЛВ ЗЛ</t>
  </si>
  <si>
    <t>6190489</t>
  </si>
  <si>
    <t>SEAT IBIZA+CORDOBA 1993-1999 /INCA 1996-1999  СТ ПЕР ДВ ОП ЛВ ЗЛ/ VOLKSWAGEN POLO CLASSIC 4Д 1995- /УН 1997-  СТ ПЕР ДВ ОП ЛВ ЗЛ</t>
  </si>
  <si>
    <t>6190490</t>
  </si>
  <si>
    <t>SEAT IBIZA+CORDOBA 1993-1999 /INCA 1996-1999  СТ ПЕР ДВ ОП ПР/ VOLKSWAGEN POLO CLIC 4Д 1995-  СТ ПЕР ДВ ОП ПР</t>
  </si>
  <si>
    <t>6995840</t>
  </si>
  <si>
    <t>SEAT IBIZA+CORDOBA 1993-1999 /INCA 1996-1999  СТ ПЕР ДВ ОП ПР ЗЛ</t>
  </si>
  <si>
    <t>6995841</t>
  </si>
  <si>
    <t>6995842</t>
  </si>
  <si>
    <t>SEAT IBIZA+CORDOBA 1993-1999 /INCA 1996-1999  СТ ЗАДН ДВ ОП ПР ЗЛ/SEAT CORDOBA СД 2000-  СТ ЗАДН ДВ ОП ПР ЗЛ</t>
  </si>
  <si>
    <t>6190491</t>
  </si>
  <si>
    <t>SEAT IBIZA+CORDOBA 1993-1999 /INCA 1996-1999 СТ ПЕР ДВ ОП ПР ЗЛ/ VOLKSWAGEN POLO CLASSIC 4Д 1995- /УН 1997-  СТ ПЕР ДВ ОП ПР ЗЛ</t>
  </si>
  <si>
    <t>MARBELLA 1981-1993</t>
  </si>
  <si>
    <t>6190080</t>
  </si>
  <si>
    <t>SEAT MARBELLA 1981-1993  СТ ВЕТР/FIAT PANDA 1981-2003  СТ ВЕТР</t>
  </si>
  <si>
    <t>6190081</t>
  </si>
  <si>
    <t>SEAT MARBELLA 1981-1993  СТ ВЕТР ЗЛ/FIAT PANDA 1981-2003  СТ ВЕТР ЗЛ</t>
  </si>
  <si>
    <t>TOLEDO 1991-1998</t>
  </si>
  <si>
    <t>6968150</t>
  </si>
  <si>
    <t>SEAT TOLEDO 1991-1998  СТ ВЕТР ФИТ КР</t>
  </si>
  <si>
    <t>6968154</t>
  </si>
  <si>
    <t>SEAT TOLEDO 1991-1998   СТ ВЕТР ЗЛЗЛ ФИТ КР</t>
  </si>
  <si>
    <t>6968155</t>
  </si>
  <si>
    <t>SEAT TOLEDO 1995-1999  СТ ВЕТР ЗЛЗЛ ФИТ+ИЗМ КР</t>
  </si>
  <si>
    <t>6968152</t>
  </si>
  <si>
    <t>SEAT TOLEDO 1991-1998   СТ ВЕТР ЗЛ ФИТ КР</t>
  </si>
  <si>
    <t>6968153</t>
  </si>
  <si>
    <t>SEAT TOLEDO 1995-1999  СТ ВЕТР ЗЛ ФИТ+ИЗМ КР</t>
  </si>
  <si>
    <t>6102379</t>
  </si>
  <si>
    <t>SEAT TOLEDO 1991-1998  ХБ НАБОР КЛИПС ДЛЯ СТ ВЕТР</t>
  </si>
  <si>
    <t>6100534</t>
  </si>
  <si>
    <t>SEAT TOLEDO 1991-1998  МОЛД  ДЛЯ СТ ВЕТР ВЕРХ</t>
  </si>
  <si>
    <t>6998814</t>
  </si>
  <si>
    <t>SEAT TOLEDO 1991-1998 ХБ СТ ЗАДН ЭО ЗЛ+ИНК</t>
  </si>
  <si>
    <t>6995487</t>
  </si>
  <si>
    <t>SEAT TOLEDO 1991-1998  СТ ПЕР ДВ ОП ЛВ ЗЛ</t>
  </si>
  <si>
    <t>6994654</t>
  </si>
  <si>
    <t>SEAT TOLEDO 1991-1998  СТ БОК НЕП ЛВ ЗЛ</t>
  </si>
  <si>
    <t>6995489</t>
  </si>
  <si>
    <t>SEAT TOLEDO 1991-1998  СТ ПЕР ДВ ОП ПР ЗЛ</t>
  </si>
  <si>
    <t>6994655</t>
  </si>
  <si>
    <t>SEAT TOLEDO 1991-1998  СТ БОК НЕП ПР ЗЛ</t>
  </si>
  <si>
    <t>TOLEDO/LEON 1998-2003</t>
  </si>
  <si>
    <t>6960435</t>
  </si>
  <si>
    <t>SEAT TOLEDO 08/1998-2006 /LEONE 1999-2005  СТ ВЕТР ЗЛ+ДД+VIN+ИНК</t>
  </si>
  <si>
    <t>6963269</t>
  </si>
  <si>
    <t>SEAT TOLEDO 08/1998-2006 /LEONE 1999-2005  СТ ВЕТР ЗЛ +VIN+ИНК</t>
  </si>
  <si>
    <t>6994851</t>
  </si>
  <si>
    <t>SEAT TOLEDO 08/1998-2006 /LEONE 1999-2005  СТ ЗАДН ЭО ЗЛ+ИНК</t>
  </si>
  <si>
    <t>6993144</t>
  </si>
  <si>
    <t>SEAT TOLEDO 08/1998-2006 /LEONE 1999-2005  СТ ПЕР ДВ ОП ЛВ ЗЛ</t>
  </si>
  <si>
    <t>6993680</t>
  </si>
  <si>
    <t>SEAT TOLEDO 08/1998-2006 /LEONE 1999-2005 СТ ЗАДН ДВ ОП ЛВ ЗЛ</t>
  </si>
  <si>
    <t>6190503</t>
  </si>
  <si>
    <t>SEAT TOLEDO 08/1998-2006 /LEONE 1999-2005  СТ ФОРТ ЗАДН НЕП ЛВ ЗЛ+ИНК/SEAT TOLEDO 08/98  СТ ЗАДН НЕП ЛВ ЗЛ+ИНК</t>
  </si>
  <si>
    <t>6994852</t>
  </si>
  <si>
    <t>SEAT TOLEDO 08/1998-2006 /LEONE 1999-2005  СТ ЗАДН НЕП ЛВ ЗЛ+ИНК/SEAT LEONE 99  СТ ФОРТ ЗАДН НЕП ЛВ ЗЛ+ИНК</t>
  </si>
  <si>
    <t>6993145</t>
  </si>
  <si>
    <t>SEAT TOLEDO 08/1998-2006 /LEONE 1999-2005  СТ ПЕР ДВ ОП ПР ЗЛ</t>
  </si>
  <si>
    <t>6993681</t>
  </si>
  <si>
    <t>SEAT TOLEDO 08/1998-2006 /LEONE 1999-2005 СТ ЗАДН ДВ ОП ПР ЗЛ</t>
  </si>
  <si>
    <t>6190504</t>
  </si>
  <si>
    <t>SEAT TOLEDO 08/1998-2006 /LEONE 1999-2005  СТ ФОРТ ЗАДН НЕП ПР ЗЛ+ИНК/SEAT TOLEDO 08/98  СТ ЗАДН НЕП ПР ЗЛ+ИНК</t>
  </si>
  <si>
    <t>6994853</t>
  </si>
  <si>
    <t>SEAT TOLEDO 08/1998-2006 /LEONE 1999-2005  СТ ЗАДН НЕП ПР ЗЛ+ИНК/SEAT LEONE 99  СТ ФОРТ ЗАДН НЕП ПР ЗЛ+ИНК</t>
  </si>
  <si>
    <t>SKODA</t>
  </si>
  <si>
    <t>FABIA 1999-2006</t>
  </si>
  <si>
    <t>6965104</t>
  </si>
  <si>
    <t>SKODA FABIA 1999-2007 СТ ВЕТР ПРРУЛЬ ИНК+VIN</t>
  </si>
  <si>
    <t>6962150</t>
  </si>
  <si>
    <t>SKODA FABIA (LHD) 1999-2007  СТ ВЕТР +VIN+ИНК</t>
  </si>
  <si>
    <t>6965103</t>
  </si>
  <si>
    <t>SKODA FABIA 1999-2007 СТ ВЕТР ЛВРУЛЬ ИНК+VIN</t>
  </si>
  <si>
    <t>6962151</t>
  </si>
  <si>
    <t>SKODA FABIA (RHD) 1999-2007  СТ ВЕТР +ИНК+VIN</t>
  </si>
  <si>
    <t>6965106</t>
  </si>
  <si>
    <t>SKODA FABIA 1999-2007 СТ ВЕТР ЗЛ ПРРУЛЬ ИНК+VIN</t>
  </si>
  <si>
    <t>6965102</t>
  </si>
  <si>
    <t>SKODA FABIA 1999-2007 СТ ВЕТР ЗЛЗЛ ПРРУЛЬ ИНК+VIN</t>
  </si>
  <si>
    <t>6962148</t>
  </si>
  <si>
    <t>SKODA FABIA (LHD) 1999-2007  СТ ВЕТР ЗЛЗЛ+VIN+ИНК</t>
  </si>
  <si>
    <t>6965101</t>
  </si>
  <si>
    <t>SKODA FABIA 1999-2007 СТ ВЕТР ЗЛЗЛ ЛВРУЛЬ ИНК+VIN</t>
  </si>
  <si>
    <t>6962176</t>
  </si>
  <si>
    <t>SKODA FABIA (RHD) 1999-2007  СТ ВЕТР ЗЛЗЛ+VIN+ИНК</t>
  </si>
  <si>
    <t>6960181</t>
  </si>
  <si>
    <t>SKODA FABIA 1999-2007 СТ ВЕТР ЗЛСР ПРРУЛЬ ИНК+VIN</t>
  </si>
  <si>
    <t>6962147</t>
  </si>
  <si>
    <t>SKODA FABIA (LHD) 1999-2007  СТ ВЕТР ЗЛСР+VIN+ИНК</t>
  </si>
  <si>
    <t>6960185</t>
  </si>
  <si>
    <t>SKODA FABIA 2006-2007 СТ ВЕТР ЗЛСР ЛВРУЛЬ ИНК+VIN</t>
  </si>
  <si>
    <t>6962149</t>
  </si>
  <si>
    <t>SKODA FABIA (RHD) 1999-2007  СТ ВЕТР ЗЛСР+VIN+ИНК</t>
  </si>
  <si>
    <t>6962152</t>
  </si>
  <si>
    <t>SKODA FABIA 1999-2007  СТ ВЕТР ЛВРУЛЬ ЗЛ+VIN+ИНК</t>
  </si>
  <si>
    <t>6965105</t>
  </si>
  <si>
    <t>SKODA FABIA 1999-2007 СТ ВЕТР ЗЛ ЛВРУЛЬ ИНК+VIN</t>
  </si>
  <si>
    <t>6962153</t>
  </si>
  <si>
    <t>SKODA FABIA (RHD) 1999-2007  СТ ВЕТР ЗЛ+VIN+ИНК</t>
  </si>
  <si>
    <t>6990547</t>
  </si>
  <si>
    <t>SKODA FABIA УН 2000-2007 СТ ЗАДН ЭО+УО</t>
  </si>
  <si>
    <t>6997722</t>
  </si>
  <si>
    <t>SKODA FABIA ХБ 1999-2007 СТ ЗАДН +ФИТ</t>
  </si>
  <si>
    <t>6990940</t>
  </si>
  <si>
    <t>SKODA FABIA 4Д СД 09/2001-2007  СТ ЗАДН</t>
  </si>
  <si>
    <t>6990550</t>
  </si>
  <si>
    <t>SKODA FABIA УН 2000-2007 СТ ЗАДН ЭО ЗЛ+УО</t>
  </si>
  <si>
    <t>6997721</t>
  </si>
  <si>
    <t>SKODA FABIA ХБ 1999-2007 СТ ЗАДН ЭО ЗЛ+ФИТ</t>
  </si>
  <si>
    <t>6993701</t>
  </si>
  <si>
    <t>SKODA FABIA СД 09/2001-2007  СТ ЗАДН ЗЛ</t>
  </si>
  <si>
    <t>6993215</t>
  </si>
  <si>
    <t>SKODA FABIA ХБ 2000-2007 СТ ЗАДН ЗЛ+УО</t>
  </si>
  <si>
    <t>6990807</t>
  </si>
  <si>
    <t>SKODA FABIA УН 2000-2007 СТ ЗАДН ДВ ОП ЛВ</t>
  </si>
  <si>
    <t>6990808</t>
  </si>
  <si>
    <t>SKODA FABIA УН 2000-2007 СТ БОК ЛВ ИНК</t>
  </si>
  <si>
    <t>6997710</t>
  </si>
  <si>
    <t>SKODA FABIA 1999-2007 СТ ПЕР ДВ ОП ЛВ ИНК</t>
  </si>
  <si>
    <t>6997706</t>
  </si>
  <si>
    <t>SKODA FABIA 1999-2007 СТ ЗАДН ДВ ОП ЛВ ИНК</t>
  </si>
  <si>
    <t>6990809</t>
  </si>
  <si>
    <t>SKODA FABIA УН 2000-2007 СТ ЗАДН ДВ ОП ЛВ ЗЛ</t>
  </si>
  <si>
    <t>6990576</t>
  </si>
  <si>
    <t>6997709</t>
  </si>
  <si>
    <t>SKODA FABIA 1999-2007 СТ ПЕР ДВ ОП ЛВ ЗЛ ИНК</t>
  </si>
  <si>
    <t>6997705</t>
  </si>
  <si>
    <t>SKODA FABIA 1999-2007 СТ ЗАДН ДВ ОП ЛВ ЗЛ ИНК</t>
  </si>
  <si>
    <t>6997701</t>
  </si>
  <si>
    <t>SKODA FABIA 1999-2007  СТ ФОРТ ЗАДН НЕП ЛВ ЗЛ+ИНК</t>
  </si>
  <si>
    <t>6990804</t>
  </si>
  <si>
    <t>SKODA FABIA УН 2000-2007 СТ ЗАДН ДВ ОП ПР</t>
  </si>
  <si>
    <t>6990803</t>
  </si>
  <si>
    <t>SKODA FABIA УН 2000-2007 СТ БОК ПР ИНК</t>
  </si>
  <si>
    <t>6997712</t>
  </si>
  <si>
    <t>SKODA FABIA 1999-2007 СТ ПЕР ДВ ОП ПР ИНК</t>
  </si>
  <si>
    <t>6997708</t>
  </si>
  <si>
    <t>SKODA FABIA 1999-2007 СТ ЗАДН ДВ ОП ПР ИНК</t>
  </si>
  <si>
    <t>6990805</t>
  </si>
  <si>
    <t>SKODA FABIA УН/5 2000-2007  СТ ЗАДН ДВ ОП ПР ЗЛ</t>
  </si>
  <si>
    <t>6990559</t>
  </si>
  <si>
    <t>6997711</t>
  </si>
  <si>
    <t>SKODA FABIA 1999-2007 СТ ПЕР ДВ ОП ПР ЗЛ ИНК</t>
  </si>
  <si>
    <t>6997707</t>
  </si>
  <si>
    <t>SKODA FABIA 1999-2007 СТ ЗАДН ДВ ОП ПР ЗЛ ИНК</t>
  </si>
  <si>
    <t>6997703</t>
  </si>
  <si>
    <t>SKODA FABIA 1999-2007  СТ ФОРТ ЗАДН НЕП ПР ЗЛ+ИНК</t>
  </si>
  <si>
    <t>FABIA 2007- /ROOMSTER 2006-</t>
  </si>
  <si>
    <t>6961127</t>
  </si>
  <si>
    <t>SKODA FABIA 2007- /ROOMSTER 2006- СТ ВЕТР+VIN+УО</t>
  </si>
  <si>
    <t>6961126</t>
  </si>
  <si>
    <t>SKODA FABIA 2007- /ROOMSTER 2006- СТ ВЕТР ЗЛСР+VIN+УО</t>
  </si>
  <si>
    <t>6961170</t>
  </si>
  <si>
    <t>SKODA FABIA 2007- /ROOMSTER 2006- СТ ВЕТР ЗЛ+VIN+УО</t>
  </si>
  <si>
    <t>6995998</t>
  </si>
  <si>
    <t>SKODA FABIA УН 2007- /ROOMSTER 2006- СТ ЗАДН ДВ+УО</t>
  </si>
  <si>
    <t>6998571</t>
  </si>
  <si>
    <t>SKODA FABIA ХБ 2007- /ROOMSTER 2006- СТ ЗАДН ДВ +СТОП+УО</t>
  </si>
  <si>
    <t>6901586</t>
  </si>
  <si>
    <t>SKODA FABIA УН 5Д 2008- СТ ЗАДН ДВ GD+УО</t>
  </si>
  <si>
    <t>6998572</t>
  </si>
  <si>
    <t>SKODA FABIA ХБ 2007- /ROOMSTER 2006- СТ ЗАДН ДВ ТЗЛ+СТОП+УО</t>
  </si>
  <si>
    <t>6997732</t>
  </si>
  <si>
    <t>SKODA FABIA МИН 2007- /ROOMSTER 2006- СТ ЗАДН ТЗЛ+СТОП+УО</t>
  </si>
  <si>
    <t>6901585</t>
  </si>
  <si>
    <t>SKODA FABIA УН 2008- УН /ROOMSTER 2006- СТ ЗАДН ДВ ЗЛ+УО</t>
  </si>
  <si>
    <t>6993586</t>
  </si>
  <si>
    <t>SKODA FABIA ХБ 2007- ХБ /ROOMSTER 2006- СТ ЗАДН ДВ ЗЛ+СТОП+УО</t>
  </si>
  <si>
    <t>6993547</t>
  </si>
  <si>
    <t>SKODA FABIA МИН 2007- МИН /ROOMSTER 2006- СТ ЗАДН ЗЛ+СТОП+УО</t>
  </si>
  <si>
    <t>6995184</t>
  </si>
  <si>
    <t>SKODA FABIA 2007- УН /ROOMSTER 2006- СТ ЗАДН ДВ ОП ЛВ</t>
  </si>
  <si>
    <t>6993396</t>
  </si>
  <si>
    <t>SKODA FABIA 2007- /ROOMSTER 2006- СТ ПЕР ДВ ОП ЛВ+УО</t>
  </si>
  <si>
    <t>6996090</t>
  </si>
  <si>
    <t>SKODA FABIA 2007- МИН /ROOMSTER 2006- СТ ПЕР ДВ ОП ЛВ+УО</t>
  </si>
  <si>
    <t>6993390</t>
  </si>
  <si>
    <t>SKODA FABIA 2007- /ROOMSTER 2006- СТ ЗАДН ДВ ОП ЛВ</t>
  </si>
  <si>
    <t>6993750</t>
  </si>
  <si>
    <t>SKODA FABIA 2007- /ROOMSTER 2006- СТ БОК НЕП ЛВ+УО</t>
  </si>
  <si>
    <t>6994722</t>
  </si>
  <si>
    <t>SKODA FABIA 2007- УН /ROOMSTER 2006- СТ ЗАДН ДВ ОП ЛВ ЗЛ</t>
  </si>
  <si>
    <t>6993587</t>
  </si>
  <si>
    <t>SKODA FABIA 2007- /ROOMSTER 2006- СТ ЗАДН ДВ ОП ЛВ ТЗЛ+СТОП+УО</t>
  </si>
  <si>
    <t>6993589</t>
  </si>
  <si>
    <t>SKODA FABIA 2007- /ROOMSTER 2006- СТ БОК НЕП ЛВ ТЗЛ+УО</t>
  </si>
  <si>
    <t>6993839</t>
  </si>
  <si>
    <t>SKODA FABIA 2007- /ROOMSTER 2006- СТ ЗАДН ДВ ОП ЛВ ЗЛ</t>
  </si>
  <si>
    <t>6993580</t>
  </si>
  <si>
    <t>SKODA FABIA 2007- /ROOMSTER 2006- СТ ПЕР ДВ ОП ЛВ ЗЛ+УО</t>
  </si>
  <si>
    <t>6993582</t>
  </si>
  <si>
    <t>6993584</t>
  </si>
  <si>
    <t>SKODA FABIA 2007- /ROOMSTER 2006- СТ ФОРТ ЗАДН НЕП ЛВ ЗЛ+ИНК</t>
  </si>
  <si>
    <t>6993394</t>
  </si>
  <si>
    <t>6996088</t>
  </si>
  <si>
    <t>SKODA FABIA 2007- МИН /ROOMSTER 2006- СТ ПЕР ДВ ОП ЛВ ЗЛ+УО</t>
  </si>
  <si>
    <t>6993391</t>
  </si>
  <si>
    <t>SKODA FABIA 2007- МИН /ROOMSTER 2006- СТ ЗАДН ДВ ОП ЛВ ТЗЛ</t>
  </si>
  <si>
    <t>6993166</t>
  </si>
  <si>
    <t>SKODA FABIA 2007- /ROOMSTER 2006- СТ БОК НЕП ЛВ ЗЛ+УО</t>
  </si>
  <si>
    <t>6995185</t>
  </si>
  <si>
    <t>SKODA FABIA 2007- /ROOMSTER 2006- СТ ЗАДН ДВ ОП ПР</t>
  </si>
  <si>
    <t>6993397</t>
  </si>
  <si>
    <t>SKODA FABIA 2007- /ROOMSTER 2006- СТ ПЕР ДВ ОП ПР+УО</t>
  </si>
  <si>
    <t>6996089</t>
  </si>
  <si>
    <t>SKODA FABIA 2007- МИН /ROOMSTER 2006- СТ ПЕР ДВ ОП ПР+УО</t>
  </si>
  <si>
    <t>6993392</t>
  </si>
  <si>
    <t>6993751</t>
  </si>
  <si>
    <t>SKODA FABIA 2007- /ROOMSTER 2006- СТ БОК НЕП ПР+УО</t>
  </si>
  <si>
    <t>6994723</t>
  </si>
  <si>
    <t>SKODA FABIA 2007- /ROOMSTER 2006- СТ ЗАДН ДВ ОП ПР PR ЗЛ</t>
  </si>
  <si>
    <t>6993588</t>
  </si>
  <si>
    <t>SKODA FABIA 2007- /ROOMSTER 2006- СТ ЗАДН ДВ ОП ПР ТЗЛ</t>
  </si>
  <si>
    <t>6993590</t>
  </si>
  <si>
    <t>SKODA FABIA 2007- /ROOMSTER 2006- СТ БОК НЕП ПР ТЗЛ+УО</t>
  </si>
  <si>
    <t>6993838</t>
  </si>
  <si>
    <t>6993806</t>
  </si>
  <si>
    <t>SKODA FABIA 2007- /ROOMSTER 2006- СТ БОК НЕП ПР ЗЛ+ИНК</t>
  </si>
  <si>
    <t>6993581</t>
  </si>
  <si>
    <t>SKODA FABIA 2007- /ROOMSTER 2006- СТ ПЕР ДВ ОП ПР ЗЛ+УО</t>
  </si>
  <si>
    <t>6993583</t>
  </si>
  <si>
    <t>SKODA FABIA 2007- /ROOMSTER 2006- СТ ЗАДН ДВ ОП ПР ЗЛ</t>
  </si>
  <si>
    <t>6993585</t>
  </si>
  <si>
    <t>SKODA FABIA 2007- /ROOMSTER 2006- СТ ФОРТ ЗАДН НЕП ПР ЗЛ+ИНК</t>
  </si>
  <si>
    <t>6993395</t>
  </si>
  <si>
    <t>6996087</t>
  </si>
  <si>
    <t>SKODA FABIA 2007- МИН /ROOMSTER 2006- СТ ПЕР ДВ ОП ПР ЗЛ+УО</t>
  </si>
  <si>
    <t>6993393</t>
  </si>
  <si>
    <t>SKODA FABIA 2007- МИН /ROOMSTER 2006- СТ ЗАДН ДВ ОП ПР ЗЛ</t>
  </si>
  <si>
    <t>6993165</t>
  </si>
  <si>
    <t>SKODA FABIA 2007- /ROOMSTER 2006- СТ БОК НЕП ПР ЗЛ+УО</t>
  </si>
  <si>
    <t>FABIA II 2010-</t>
  </si>
  <si>
    <t>6964804</t>
  </si>
  <si>
    <t>SKODA FABIA II 10- СТ ВЕТР ПР+АНТ+VIN+УО</t>
  </si>
  <si>
    <t>6961502</t>
  </si>
  <si>
    <t>SKODA FABIA II 10- СТ ВЕТР ЗЛ+АНТ+VIN+УО</t>
  </si>
  <si>
    <t>FAVORIT 1989-2001/FELICIA 1995-2001</t>
  </si>
  <si>
    <t>6969301</t>
  </si>
  <si>
    <t>SKODA FAVORIT 1989-2001/FELICIA 1995-2001 СТ ВЕТР</t>
  </si>
  <si>
    <t>6969315</t>
  </si>
  <si>
    <t>SKODA FAVORIT 1989-2001/FELICIA 1995-2001 СТ ВЕТР+ШЕЛК+КР/VOLKSWAGEN CADDY PU 1996-  СТ ВЕТР КР</t>
  </si>
  <si>
    <t>6969302</t>
  </si>
  <si>
    <t>SKODA FAVORIT 1989-2001/FELICIA 1995-2001 СТ ВЕТР ЗЛ</t>
  </si>
  <si>
    <t>6969316</t>
  </si>
  <si>
    <t>SKODA FAVORIT 1989-2001/FELICIA 1995-2001 СТ ВЕТР ЗЛ+ШЕЛК+КР/VOLKSWAGEN CADDY PU 1996-  СТ ВЕТР ЗЛ+КР</t>
  </si>
  <si>
    <t>6961440</t>
  </si>
  <si>
    <t>SKODA FAVORIT 1989-2001/FELICIA 1995-2001 СТ ВЕТР ЗЛГЛ+ШЕЛК+КР/VOLKSWAGEN CADDY PU 1996-  СТ ВЕТР ЗЛГЛ+КР</t>
  </si>
  <si>
    <t>6969305</t>
  </si>
  <si>
    <t>SKODA FAVORIT 1989-2001/FELICIA 1995-2001 СТ ВЕТР ЗЛЗЛ</t>
  </si>
  <si>
    <t>6964405</t>
  </si>
  <si>
    <t>SKODA FAVORIT 1989-2001/FELICIA 1995-2001 СТ ВЕТР ЗЛЗЛ+ШЕЛК+КР</t>
  </si>
  <si>
    <t>6101218</t>
  </si>
  <si>
    <t>SKODA FAVORIT 1989-2001/FELICIA 1995-2001 РЕЗ ПРОФ ДЛЯ СТ ВЕТР</t>
  </si>
  <si>
    <t>6997820</t>
  </si>
  <si>
    <t>SKODA FAVORIT ХБ 1989-2001/FELICIA 1995-2001 СТ ЗАДН ДВ</t>
  </si>
  <si>
    <t>6994855</t>
  </si>
  <si>
    <t>SKODA FAVORIT ХБ 1989-2001/FELICIA 1995-2001 СТ ЗАДН ЭО+ИЗМ РАЗМ</t>
  </si>
  <si>
    <t>6997808</t>
  </si>
  <si>
    <t>SKODA FAVORIT ХБ 1989-2001/FELICIA 1995-2001 СТ ЗАДН ЭО ЗЛ+ИЗМ РАЗМ</t>
  </si>
  <si>
    <t>6994856</t>
  </si>
  <si>
    <t>SKODA FAVORIT 1989-2001/FELICIA 1995-2001 СТ БОК НЕП ЛВ+ИНК</t>
  </si>
  <si>
    <t>6997809</t>
  </si>
  <si>
    <t>SKODA FAVORIT 1989-2001/FELICIA 1995-2001 СТ ПЕР ДВ ОП ЛВ</t>
  </si>
  <si>
    <t>6997810</t>
  </si>
  <si>
    <t>SKODA FAVORIT 1989-2001/FELICIA 1995-2001 СТ ПЕР ДВ ОП ЛВ/VOLKSWAGEN CADDY PU 96  СТ ПЕР ДВ ОП ЛВ</t>
  </si>
  <si>
    <t>6997812</t>
  </si>
  <si>
    <t>SKODA FAVORIT 1989-2001/FELICIA 1995-2001 СТ ЗАДН ДВ ОП ЛВ</t>
  </si>
  <si>
    <t>6997811</t>
  </si>
  <si>
    <t>SKODA FAVORIT ХБК+УН 1989-2001 СТ ЗАДН ДВ ОП ЛВ</t>
  </si>
  <si>
    <t>6994857</t>
  </si>
  <si>
    <t>SKODA FAVORIT 1989-2001/FELICIA 1995-2001 СТ ЗАДН ДВ НЕП ЛВ</t>
  </si>
  <si>
    <t>6994858</t>
  </si>
  <si>
    <t>SKODA FAVORIT 1989-2001/FELICIA 1995-2001 СТ БОК НЕП ЛВ ЗЛ+ИНК</t>
  </si>
  <si>
    <t>6999179</t>
  </si>
  <si>
    <t>SKODA FAVORIT 1989-2001/FELICIA 1995-2001 СТ ПЕР ДВ ОП ЛВ ЗЛ</t>
  </si>
  <si>
    <t>6994859</t>
  </si>
  <si>
    <t>SKODA FAVORIT 1989-2001/FELICIA 1995-2001 СТ ПЕР ДВ ОП ЛВ ЗЛ/VOLKSWAGEN CADDY PU 96  СТ ПЕР ДВ ОП ЛВ ЗЛ</t>
  </si>
  <si>
    <t>6999180</t>
  </si>
  <si>
    <t>SKODA FAVORIT 1989-2001/FELICIA 1995-2001 СТ ЗАДН ОП ЗЛ ЛВ</t>
  </si>
  <si>
    <t>6994860</t>
  </si>
  <si>
    <t>SKODA FAVORIT 1989-2001/FELICIA 1995-2001 СТ ЗАДН ДВ ОП ЛВ ЗЛ</t>
  </si>
  <si>
    <t>6994861</t>
  </si>
  <si>
    <t>SKODA FAVORIT 1989-2001/FELICIA 1995-2001 СТ ЗАДН ДВ НЕП ЛВ ЗЛ</t>
  </si>
  <si>
    <t>6994862</t>
  </si>
  <si>
    <t>SKODA FAVORIT 1989-2001/FELICIA 1995-2001 СТ БОК НЕП ПР+ИНК</t>
  </si>
  <si>
    <t>6997814</t>
  </si>
  <si>
    <t>SKODA FAVORIT 1989-2001/FELICIA 1995-2001 СТ ПЕР ДВ ОП ПР</t>
  </si>
  <si>
    <t>6997815</t>
  </si>
  <si>
    <t>SKODA FAVORIT 1989-2001/FELICIA 1995-2001 СТ ПЕР ДВ ОП ПР/VOLKSWAGEN CADDY PU 96  СТ ПЕР ДВ ОП ПР</t>
  </si>
  <si>
    <t>6997817</t>
  </si>
  <si>
    <t>SKODA FAVORIT 1989-2001/FELICIA 1995-2001 СТ ЗАДН ДВ ОП ПР</t>
  </si>
  <si>
    <t>6994863</t>
  </si>
  <si>
    <t>SKODA FAVORIT 1989-2001/FELICIA 1995-2001 СТ ЗАДН ДВ НЕП ПР</t>
  </si>
  <si>
    <t>6994864</t>
  </si>
  <si>
    <t>SKODA FAVORIT 1989-2001/FELICIA 1995-2001 СТ БОК НЕП ПР ЗЛ+ИНК</t>
  </si>
  <si>
    <t>6999182</t>
  </si>
  <si>
    <t>SKODA FAVORIT 1989-2001/FELICIA 1995-2001 СТ ПЕР ДВ ОП ПР ЗЛ</t>
  </si>
  <si>
    <t>6994865</t>
  </si>
  <si>
    <t>SKODA FAVORIT 1989-2001/FELICIA 1995-2001 СТ ПЕР ДВ ОП ПР ЗЛ/VOLKSWAGEN CADDY PU 96  СТ ПЕР ДВ ОП ПР ЗЛ</t>
  </si>
  <si>
    <t>6999183</t>
  </si>
  <si>
    <t>SKODA FAVORIT 1989-2001/FELICIA 1995-2001 СТ ЗАДН ОП ЗЛ ПР</t>
  </si>
  <si>
    <t>6994866</t>
  </si>
  <si>
    <t>SKODA FAVORIT 1989-2001/FELICIA 1995-2001 СТ ЗАДН ДВ ОП ПР ЗЛ</t>
  </si>
  <si>
    <t>6994867</t>
  </si>
  <si>
    <t>SKODA FAVORIT 1989-2001/FELICIA 1995-2001 СТ ЗАДН ДВ НЕП ПР ЗЛ</t>
  </si>
  <si>
    <t>OCTAVIA I (TOUR) 1997-2004</t>
  </si>
  <si>
    <t>6965017</t>
  </si>
  <si>
    <t>SKODA OCTAVIA 1999-2004 СТ ВЕТР ЗЛЗЛ+VIN+УО</t>
  </si>
  <si>
    <t>6960196</t>
  </si>
  <si>
    <t>SKODA OCTAVIA 1999-2004 СТ ВЕТР ЗЛСР+ДД+VIN+УО</t>
  </si>
  <si>
    <t>6960259</t>
  </si>
  <si>
    <t>SKODA OCTAVIA 1999-2004 СТ ВЕТР ЗЛСР+VIN+УО</t>
  </si>
  <si>
    <t>6965016</t>
  </si>
  <si>
    <t>SKODA OCTAVIA 1999-2004 СТ ВЕТР ЗЛ+VIN+УО</t>
  </si>
  <si>
    <t>6102380</t>
  </si>
  <si>
    <t>SKODA OCTAVIA 1997-1998 КОМП МОЛД ДЛЯ СТ ВЕТР</t>
  </si>
  <si>
    <t>6102381</t>
  </si>
  <si>
    <t>SKODA OCTAVIA 1998-2004 МОЛД ДЛЯ СТ ВЕТР ВЕРХ</t>
  </si>
  <si>
    <t>6990592</t>
  </si>
  <si>
    <t>SKODA OCTAVIA УН 1998-2004  СТ ЗАДН ЭО РЕЗ+УО</t>
  </si>
  <si>
    <t>6990580</t>
  </si>
  <si>
    <t>SKODA OCTAVIA СД 1997-2004  СТ ЗАДН+СТОП+ИНК</t>
  </si>
  <si>
    <t>6990582</t>
  </si>
  <si>
    <t>SKODA OCTAVIA СД 2002-2004 СТ ЗАДН 1ОТВ+СТОП+ИНК</t>
  </si>
  <si>
    <t>6994868</t>
  </si>
  <si>
    <t>SKODA OCTAVIA УН 1998-2004  СТ ЗАДН ЭО ЗЛ9+УО</t>
  </si>
  <si>
    <t>6997842</t>
  </si>
  <si>
    <t>SKODA OCTAVIA СД 2002-2004  СТ ЗАДН ЗЛ+СТОП+ИНК</t>
  </si>
  <si>
    <t>6990583</t>
  </si>
  <si>
    <t>SKODA OCTAVIA СД 2002-2004 СТ ЗАДН 1 ОТВ+СТОП+ИНК</t>
  </si>
  <si>
    <t>6991135</t>
  </si>
  <si>
    <t>SKODA OCTAVIA УН 1998-2004  СТ ЗАДН ТЗЛ РЕЗ+УО</t>
  </si>
  <si>
    <t>6990820</t>
  </si>
  <si>
    <t>SKODA OCTAVIA УН 1998-2004 СТ ЗАДН ДВ ОП ЛВ</t>
  </si>
  <si>
    <t>6990596</t>
  </si>
  <si>
    <t>SKODA OCTAVIA УН 1998-2004 СТ БОК ЛВ+ИНК</t>
  </si>
  <si>
    <t>6990822</t>
  </si>
  <si>
    <t>SKODA OCTAVIA УН 1998-2004 СТ ЗАДН ДВ НЕП ЛВ</t>
  </si>
  <si>
    <t>6990587</t>
  </si>
  <si>
    <t>SKODA OCTAVIA СД 1997-2004 /УН 1998-2004 СТ ПЕР ДВ ОП ЛВ</t>
  </si>
  <si>
    <t>6990814</t>
  </si>
  <si>
    <t>SKODA OCTAVIA СД 1997-2004 СТ ЗАДН ДВ НЕП ЛВ</t>
  </si>
  <si>
    <t>6997830</t>
  </si>
  <si>
    <t>SKODA OCTAVIA УН 1998-2004 СТ ЗАДН ДВ ОП ЛВ ЗЛ</t>
  </si>
  <si>
    <t>6997831</t>
  </si>
  <si>
    <t>SKODA OCTAVIA УН 1998-2004 СТ БОК ЛВ ЗЛ+ИНК</t>
  </si>
  <si>
    <t>6997832</t>
  </si>
  <si>
    <t>SKODA OCTAVIA УН 1998-2004 СТ ЗАДН ДВ НЕП ЛВ ЗЛ</t>
  </si>
  <si>
    <t>6997833</t>
  </si>
  <si>
    <t>SKODA OCTAVIA СД 1997-2004 /УН 1998-2004 СТ ПЕР ДВ ОП ЛВ ЗЛ</t>
  </si>
  <si>
    <t>6997834</t>
  </si>
  <si>
    <t>SKODA OCTAVIA СД 1997-2004 СТ ЗАДН ДВ ОП ЛВ ЗЛ</t>
  </si>
  <si>
    <t>6997835</t>
  </si>
  <si>
    <t>SKODA OCTAVIA СД 1997-2004 СТ ЗАДН ДВ НЕП ЛВ ЗЛ</t>
  </si>
  <si>
    <t>6990816</t>
  </si>
  <si>
    <t>SKODA OCTAVIA УН 1998-2004 СТ ЗАДН ДВ ОП ПР</t>
  </si>
  <si>
    <t>6990594</t>
  </si>
  <si>
    <t>SKODA OCTAVIA УН 1998-2004 СТ БОК ПР+ИНК</t>
  </si>
  <si>
    <t>6990815</t>
  </si>
  <si>
    <t>SKODA OCTAVIA УН 1998-2004 СТ ЗАДН ДВ НЕП ПР</t>
  </si>
  <si>
    <t>6990811</t>
  </si>
  <si>
    <t>SKODA OCTAVIA СД 1997-2004 /УН 1998-2004 СТ ПЕР ДВ ОП ПР</t>
  </si>
  <si>
    <t>6990584</t>
  </si>
  <si>
    <t>SKODA OCTAVIA СД 1997-2004 СТ ЗАДН ДВ ОП ПР</t>
  </si>
  <si>
    <t>6991763</t>
  </si>
  <si>
    <t>SKODA OCTAVIA СД 1997-2004 СТ ЗАДН ДВ НЕП ПР</t>
  </si>
  <si>
    <t>6997836</t>
  </si>
  <si>
    <t>SKODA OCTAVIA УН 1998-2004 СТ ЗАДН ДВ ОП ПР ЗЛ</t>
  </si>
  <si>
    <t>6997837</t>
  </si>
  <si>
    <t>SKODA OCTAVIA УН 1998-2004 СТ БОК ПР ЗЛ+ИНК</t>
  </si>
  <si>
    <t>6997838</t>
  </si>
  <si>
    <t>SKODA OCTAVIA УН 1998-2004 СТ ЗАДН ДВ НЕП ПР ЗЛ</t>
  </si>
  <si>
    <t>6997839</t>
  </si>
  <si>
    <t>SKODA OCTAVIA СД 1997-2004 /УН 1998-2004 СТ ПЕР ДВ ОП ПР ЗЛ</t>
  </si>
  <si>
    <t>6997840</t>
  </si>
  <si>
    <t>SKODA OCTAVIA СД 1997-2004 СТ ЗАДН ДВ ОП ПР ЗЛ</t>
  </si>
  <si>
    <t>6997841</t>
  </si>
  <si>
    <t>SKODA OCTAVIA СД 1997-2004 СТ ЗАДН ДВ НЕП ПР ЗЛ</t>
  </si>
  <si>
    <t>OCTAVIA II (NEW) 2004-</t>
  </si>
  <si>
    <t>6960486</t>
  </si>
  <si>
    <t>SKODA OCTAVIA II (NEW) 2004- СТ ВЕТР ТЕПЛООТРСР+ДД+VIN+ИНК</t>
  </si>
  <si>
    <t>6960257</t>
  </si>
  <si>
    <t>SKODA OCTAVIA II (NEW) 2004- СТ ВЕТР ТЕПЛООТРСР+VIN+ИНК</t>
  </si>
  <si>
    <t>6960544</t>
  </si>
  <si>
    <t>SKODA OCTAVIA II (NEW) 2004- СТ ВЕТР ИНК+VIN</t>
  </si>
  <si>
    <t>6960485</t>
  </si>
  <si>
    <t>SKODA OCTAVIA II (NEW) 2004- СТ ВЕТР ЗЛСР+ДД+VIN+ИНК+ИЗМ КР</t>
  </si>
  <si>
    <t>6960941</t>
  </si>
  <si>
    <t>SKODA OCTAVIA II (NEW) 2004- СТ ВЕТР ЗЛСР+VIN+ИНК</t>
  </si>
  <si>
    <t>6960543</t>
  </si>
  <si>
    <t>SKODA OCTAVIA II (NEW) 2004- СТ ВЕТР ЗЛ+ДД+VIN+ИНК</t>
  </si>
  <si>
    <t>6960258</t>
  </si>
  <si>
    <t>SKODA OCTAVIA II (NEW) 2004- СТ ВЕТР ЗЛ+VIN+ИНК</t>
  </si>
  <si>
    <t>6964653</t>
  </si>
  <si>
    <t>SKODA OCTAVIA 2009- СТ ВЕТР ЗЛ ДД VIN ИНК</t>
  </si>
  <si>
    <t>6901593</t>
  </si>
  <si>
    <t>SKODA OCTAVIA A5 HBK 2004-СТ ЗАДН ЗЛ+АНТ</t>
  </si>
  <si>
    <t>6901589</t>
  </si>
  <si>
    <t>SKODA OCTAVIA II (NEW) ХБ 2004- СТ ЗАДН ОТВ+СТОП+ИНК</t>
  </si>
  <si>
    <t>6901590</t>
  </si>
  <si>
    <t>SKODA OCTAVIA II (NEW) ХБ 2004- СТ ЗАДН+СТОП+ИНК</t>
  </si>
  <si>
    <t>6992087</t>
  </si>
  <si>
    <t>SKODA OCTAVIA II (NEW) ХБ 2004- СТ ЗАДН ОТВ</t>
  </si>
  <si>
    <t>6992630</t>
  </si>
  <si>
    <t>SKODA OCTAVIA II (NEW) ХБ 2004- СТ ЗАДН</t>
  </si>
  <si>
    <t>6996329</t>
  </si>
  <si>
    <t>SKODA OCTAVIA II (NEW) УН 2004- СТ ЗАДН ЗЛ+УО</t>
  </si>
  <si>
    <t>6901592</t>
  </si>
  <si>
    <t>SKODA OCTAVIA II (NEW) ХБ 2004- СТ ЗАДН ДВ ЗЛ+АНТ+СТОП+ИНК</t>
  </si>
  <si>
    <t>6960457</t>
  </si>
  <si>
    <t>SKODA OCTAVIA II (NEW) ХБ 2004- СТ ЗАДН ТРИПЛ ЗЛ+СТОП+ИНК</t>
  </si>
  <si>
    <t>6901588</t>
  </si>
  <si>
    <t>SKODA OCTAVIA II (NEW) ХБ 2004- СТ ЗАДН ЗЛ+СТОП+ИНК+1ОТВ</t>
  </si>
  <si>
    <t>6901591</t>
  </si>
  <si>
    <t>SKODA OCTAVIA II (NEW) ХБ 2004- СТ ЗАДН ЗЛ+СТОП+ИНК+Б/ОТВ</t>
  </si>
  <si>
    <t>6996057</t>
  </si>
  <si>
    <t>SKODA OCTAVIA II (NEW) ХБ 2004- СТ ЗАД ДВ ЗЛ</t>
  </si>
  <si>
    <t>SKODA OCTAVIA II (NEW) ХБ 2004- СТ ЗАД ГЛ ЗЛ СТОП ИНК+1ОТВ</t>
  </si>
  <si>
    <t>6992048</t>
  </si>
  <si>
    <t>SKODA OCTAVIA II (NEW) ХБ 2004- СТ ЗАД ГЛЗЛ+СТОП+ИНК+Б/ОТВ</t>
  </si>
  <si>
    <t>6960645</t>
  </si>
  <si>
    <t>SKODA OCTAVIA II (NEW) УН 2004- СТ ЗАДН ДВ ОП ЛВ ТРИПЛ+УО</t>
  </si>
  <si>
    <t>6960471</t>
  </si>
  <si>
    <t>SKODA OCTAVIA II (NEW) ХБ 2004- СТ ПЕР ДВ ОП ЛВ ТРИПЛ+УО</t>
  </si>
  <si>
    <t>6960474</t>
  </si>
  <si>
    <t>SKODA OCTAVIA II (NEW) ХБ 2004- СТ ЗАДН ДВ ОП ЛВ ТРИПЛ+УО</t>
  </si>
  <si>
    <t>6992348</t>
  </si>
  <si>
    <t>SKODA OCTAVIA II (NEW) УН 2004- СТ ЗАДН ДВ ОП ЛВ</t>
  </si>
  <si>
    <t>6992344</t>
  </si>
  <si>
    <t>SKODA OCTAVIA II (NEW) УН 2004- СТ БОК ЛВ ИНК</t>
  </si>
  <si>
    <t>6990943</t>
  </si>
  <si>
    <t>SKODA OCTAVIA II (NEW) ХБ 2004- СТ ПЕР ДВ ОП ЛВ</t>
  </si>
  <si>
    <t>6991000</t>
  </si>
  <si>
    <t>SKODA OCTAVIA II (NEW) ХБ 2004- СТ ЗАДН ДВ ОП ЛВ</t>
  </si>
  <si>
    <t>6992273</t>
  </si>
  <si>
    <t>SKODA OCTAVIA II (NEW) УН 2004- СТ ЗАДН ДВ ОП ЛВ ЗЛ</t>
  </si>
  <si>
    <t>6992346</t>
  </si>
  <si>
    <t>SKODA OCTAVIA II (NEW) УН 2004- СТ БОК ЛВ ЗЛ+ИНК</t>
  </si>
  <si>
    <t>6990432</t>
  </si>
  <si>
    <t>SKODA OCTAVIA II (NEW) ХБ 2004- СТ ПЕР ДВ ОП ЛВ ЗЛ</t>
  </si>
  <si>
    <t>6991002</t>
  </si>
  <si>
    <t>SKODA OCTAVIA II (NEW) ХБ 2004- СТ ЗАДН ДВ ОП ЛВ ЗЛ</t>
  </si>
  <si>
    <t>6960646</t>
  </si>
  <si>
    <t>SKODA OCTAVIA II (NEW) УН 2004- СТ ЗУО ПР ТРИПЛ+УО</t>
  </si>
  <si>
    <t>6960470</t>
  </si>
  <si>
    <t>SKODA OCTAVIA II (NEW) ХБ 2004- СТ ПЕР ДВ ОП ПР+ТРИПЛ+УО</t>
  </si>
  <si>
    <t>6960472</t>
  </si>
  <si>
    <t>SKODA OCTAVIA II (NEW) ХБ 2004- СТ ЗАДН ДВ ОП ПР ТРИПЛ+УО</t>
  </si>
  <si>
    <t>6992349</t>
  </si>
  <si>
    <t>SKODA OCTAVIA II (NEW) УН 2004- СТ ЗАДН ДВ ОП ПР</t>
  </si>
  <si>
    <t>6992345</t>
  </si>
  <si>
    <t>SKODA OCTAVIA II (NEW) УН 2004- СТ БОК ПР +ИНК</t>
  </si>
  <si>
    <t>6990942</t>
  </si>
  <si>
    <t>SKODA OCTAVIA II (NEW) ХБ 2004- СТ ПЕР ДВ ОП ПР</t>
  </si>
  <si>
    <t>6990998</t>
  </si>
  <si>
    <t>SKODA OCTAVIA II (NEW) ХБ 2004- СТ ЗАДН ДВ ОП ПР</t>
  </si>
  <si>
    <t>6992274</t>
  </si>
  <si>
    <t>SKODA OCTAVIA II (NEW) УН 2004- СТ ЗАДН ДВ ОП ПР ЗЛ</t>
  </si>
  <si>
    <t>6992347</t>
  </si>
  <si>
    <t>SKODA OCTAVIA II (NEW) УН 2004- СТ БОК ПР ЗЛ+ИНК</t>
  </si>
  <si>
    <t>6990409</t>
  </si>
  <si>
    <t>SKODA OCTAVIA II (NEW) ХБ 2004- СТ ПЕР ДВ ОП ПР ЗЛ</t>
  </si>
  <si>
    <t>6990999</t>
  </si>
  <si>
    <t>SKODA OCTAVIA II (NEW) ХБ 2004- СТ ЗАДН ДВ ОП ПР ЗЛ</t>
  </si>
  <si>
    <t>SUPERB 2002-</t>
  </si>
  <si>
    <t>6190576</t>
  </si>
  <si>
    <t>SKODA SUPERB 2002-  СТ ВЕТР ЗЛГЛ+ИНК/VOLKSWAGEN PASSAT 1996-  СТ ВЕТР ЗЛГЛ +ИНК</t>
  </si>
  <si>
    <t>6190577</t>
  </si>
  <si>
    <t>SKODA SUPERB 2002-  СТ ВЕТР ЗЛЗЛ+ИНК+VIN/VOLKSWAGEN PASSAT B5 1996- СТ ВЕТР ЗЛЗЛ+ИНК+VIN</t>
  </si>
  <si>
    <t>6190578</t>
  </si>
  <si>
    <t>SKODA SUPERB 2002-  СТ ВЕТР ЗЛЗЛ+ИНК/VOLKSWAGEN PASSAT 1996-  СТ ВЕТР ЗЛЗЛ+ИНК</t>
  </si>
  <si>
    <t>6190579</t>
  </si>
  <si>
    <t>SKODA SUPERB 2002-  СТ ВЕТР ЗЛСР+ДД+VIN+ИНК/VOLKSWAGEN PASSAT B5 1996- СТ ВЕТР ЗЛСР+ДД+VIN+ИНК</t>
  </si>
  <si>
    <t>6190580</t>
  </si>
  <si>
    <t>SKODA SUPERB 2002-  СТ ВЕТР ЗЛСР+ДД+ИНК/VOLKSWAGEN PASSAT 1996-  СТ ВЕТР ЗЛСР+ДД+ИНК</t>
  </si>
  <si>
    <t>6190581</t>
  </si>
  <si>
    <t>SKODA SUPERB 2002-  СТ ВЕТР ЗЛСР+VIN+ИНК/VOLKSWAGEN PASSAT B5 1996- СТ ВЕТР ЗЛСР КР+ИНК+VIN</t>
  </si>
  <si>
    <t>6190583</t>
  </si>
  <si>
    <t>SKODA SUPERB 2002-  СТ ВЕТР ЗЛ+ИНК+VIN/VOLKSWAGEN PASSAT B5 1996- СТ ВЕТР ЗЛ КР+ИНК+VIN</t>
  </si>
  <si>
    <t>6190584</t>
  </si>
  <si>
    <t>SKODA SUPERB 2002-  СТ ВЕТР ЗЛ+ИНК/VOLKSWAGEN PASSAT 1996-  СТ ВЕТР ЗЛ ИНК</t>
  </si>
  <si>
    <t>6190585</t>
  </si>
  <si>
    <t>SKODA SUPERB СД 2002-  СТ ЗАДН ЗЛ+СТОП+ИНК/VOLKSWAGEN PASSAT СД 1996-  СТ ЗАДН ЭО ЗЛ СТОП+ИНК</t>
  </si>
  <si>
    <t>6190586</t>
  </si>
  <si>
    <t>SKODA SUPERB 2002-  СТ ПЕР ДВ ОП ЛВ ЗЛ/VOLKSWAGEN PASSAT СД 1996-  СТ ПЕР ДВ ОП ЛВ ЗЛ</t>
  </si>
  <si>
    <t>6990781</t>
  </si>
  <si>
    <t>SKODA SUPERB 2002-  СТ ЗАДН ДВ ОП ЛВ ЗЛ</t>
  </si>
  <si>
    <t>6990499</t>
  </si>
  <si>
    <t>SKODA SUPERB 2002-  СТ ФОРТ ЗАДН ЛВ ЗЛ</t>
  </si>
  <si>
    <t>6190587</t>
  </si>
  <si>
    <t>SKODA SUPERB 2002-  СТ ПЕР ДВ ОП ПР ЗЛ/VOLKSWAGEN PASSAT СД 1996- СТ ПЕР ДВ ОП ПР ЗЛ</t>
  </si>
  <si>
    <t>6990780</t>
  </si>
  <si>
    <t>SKODA SUPERB 2002-  СТ ФОРТ ЗАДН ПР ЗЛ</t>
  </si>
  <si>
    <t>SUPERB 5Д ХБ 2008-</t>
  </si>
  <si>
    <t>6963186</t>
  </si>
  <si>
    <t>SKODA SUPERB 5Д ХБ 2008- СТ ВЕТР ЗЛСР+ДД+VIN+ИНК</t>
  </si>
  <si>
    <t>6901031</t>
  </si>
  <si>
    <t>SKODA SUPERB ХБ 2008-  СТ ЗАДН ЗЛ+СТОП+УО</t>
  </si>
  <si>
    <t>6901029</t>
  </si>
  <si>
    <t>SKODA SUPERB ХБ 2008-  СТ ЗАДН ТЗЛ+СТОП+УО</t>
  </si>
  <si>
    <t>6901030</t>
  </si>
  <si>
    <t>SKODA SUPERB ХБ 2008-  СТ ЗАДН ЗЛ+АНТ+СТОП+УО</t>
  </si>
  <si>
    <t>6901028</t>
  </si>
  <si>
    <t>SKODA SUPERB ХБ 2008-  СТ ЗАДН ТЗЛ+АНТ+СТОП+УО</t>
  </si>
  <si>
    <t>YETI SUV 2009-</t>
  </si>
  <si>
    <t>6961888</t>
  </si>
  <si>
    <t>SKODA YETI SUV 2009- СТ ВЕТР ПР+VIN+ДО+ИНК</t>
  </si>
  <si>
    <t>6961890</t>
  </si>
  <si>
    <t>SKODA YETI 09- СТ ВЕТР ЗЛ+ДД+VIN+УО</t>
  </si>
  <si>
    <t>6997782</t>
  </si>
  <si>
    <t>SKODA YETI 09-СТ ЗАДН НЕП ПР ТЗЛ +УО</t>
  </si>
  <si>
    <t>SSANGYONG</t>
  </si>
  <si>
    <t>KORANDO 1994-1997</t>
  </si>
  <si>
    <t>6960849</t>
  </si>
  <si>
    <t>1994-1997</t>
  </si>
  <si>
    <t>SSANGYONG KORANDO 1994-1997  СТ ВЕТР ЗЛГЛ</t>
  </si>
  <si>
    <t>KORANDO 1998-</t>
  </si>
  <si>
    <t>6963603</t>
  </si>
  <si>
    <t>SSANGYONG KORANDO 1998- СТ ВЕТР ЗЛГЛ</t>
  </si>
  <si>
    <t>6980179</t>
  </si>
  <si>
    <t>SSANGYONG KORANDO 1997- СТ ПЕР ДВ ОП ЛВ ЗЛ</t>
  </si>
  <si>
    <t>6980180</t>
  </si>
  <si>
    <t>SSANGYONG KORANDO 1997- СТ ПЕР ДВ ОП ПР ЗЛ</t>
  </si>
  <si>
    <t>KYRON LHD 2006-/ACTYON LHD 2006</t>
  </si>
  <si>
    <t>6961634</t>
  </si>
  <si>
    <t>SSANGYONG KYRON LHD 2006-/ACTYON LHD 2006 СТ ВЕТР ЗЛГЛ ЭО+VIN</t>
  </si>
  <si>
    <t>6962241</t>
  </si>
  <si>
    <t>SSANGYONG KYRON LHD 2006-/ACTYON LHD 2006 СТ ВЕТР ЗЛГЛ+ЭО+ДД+VIN+ИЗМ ШЕЛК</t>
  </si>
  <si>
    <t>6102128</t>
  </si>
  <si>
    <t>SSANGYONG KYRON LHD 2006-/ACTYON LHD 2006 МОЛД ДЛЯ СТ ВЕТР</t>
  </si>
  <si>
    <t>6902947</t>
  </si>
  <si>
    <t>SSANGYONG KYRON LHD 2006- СТ ЗАДН ЗЛ+АНТ</t>
  </si>
  <si>
    <t>6999999</t>
  </si>
  <si>
    <t>SSANGYONG KYRON LHD 2006-/ACTYON LHD 2006 СТ ПЕР ДВ ОП ЛВ ЗЛ</t>
  </si>
  <si>
    <t>6900190</t>
  </si>
  <si>
    <t>SSANGYONG KYRON LHD 2006-/ACTYON LHD 2006 СТ ЗАДН ДВ ОП ЛВ ЗЛ</t>
  </si>
  <si>
    <t>6900089</t>
  </si>
  <si>
    <t>SSANGYONG KYRON LHD 2006-/ACTYON LHD 2006 СТ ПЕР ДВ ОП ПР ЗЛ</t>
  </si>
  <si>
    <t>6900276</t>
  </si>
  <si>
    <t>SSANGYONG KYRON LHD 2006-/ACTYON LHD 2006 СТ ЗАДН ДВ ОП ПР ЗЛ</t>
  </si>
  <si>
    <t>MUSSO 5Д 1995-2004</t>
  </si>
  <si>
    <t>6963686</t>
  </si>
  <si>
    <t>SSANGYONG MUSSO 1995-2004  СТ ВЕТР ЗЛГЛ</t>
  </si>
  <si>
    <t>6101039</t>
  </si>
  <si>
    <t>SSANGYONG MUSSO 1995-2004  МОЛД  ДЛЯ СТ ВЕТР ВЕРХ</t>
  </si>
  <si>
    <t>6995943</t>
  </si>
  <si>
    <t>SSANGYONG MUSSO 1995-2004  СТ ПЕР ДВ ОП ЛВ ЗЛ</t>
  </si>
  <si>
    <t>6995945</t>
  </si>
  <si>
    <t>SSANGYONG MUSSO 1995-2004  СТ ЗАДН ДВ ОП ЛВ ЗЛ</t>
  </si>
  <si>
    <t>6995944</t>
  </si>
  <si>
    <t>SSANGYONG MUSSO 1995-2004  СТ ПЕР ДВ ОП ПР ЗЛ</t>
  </si>
  <si>
    <t>6995946</t>
  </si>
  <si>
    <t>SSANGYONG MUSSO 1995-2004  СТ ЗАДН ДВ ОП ПР ЗЛ</t>
  </si>
  <si>
    <t>6995947</t>
  </si>
  <si>
    <t>SSANGYONG MUSSO 1995-2004  СТ ФОРТ ЗАДН НЕП ПР ЗЛ</t>
  </si>
  <si>
    <t>REXTON JEEP 2002-</t>
  </si>
  <si>
    <t>6965349</t>
  </si>
  <si>
    <t>SSANGYONG REXTON 2002- СТ ВЕТР ЗЛГЛ</t>
  </si>
  <si>
    <t>6950140</t>
  </si>
  <si>
    <t>6962319</t>
  </si>
  <si>
    <t>SSANGYONG REXTON 2002- СТ ВЕТР ЗЛГЛ+ЭО</t>
  </si>
  <si>
    <t>6101562</t>
  </si>
  <si>
    <t>SSANGYONG REXTON 2002- МОЛД  ДЛЯ СТ ВЕТР</t>
  </si>
  <si>
    <t>6999917</t>
  </si>
  <si>
    <t>SSANGYONG REXTON ВН 2002- СТ ЗАДН ТЗЛ+УО</t>
  </si>
  <si>
    <t>6900377</t>
  </si>
  <si>
    <t>SSANGYONG REXTON ВН 2002- СТ ЗАДН ЗЛ ОТКР+УО+ИЗМ ОТВ</t>
  </si>
  <si>
    <t>6997565</t>
  </si>
  <si>
    <t>SSANGYONG REXTON ВН 2002- СТ ЗАДН ЗЛ+УО</t>
  </si>
  <si>
    <t>6995948</t>
  </si>
  <si>
    <t>SSANGYONG REXTON 2002- СТ ПЕР ДВ ОП ЛВ ПРОЗР</t>
  </si>
  <si>
    <t>6995956</t>
  </si>
  <si>
    <t>SSANGYONG REXTON 2002- СТ ЗАДН ДВ ОП ЛВ ПРОЗР</t>
  </si>
  <si>
    <t>6995952</t>
  </si>
  <si>
    <t>SSANGYONG REXTON 2002- СТ БОК НЕП ЛВ</t>
  </si>
  <si>
    <t>6900191</t>
  </si>
  <si>
    <t>SSANGYONG REXTON 2002- СТ ЗАДН ДВ ОП ЛВ ТЗЛ</t>
  </si>
  <si>
    <t>6900081</t>
  </si>
  <si>
    <t>SSANGYONG REXTON 2002- СТ БОК НЕП ЛВ ТЗЛ</t>
  </si>
  <si>
    <t>6900359</t>
  </si>
  <si>
    <t>SSANGYONG REXTON 2002- СТ БОК НЕП ЛВ ТЗЛ+АНТ</t>
  </si>
  <si>
    <t>6900376</t>
  </si>
  <si>
    <t>SSANGYONG REXTON 2002- СТ БОК НЕП ЛВ ТЗЛ+УО</t>
  </si>
  <si>
    <t>6995949</t>
  </si>
  <si>
    <t>SSANGYONG REXTON 2002- СТ ПЕР ДВ ОП ЛВ ЗЛ</t>
  </si>
  <si>
    <t>6995957</t>
  </si>
  <si>
    <t>SSANGYONG REXTON 2002- СТ ЗАДН ДВ ОП ЛВ ЗЛ</t>
  </si>
  <si>
    <t>6995953</t>
  </si>
  <si>
    <t>SSANGYONG REXTON 2002- СТ БОК НЕП ЛВ ЗЛ</t>
  </si>
  <si>
    <t>6995950</t>
  </si>
  <si>
    <t>SSANGYONG REXTON 2002- СТ ПЕР ДВ ОП ПР ПРОЗР</t>
  </si>
  <si>
    <t>6995958</t>
  </si>
  <si>
    <t>SSANGYONG REXTON 2002- СТ ЗАДН ДВ ОП ПР</t>
  </si>
  <si>
    <t>6995954</t>
  </si>
  <si>
    <t>SSANGYONG REXTON 2002- СТ БОК НЕП ПР</t>
  </si>
  <si>
    <t>6900277</t>
  </si>
  <si>
    <t>SSANGYONG REXTON 2002- СТ ЗАДН ДВ ОП ПР ТЗЛ</t>
  </si>
  <si>
    <t>6900115</t>
  </si>
  <si>
    <t>SSANGYONG REXTON 2002- СТ БОК НЕП ПР ТЗЛ</t>
  </si>
  <si>
    <t>6900119</t>
  </si>
  <si>
    <t>SSANGYONG REXTON 2002- СТ БОК НЕП ПР ТЗЛ+АНТ</t>
  </si>
  <si>
    <t>6900087</t>
  </si>
  <si>
    <t>SSANGYONG REXTON 2002- СТ БОК НЕП ПР ТЗЛ+УО</t>
  </si>
  <si>
    <t>6995951</t>
  </si>
  <si>
    <t>SSANGYONG REXTON 2002- СТ ПЕР ДВ ОП ПР ЗЛ</t>
  </si>
  <si>
    <t>6995959</t>
  </si>
  <si>
    <t>SSANGYONG REXTON 2002- СТ ЗАДН ДВ ОП ПР ЗЛ</t>
  </si>
  <si>
    <t>6995955</t>
  </si>
  <si>
    <t>SSANGYONG REXTON 2002- СТ БОК НЕП ПР ЗЛ</t>
  </si>
  <si>
    <t>RODIUS MPV 2005-</t>
  </si>
  <si>
    <t>6961632</t>
  </si>
  <si>
    <t>SSANGYONG RODIUS МИН 2005- СТ ВЕТР ЗЛГЛ ЭО+VIN</t>
  </si>
  <si>
    <t>6961591</t>
  </si>
  <si>
    <t>SSANGYONG RODIUS МИН 2005- СТ ВЕТР ЗЛГЛ+ЭО+ДД+VIN</t>
  </si>
  <si>
    <t>6900845</t>
  </si>
  <si>
    <t>SSANGYONG RODIUS МИН 2005- СТ ЗАДН ЗЛ+УО</t>
  </si>
  <si>
    <t>6900846</t>
  </si>
  <si>
    <t>SSANGYONG RODIUS МИН 2005- СТ ЗАДН СР</t>
  </si>
  <si>
    <t>6900848</t>
  </si>
  <si>
    <t>SSANGYONG RODIUS MPV 2005- СТ ПЕР ДВ ОП ЛВЗЛ</t>
  </si>
  <si>
    <t>6900850</t>
  </si>
  <si>
    <t>SSANGYONG RODIUS MPV 2005- СТ ЗАДН ДВ ОП ЛВЗЛ</t>
  </si>
  <si>
    <t>6900852</t>
  </si>
  <si>
    <t>SSANGYONG RODIUS MPV 2005- СТ ЗАДН ДВ ОП ЛВСР</t>
  </si>
  <si>
    <t>6900849</t>
  </si>
  <si>
    <t>SSANGYONG RODIUS MPV 2005- СТ ЗАДН ДВ ОП ПРЗЛ</t>
  </si>
  <si>
    <t>6900851</t>
  </si>
  <si>
    <t>SSANGYONG RODIUS MPV 2005- СТ ЗАДН ДВ ОП ПРСР</t>
  </si>
  <si>
    <t>SUBARU</t>
  </si>
  <si>
    <t>1600 1984-1992</t>
  </si>
  <si>
    <t>6963507</t>
  </si>
  <si>
    <t>SUBARU 1600 1984-1992 СТ ВЕТР ГЛ</t>
  </si>
  <si>
    <t>1800 КП 1986-1990</t>
  </si>
  <si>
    <t>6963669</t>
  </si>
  <si>
    <t>SUBARU 2Д КП 1986-1990 СТ ВЕТР ГЛ</t>
  </si>
  <si>
    <t>FORESTER 1997-2002</t>
  </si>
  <si>
    <t>6963346</t>
  </si>
  <si>
    <t>SUBARU FORESTER 1997-2002 СТ ВЕТР ЗЛЗЛ</t>
  </si>
  <si>
    <t>6962041</t>
  </si>
  <si>
    <t>SUBARU FORESTER 1997-2002  СТ ВЕТР ЗЛЗЛ ЭО</t>
  </si>
  <si>
    <t>6100605</t>
  </si>
  <si>
    <t>SUBARU FORESTER 1997-2002 МОЛД  ДЛЯ СТ ВЕТР ВЕРХ</t>
  </si>
  <si>
    <t>6900530</t>
  </si>
  <si>
    <t>SUBARU FORESTER ВН 1997/1999-2002 СТ ЗАДН ЗЛ+УО</t>
  </si>
  <si>
    <t>6980593</t>
  </si>
  <si>
    <t>SUBARU FORESTER 1997-2002  СТ ПЕР ДВ ОП ЛВ ЗЛ+7ОТВ</t>
  </si>
  <si>
    <t>6980594</t>
  </si>
  <si>
    <t>SUBARU FORESTER 1997-2002  СТ ПЕР ДВ ОП ПР ЗЛ+7ОТВ</t>
  </si>
  <si>
    <t>FORESTER 2002-2008</t>
  </si>
  <si>
    <t>6950324</t>
  </si>
  <si>
    <t>SUBARU FORESTER ЛВРУЛЬ 2002-2008  СТ ВЕТР ЗЛ</t>
  </si>
  <si>
    <t>6964831</t>
  </si>
  <si>
    <t>SUBARU FORESTER ЛВРУЛЬ 2002-2008 СТ ВЕТР ЗЛЗЛ</t>
  </si>
  <si>
    <t>6962040</t>
  </si>
  <si>
    <t>SUBARU FORESTER ЛВРУЛЬ 2002-2008  СТ ВЕТР ЗЛЗЛ+ЭО</t>
  </si>
  <si>
    <t>6101686</t>
  </si>
  <si>
    <t>SUBARU FORESTER 2002-2008 МОЛД  ДЛЯ СТ ВЕТР</t>
  </si>
  <si>
    <t>6901170</t>
  </si>
  <si>
    <t>SUBARU FORESTER JEEP 2002- СТ ЗАДН ЗЛ+ДО</t>
  </si>
  <si>
    <t>FORESTER 2008-</t>
  </si>
  <si>
    <t>6964663</t>
  </si>
  <si>
    <t>SUBARU FORESTER 2008- СТ ВЕТР ЗЛГЛ+ЭО+VIN</t>
  </si>
  <si>
    <t>6102627</t>
  </si>
  <si>
    <t>SUBARU FORESTER 2008- МОЛД  ДЛЯ СТ ВЕТР</t>
  </si>
  <si>
    <t>IMPREZA 4Д СД 2000-2007</t>
  </si>
  <si>
    <t>6960815</t>
  </si>
  <si>
    <t>SUBARU IMPREZA 4Д 12/2000-2007 СТ ВЕТР</t>
  </si>
  <si>
    <t>6961797</t>
  </si>
  <si>
    <t>SUBARU IMPREZA 4Д 2003-2007 СТ ВЕТР ЗЛ+VIN+ИЗМ ШЕЛ</t>
  </si>
  <si>
    <t>6101599</t>
  </si>
  <si>
    <t>SUBARU IMPREZA 4Д 12/2000-2007 МОЛД  ДЛЯ СТ ВЕТР</t>
  </si>
  <si>
    <t>6900001</t>
  </si>
  <si>
    <t>SUBARU IMPREZA 12/2000-2007  СТ ПЕР ДВ ОП ЛВ ЗЛ+УО</t>
  </si>
  <si>
    <t>6900192</t>
  </si>
  <si>
    <t>SUBARU IMPREZA 4Д 07/2001-2007  СЕД 4Д СТ ЗАДН ОП ЛВ ЗЛ</t>
  </si>
  <si>
    <t>6900090</t>
  </si>
  <si>
    <t>SUBARU IMPREZA 12/2000-2007  СТ ПЕР ДВ ОП ПР ЗЛ</t>
  </si>
  <si>
    <t>6900091</t>
  </si>
  <si>
    <t>SUBARU IMPREZA 12/2000-2007  СТ ПЕР ДВ ОП ПР ЗЛ+УО</t>
  </si>
  <si>
    <t>6900278</t>
  </si>
  <si>
    <t>IMPREZA 5Д ХБ 2000-2007</t>
  </si>
  <si>
    <t>6962076</t>
  </si>
  <si>
    <t>SUBARU IMPREZA 5Д 12/2000-2007  СТ ВЕТР ЗЛ+КР</t>
  </si>
  <si>
    <t>6102041</t>
  </si>
  <si>
    <t>SUBARU IMPREZA 12/2000-2007 ХБ МОЛД  ДЛЯ СТ ВЕТР</t>
  </si>
  <si>
    <t>6900002</t>
  </si>
  <si>
    <t>SUBARU IMPREZA 12/2000-2007  СТ ПЕР ДВ ОП ЛВ ЗЛ</t>
  </si>
  <si>
    <t>6900193</t>
  </si>
  <si>
    <t>SUBARU IMPREZA 12/2000-2007  СТ ЗАДН ДВ ОП ЛВ ЗЛ+УО</t>
  </si>
  <si>
    <t>6900092</t>
  </si>
  <si>
    <t>6900200</t>
  </si>
  <si>
    <t>SUBARU IMPREZA 12/2000-2007  СТ ЗАДН ДВ ОП ПР ЗЛ+УО</t>
  </si>
  <si>
    <t>IMPREZA 5Д ХБ 2007-</t>
  </si>
  <si>
    <t>6962825</t>
  </si>
  <si>
    <t>SUBARU IMPREZA 5Д ХБ 2007-  СТ ВЕТР ЗЛ</t>
  </si>
  <si>
    <t>6964671</t>
  </si>
  <si>
    <t>SUBARU IMPREZA ХБ 2007- СТ ВЕТР ЗЛ+VIN</t>
  </si>
  <si>
    <t>6964759</t>
  </si>
  <si>
    <t>SUBARU IMPREZA 2007- СТ ВЕТР ЗЛ+ЭО+VIN</t>
  </si>
  <si>
    <t>IMPREZA ХБ+СД 08/1992-2000</t>
  </si>
  <si>
    <t>6963406</t>
  </si>
  <si>
    <t>SUBARU IMPREZA ХБ+СД 08/1992-2000 СТ ВЕТР ГЛ</t>
  </si>
  <si>
    <t>6963953</t>
  </si>
  <si>
    <t>SUBARU IMPREZA ХБ+СД 08/1992-2000 СТ ВЕТР ГЛГЛ</t>
  </si>
  <si>
    <t>6963276</t>
  </si>
  <si>
    <t>SUBARU IMPREZA ХБ+СД 08/1992-2000 СТ ВЕТР ЗЛ</t>
  </si>
  <si>
    <t>6961002</t>
  </si>
  <si>
    <t>SUBARU IMPREZA ХБ+СД 08/1992-2000 СТ ВЕТР ЗЛГЛ</t>
  </si>
  <si>
    <t>6961004</t>
  </si>
  <si>
    <t>SUBARU IMPREZA ХБ+СД 08/1992-2000 СТ ВЕТР ЗЛЗЛ</t>
  </si>
  <si>
    <t>6100212</t>
  </si>
  <si>
    <t>SUBARU IMPREZA 08/1992-2000  МОЛД  ДЛЯ СТ ЗАДН</t>
  </si>
  <si>
    <t>6999423</t>
  </si>
  <si>
    <t>SUBARU IMPREZA ХБ+СД 08/1992-2000  СТ ПЕР ДВ ОП ЛВ ГЛ</t>
  </si>
  <si>
    <t>6999424</t>
  </si>
  <si>
    <t>SUBARU IMPREZA ХБ+СД 08/1992-2000  СТ ПЕР ДВ ОП ПР ГЛ</t>
  </si>
  <si>
    <t>JUSTY 1984-1989</t>
  </si>
  <si>
    <t>6963668</t>
  </si>
  <si>
    <t>SUBARU JUSTY 1984-1989 СТ ВЕТР ГЛ</t>
  </si>
  <si>
    <t>6963579</t>
  </si>
  <si>
    <t>SUBARU JUSTY 1984-1989 СТ ВЕТР</t>
  </si>
  <si>
    <t>JUSTY 1989-1995</t>
  </si>
  <si>
    <t>6964111</t>
  </si>
  <si>
    <t>SUBARU JUSTY 1989-1995 СТ ВЕТР ГЛ</t>
  </si>
  <si>
    <t>6900003</t>
  </si>
  <si>
    <t>SUBARU JUSTY 5Д 1989-1995  СТ ПЕР ДВ ОП ЛВ ГЛ</t>
  </si>
  <si>
    <t>6900093</t>
  </si>
  <si>
    <t>SUBARU JUSTY 5Д 1989-1995  СТ ПЕР ДВ ОП ПР ГЛ</t>
  </si>
  <si>
    <t>JUSTY II 3P 1996-</t>
  </si>
  <si>
    <t>6190519</t>
  </si>
  <si>
    <t>SUBARU JUSTY II 3P 1996- СТ ВЕТР ГЛ/SUZUKI SWIFT MK III  GTI 1988-  СТ ВЕТР ГЛ</t>
  </si>
  <si>
    <t>6190520</t>
  </si>
  <si>
    <t>SUBARU JUSTY II 3P 1996- СТ ВЕТР ЗЛЗЛ/SUZUKI SWIFT MK III  GTI 1988-  СТ ВЕТР ГЛГЛ</t>
  </si>
  <si>
    <t>6190522</t>
  </si>
  <si>
    <t>SUBARU JUSTY II 3P 1996- СТ ВЕТР/SUZUKI SWIFT MK III  GTI 1988-  СТ ВЕТР</t>
  </si>
  <si>
    <t>6190524</t>
  </si>
  <si>
    <t>SUBARU JUSTY II ХБ 1996- СТ ЗАДН ГЛ/SUZUKI SWIFT MK III  GTI 1988-  СТ ЗАДН ЭО ГЛ</t>
  </si>
  <si>
    <t>6190525</t>
  </si>
  <si>
    <t>SUBARU JUSTY II ХБ 1996- СТ ЗАДН/SUZUKI SWIFT MK III  GTI 1988-  СТ ЗАДН ЭО</t>
  </si>
  <si>
    <t>6190526</t>
  </si>
  <si>
    <t>SUBARU JUSTY II 1996- СТ ПЕР ДВ ОП ЛВ ГЛ/SUZUKI SWIFT MK III  GTI 1988- СТ ПЕР ДВ ОП ЛВ ГЛ</t>
  </si>
  <si>
    <t>6190527</t>
  </si>
  <si>
    <t>SUBARU JUSTY II 1996- СТ ЗАДН НЕП ЛВ ГЛ+ОТКР/SUZUKI SWIFT MK III  GTI 1988- СТ БОК ПОД ЛВ ГЛ ОТКР</t>
  </si>
  <si>
    <t>6190528</t>
  </si>
  <si>
    <t>SUBARU JUSTY II 1996- СТ ПЕР ДВ ОП ЛВ/SUZUKI SWIFT MK III  GTI 1988-  СТ ПЕР ДВ ОП ЛВ</t>
  </si>
  <si>
    <t>6190530</t>
  </si>
  <si>
    <t>SUBARU JUSTY II 1996- СТ ПЕР ДВ ОП ПР ГЛ/SUZUKI SWIFT MK III  GTI 1988- СТ ПЕР ДВ ОП ПР ГЛ</t>
  </si>
  <si>
    <t>6190531</t>
  </si>
  <si>
    <t>SUBARU JUSTY II 1996- СТ ЗАДН НЕП ПР ГЛ+ОТКР/SUZUKI SWIFT MK III  GTI 1988- СТ БОК ПОД ПР ГЛ ОТКР</t>
  </si>
  <si>
    <t>6190532</t>
  </si>
  <si>
    <t>SUBARU JUSTY II 1996- СТ ПЕР ДВ ОП ПР ГЛ/SUZUKI SWIFT MK III  GTI 1988- СТ ПЕР ДВ ОП ПР</t>
  </si>
  <si>
    <t>JUSTY II 5Д 1996-2001</t>
  </si>
  <si>
    <t>6190534</t>
  </si>
  <si>
    <t>SUBARU JUSTY II 5Д 1996-2001 СТ ВЕТР ГЛ/SUZUKI SWIFT II GLX 5Д 1989-  СТ ВЕТР ГЛ</t>
  </si>
  <si>
    <t>6190536</t>
  </si>
  <si>
    <t>SUBARU JUSTY II 5Д 1996-2001 СТ ВЕТР/SUZUKI SWIFT II GLX 5Д 1989-  СТ ВЕТР</t>
  </si>
  <si>
    <t>6190537</t>
  </si>
  <si>
    <t>SUBARU JUSTY II 5Д ХБ 1996-2001 СТ ЗАДН ДВ ГЛ/SUZUKI SWIFT II GLX 5Д 1989-  СТ ЗАДН ГЛ</t>
  </si>
  <si>
    <t>6190539</t>
  </si>
  <si>
    <t>SUBARU JUSTY II 5Д 1996-2001 СТ ПЕР ДВ ОП ЛВ ГЛ/SUZUKI SWIFT II GLX + 1989-  СТ ПЕР ДВ ОП ЛВ ГЛ</t>
  </si>
  <si>
    <t>6190541</t>
  </si>
  <si>
    <t>SUBARU JUSTY II 5Д 1996-2001 СТ БОК НЕП ЛВ ГЛ/SUZUKI SWIFT II GLX 5Д 1989-  СТ БОК ЛВ ГЛ</t>
  </si>
  <si>
    <t>6190543</t>
  </si>
  <si>
    <t>SUBARU JUSTY II 5Д 1996-2001 СТ ПЕР ДВ ОП ЛВ/SUZUKI SWIFT II GLX + 1989-  СТ ПЕР ДВ ОП ЛВ</t>
  </si>
  <si>
    <t>6190549</t>
  </si>
  <si>
    <t>SUBARU JUSTY II 5Д 1996-2001 СТ БОК НЕП ПР ГЛ/SUZUKI SWIFT II GLX 5Д 1989-  СТ БОК ПР ГЛ</t>
  </si>
  <si>
    <t>6190551</t>
  </si>
  <si>
    <t>SUBARU JUSTY II 5Д 1996-2001 СТ ПЕР ДВ ОП ПР/SUZUKI SWIFT II GLX + 1989-  СТ ПЕР ДВ ОП ПР</t>
  </si>
  <si>
    <t>JUSTY 5Д ХБ 2003-</t>
  </si>
  <si>
    <t>6190555</t>
  </si>
  <si>
    <t>SUBARU JUSTY G3X ХБ 2003- СТ ВЕТР ЗЛ/SUZUKI IGNIS 5Д 2003- СТ ВЕТР ЗЛ</t>
  </si>
  <si>
    <t>6900004</t>
  </si>
  <si>
    <t>SUBARU JUSTY G3X ХБ 2003- СТ ПЕР ДВ ОП ЛВ ЗЛ/SUZUKI IGNIS 5Д 2003- СТ ПЕР ДВ ОП ЛВ ЗЛ</t>
  </si>
  <si>
    <t>6900194</t>
  </si>
  <si>
    <t>SUBARU JUSTY G3X ХБ 2003- СТ ЗАДН ДВ ОП ЛВ ЗЛ/SUZUKI IGNIS HBK 2003- СТ ЗАДН ДВ ОП ЛВ ЗЛ</t>
  </si>
  <si>
    <t>6900094</t>
  </si>
  <si>
    <t>SUBARU JUSTY G3X ХБ 2003- СТ ПЕР ДВ ОП ПР/SUZUKI IGNIS 5Д 2003- СТ ПЕР ДВ ОП ПР ЗЛ</t>
  </si>
  <si>
    <t>6900279</t>
  </si>
  <si>
    <t>SUBARU JUSTY G3X ХБ 2003- СТ ЗАДН ДВ ОП ПР ЗЛ/SUZUKI IGNIS 5D 2003- СТ ЗАДН ДВ ОП ПР ЗЛ</t>
  </si>
  <si>
    <t>LEGACY I 01.1989-08.1994</t>
  </si>
  <si>
    <t>6961441</t>
  </si>
  <si>
    <t>SUBARU LEGACY 1989-1994 СТ ВЕТР ГЛ</t>
  </si>
  <si>
    <t>6101049</t>
  </si>
  <si>
    <t>SUBARU LEGACY 1989-1994 НАБ КЛИПС ДЛЯ СТ ВЕТР</t>
  </si>
  <si>
    <t>6100211</t>
  </si>
  <si>
    <t>SUBARU LEGACY 1989-1994 МОЛД  ДЛЯ СТ ВЕТР ВЕРХ МЕТАЛ С КЛИПС</t>
  </si>
  <si>
    <t>6998977</t>
  </si>
  <si>
    <t>SUBARU LEGACY СД 1989-1994  СТ ЗАДН ГЛ</t>
  </si>
  <si>
    <t>6999185</t>
  </si>
  <si>
    <t>SUBARU LEGACY СД+УН 1989-1994  СТ ПЕР ДВ ОП ЛВ ГЛ</t>
  </si>
  <si>
    <t>6999186</t>
  </si>
  <si>
    <t>SUBARU LEGACY СД 1989-1994  СТ ЗАДН ДВ ОП ЛВ ГЛ</t>
  </si>
  <si>
    <t>6999187</t>
  </si>
  <si>
    <t>SUBARU LEGACY СД 1989-1994  СТ БОК НЕП ЛВ ГЛ</t>
  </si>
  <si>
    <t>6999188</t>
  </si>
  <si>
    <t>SUBARU LEGACY СД+УН 1989-1994  СТ ПЕР ДВ ОП ПР ГЛ</t>
  </si>
  <si>
    <t>6999189</t>
  </si>
  <si>
    <t>SUBARU LEGACY СД 1989-1994  СТ ЗАДН ДВ ОП ПР ГЛ</t>
  </si>
  <si>
    <t>6999190</t>
  </si>
  <si>
    <t>SUBARU LEGACY СД 1989-1994  СТ БОК НЕП ПР ГЛ</t>
  </si>
  <si>
    <t>LEGACY II 09.1994-03.1999</t>
  </si>
  <si>
    <t>6963407</t>
  </si>
  <si>
    <t>SUBARU LEGACY II 09.1994-03.1999 СТ ВЕТР ЗЛ</t>
  </si>
  <si>
    <t>6963408</t>
  </si>
  <si>
    <t>SUBARU LEGACY II 09.1994-03.1999 СТ ВЕТР ЗЛГЛ</t>
  </si>
  <si>
    <t>6101120</t>
  </si>
  <si>
    <t>SUBARU LEGACY II 09.1994-03.1999 НАБ КЛИПС ДЛЯ СТ ВЕТР</t>
  </si>
  <si>
    <t>6100213</t>
  </si>
  <si>
    <t>SUBARU LEGACY II 09.1994-03.1999 МОЛД  ДЛЯ СТ ВЕТР ВЕРХ</t>
  </si>
  <si>
    <t>LEGACY III 1999-2003</t>
  </si>
  <si>
    <t>6960814</t>
  </si>
  <si>
    <t>SUBARU LEGACY СД+УН 1999-2003 СТ ВЕТР</t>
  </si>
  <si>
    <t>6962046</t>
  </si>
  <si>
    <t>SUBARU LEGACY СД+УН 1999-2003  СТ ВЕТР ЗЛ ЭО+КР</t>
  </si>
  <si>
    <t>6101579</t>
  </si>
  <si>
    <t>SUBARU LEGACY СД 1999-2003 МОЛД  ДЛЯ СТ ВЕТР</t>
  </si>
  <si>
    <t>6900196</t>
  </si>
  <si>
    <t>SUBARU LEGACY УН 1999-2003  СТ ЗАДН ДВ ОП ЛВ ЗЛ+УО</t>
  </si>
  <si>
    <t>6900005</t>
  </si>
  <si>
    <t>SUBARU LEGACY СД+УН 1999-2003  СТ ПЕР ДВ ОП ЛВ ЗЛ+УО</t>
  </si>
  <si>
    <t>6900195</t>
  </si>
  <si>
    <t>SUBARU LEGACY СД 1999-2003  СТ ЗАДН ДВ ОП ЛВ ЗЛ+УО</t>
  </si>
  <si>
    <t>6900095</t>
  </si>
  <si>
    <t>SUBARU LEGACY СД+УН 1999-2003  СТ ПЕР ДВ ОП ПР ЗЛ+УО</t>
  </si>
  <si>
    <t>6900280</t>
  </si>
  <si>
    <t>SUBARU LEGACY СД 1999-2003  СТ ЗАДН ДВ ОП ПР ЗЛ+УО</t>
  </si>
  <si>
    <t>LEGACY IV 2003-</t>
  </si>
  <si>
    <t>6963025</t>
  </si>
  <si>
    <t>SUBARU LEGACY IV 2003- СТ ВЕТР ЗЛГЛ+ЭО+VIN</t>
  </si>
  <si>
    <t>6962047</t>
  </si>
  <si>
    <t>SUBARU LEGACY IV 2003- СТ ВЕТР ЭО ЗЛ+VIN</t>
  </si>
  <si>
    <t>6964888</t>
  </si>
  <si>
    <t>SUBARU LEGACY IV 2003- СТ ВЕТР ЗЛ+ЭО+VIN+ИЗМ</t>
  </si>
  <si>
    <t>6961318</t>
  </si>
  <si>
    <t>SUBARU LEGACY IV 2003- СТ ВЕТР ЗЛ+VIN</t>
  </si>
  <si>
    <t>6102146</t>
  </si>
  <si>
    <t>SUBARU LEGACY IV 2003- МОЛД ДЛЯ СТ ВЕТР</t>
  </si>
  <si>
    <t>LEGACY 2009-</t>
  </si>
  <si>
    <t>6965304</t>
  </si>
  <si>
    <t>SUBARU LEGACY 2009- СТ ВЕТР ЗЛ+ЭО+ДД+VIN</t>
  </si>
  <si>
    <t>6965611</t>
  </si>
  <si>
    <t>SUBARU LEGACY 2009- СТ ВЕТР ЗЛ+ДД+VIN</t>
  </si>
  <si>
    <t>6965303</t>
  </si>
  <si>
    <t>SUBARU LEGACY 2009- СТ ВЕТР ЗЛ+VIN</t>
  </si>
  <si>
    <t>TRIBECA 4Д UTILITY 2006-</t>
  </si>
  <si>
    <t>6962956</t>
  </si>
  <si>
    <t>SUBARU B9 TRIBECA SUV 2006- СТ ВЕТР ЗЛГЛ ЭО+VIN</t>
  </si>
  <si>
    <t>SUZUKI</t>
  </si>
  <si>
    <t>ALTO 3Д+5Д 1995-2002</t>
  </si>
  <si>
    <t>6963412</t>
  </si>
  <si>
    <t>SUZUKI ALTO 3Д+5Д 1995-2002  СТ ВЕТР ГЛ</t>
  </si>
  <si>
    <t>6960686</t>
  </si>
  <si>
    <t>SUZUKI ALTO 3Д+5Д 1995-2002  СТ ВЕТР ЗЛ</t>
  </si>
  <si>
    <t>6101809</t>
  </si>
  <si>
    <t>SUZUKI ALTO 3Д+5Д 1995-2002  МОЛД  ДЛЯ СТ ВЕТР</t>
  </si>
  <si>
    <t>6993250</t>
  </si>
  <si>
    <t>SUZUKI ALTO 3Д 1995-2002  СТ ПЕР ДВ ОП ЛВ ЗЛ</t>
  </si>
  <si>
    <t>6900337</t>
  </si>
  <si>
    <t>SUZUKI ALTO 3Д 1995-2002  СТ БОК НЕП ЛВ ЗЛ ОТКР</t>
  </si>
  <si>
    <t>6993251</t>
  </si>
  <si>
    <t>SUZUKI ALTO 3Д 1995-2002  СТ ПЕР ДВ ОП ПР ЗЛ</t>
  </si>
  <si>
    <t>6993252</t>
  </si>
  <si>
    <t>SUZUKI ALTO 3Д 1995-2002  СТ БОК ПОД ПР ЗЛ ОТКР</t>
  </si>
  <si>
    <t>ALTO 5Д 2002-</t>
  </si>
  <si>
    <t>6961025</t>
  </si>
  <si>
    <t>SUZUKI ALTO 5Д 2002- СТ ВЕТР ЗЛ</t>
  </si>
  <si>
    <t>6101687</t>
  </si>
  <si>
    <t>SUZUKI ALTO 5Д 2002- МОЛД  ДЛЯ СТ ВЕТР</t>
  </si>
  <si>
    <t>ALTO 1986-1988</t>
  </si>
  <si>
    <t>6963409</t>
  </si>
  <si>
    <t>SUZUKI ALTO 1986-1988 СТ ВЕТР ГЛ</t>
  </si>
  <si>
    <t>6963410</t>
  </si>
  <si>
    <t>SUZUKI ALTO 1986-1988 СТ ВЕТР/MARUTTI 800 1986-1988 СТ ВЕТР</t>
  </si>
  <si>
    <t>6993237</t>
  </si>
  <si>
    <t>SUZUKI ALTO 1986-1988 СТ ПЕР ДВ ОП ПР/MARUTTI 800 1986-1988 СТ ПЕР ДВ ОП ПР</t>
  </si>
  <si>
    <t>BALENO 3Д+4Д 1995-2002</t>
  </si>
  <si>
    <t>6964285</t>
  </si>
  <si>
    <t>SUZUKI BALENO 3Д+4Д 1995-2002  СТ ВЕТР ГЛ</t>
  </si>
  <si>
    <t>6969355</t>
  </si>
  <si>
    <t>SUZUKI BALENO 3Д+4Д 1995-2002  СТ ВЕТР ЗЛ</t>
  </si>
  <si>
    <t>6961019</t>
  </si>
  <si>
    <t>SUZUKI BALENO 3Д+4Д 1995-2002  СТ ВЕТР ЗЛЗЛ</t>
  </si>
  <si>
    <t>6100218</t>
  </si>
  <si>
    <t>SUZUKI BALENO 1995-2002  МОЛД  ДЛЯ СТ ВЕТР</t>
  </si>
  <si>
    <t>6980347</t>
  </si>
  <si>
    <t>SUZUKI BALENO 4Д СД 1995-2002  СТ ЗАДН ГЛ</t>
  </si>
  <si>
    <t>6992509</t>
  </si>
  <si>
    <t>SUZUKI BALENO 4Д СД 1995-2002  СТ ЗАДН ЗЛ</t>
  </si>
  <si>
    <t>6999209</t>
  </si>
  <si>
    <t>SUZUKI BALENO 4Д 1995-2002  СТ ПЕР ДВ ОП ЛВ ГЛ</t>
  </si>
  <si>
    <t>6995491</t>
  </si>
  <si>
    <t>SUZUKI BALENO 4Д+УН 1995-2002  СТ ПЕР ДВ ОП ЛВ ЗЛ</t>
  </si>
  <si>
    <t>6995492</t>
  </si>
  <si>
    <t>SUZUKI BALENO 4Д+УН 1995-2002 СТ ЗАДН ДВ ОП ЛВ ЗЛ</t>
  </si>
  <si>
    <t>6999211</t>
  </si>
  <si>
    <t>SUZUKI BALENO 4Д 1995-2002  СТ ПЕР ДВ ОП ПР ГЛ</t>
  </si>
  <si>
    <t>6999212</t>
  </si>
  <si>
    <t>SUZUKI BALENO 4Д 1995-2002  СТ ЗАДН ДВ ОП ПР ГЛ</t>
  </si>
  <si>
    <t>6995493</t>
  </si>
  <si>
    <t>SUZUKI BALENO 4Д+УН 1995-2002  СТ ПЕР ДВ ОП ПР ЗЛ</t>
  </si>
  <si>
    <t>6995494</t>
  </si>
  <si>
    <t>SUZUKI BALENO 4Д+УН 1995-2002 СТ ЗАДН ДВ ОП ПР ЗЛ</t>
  </si>
  <si>
    <t>IGNIS 3Д+5Д 2000-</t>
  </si>
  <si>
    <t>6960688</t>
  </si>
  <si>
    <t>SUZUKI IGNIS 3Д+5Д 2000-2002 СТ ВЕТР ЗЛ</t>
  </si>
  <si>
    <t>6100607</t>
  </si>
  <si>
    <t>SUZUKI IGNIS 3Д+5Д 2000-2002 МОЛД  ДЛЯ СТ ВЕТР</t>
  </si>
  <si>
    <t>6993274</t>
  </si>
  <si>
    <t>SUZUKI IGNIS 5Д 2000-2002 СТ ПЕР ДВ ОП ЛВ ЗЛ</t>
  </si>
  <si>
    <t>6993275</t>
  </si>
  <si>
    <t>SUZUKI IGNIS 5Д 2000-2002 СТ ПЕР ДВ ОП ПР ЗЛ</t>
  </si>
  <si>
    <t>IGNIS 5Д 2003-</t>
  </si>
  <si>
    <t>6961319</t>
  </si>
  <si>
    <t>SUZUKI IGNIS 5Д 2003-  СТ ВЕТР ЗЛ/SUBARU JUSTY G3X ХБ 2003- СТ ВЕТР ЗЛ</t>
  </si>
  <si>
    <t>6102042</t>
  </si>
  <si>
    <t>SUZUKI IGNIS ХБ 2003- МОЛД  ДЛЯ СТ ВЕТР ВЕРХ</t>
  </si>
  <si>
    <t>6900624</t>
  </si>
  <si>
    <t>SUZUKI IGNIS 5Д 2003- СТ ПЕР ДВ ОП ЛВ ЗЛ/SUBARU JUSTY G3X ХБ 2003-  СТ ПЕР ДВ ОП ЛВ ЗЛ</t>
  </si>
  <si>
    <t>6900623</t>
  </si>
  <si>
    <t>SUZUKI IGNIS 5Д 2003- СТ ПЕР ДВ ОП ПР ЗЛ/SUBARU JUSTY G3X ХБ 2003-  СТ ПЕР ДВ ОП ПР</t>
  </si>
  <si>
    <t>6900547</t>
  </si>
  <si>
    <t>SUZUKI IGNIS ХБ 2003- СТ ЗАДН ДВ ОП ЛВ ЗЛ</t>
  </si>
  <si>
    <t>JIMNY 1998-</t>
  </si>
  <si>
    <t>6963286</t>
  </si>
  <si>
    <t>SUZUKI JIMNY 1998- СТ ВЕТР СЗЛ</t>
  </si>
  <si>
    <t>6100608</t>
  </si>
  <si>
    <t>SUZUKI JIMNY HARDTOP+SOFTTOP 1998- МОЛД  ДЛЯ СТ ВЕТР</t>
  </si>
  <si>
    <t>6992833</t>
  </si>
  <si>
    <t>SUZUKI JIMNY ВН 1998- СТ ЗАДН СЗЛ</t>
  </si>
  <si>
    <t>6995941</t>
  </si>
  <si>
    <t>SUZUKI JIMNY HARDTOP+SOFTTOP 1998- СТ ПЕР ДВ ОП ЛВ СЗЛ</t>
  </si>
  <si>
    <t>6995942</t>
  </si>
  <si>
    <t>SUZUKI JIMNY HARDTOP+SOFTTOP 1998- СТ ПЕР ДВ ОП ПР СЗЛ</t>
  </si>
  <si>
    <t>LIANA 4Д, MPV 5Д  2001-</t>
  </si>
  <si>
    <t>6960706</t>
  </si>
  <si>
    <t>SUZUKI LIANA 4Д СД+МИНИВЭН 2001-2006 СТ ВЕТР ЗЛ</t>
  </si>
  <si>
    <t>6964833</t>
  </si>
  <si>
    <t>SUZUKI LIANA 4Д СД+МИНИВЭН 2001-2006 СТ ВЕТР ЗЛ+ШЕЛК/ЗЕРК</t>
  </si>
  <si>
    <t>6964821</t>
  </si>
  <si>
    <t>SUZUKI LIANA 4Д СД+5Д МИНИВЭН  2006- СТ ВЕТР ЗЛ</t>
  </si>
  <si>
    <t>6950328</t>
  </si>
  <si>
    <t>SUZUKI LIANA 4Д СД 2001-2006  СТ ВЕТР ЗЛГЛ</t>
  </si>
  <si>
    <t>6950327</t>
  </si>
  <si>
    <t>6101097</t>
  </si>
  <si>
    <t>SUZUKI LIANA МИН 2001-2006  МОЛД ДЛЯ СТ ВЕТР ВЕРХ</t>
  </si>
  <si>
    <t>6993682</t>
  </si>
  <si>
    <t>SUZUKI LIANA 4Д СД 2001-2006  СТ ЗАДН ЗЛ</t>
  </si>
  <si>
    <t>6900189</t>
  </si>
  <si>
    <t>SUZUKI LIANA СД 2001-2006  СТ ЗАДН ДВ ОП ЛВ ЗЛ+УО</t>
  </si>
  <si>
    <t>6999998</t>
  </si>
  <si>
    <t>SUZUKI LIANA МИН 2001-2006  СТ ПЕР ДВ ОП ЛВ ЗЛ+УО</t>
  </si>
  <si>
    <t>6900185</t>
  </si>
  <si>
    <t>SUZUKI LIANA МИН 2001-2006  СТ ЗАДН ДВ ОП ЛВ ЗЛ+УО</t>
  </si>
  <si>
    <t>6900274</t>
  </si>
  <si>
    <t>SUZUKI LIANA СД 2001-2006  СТ ЗАДН ДВ ОП ПР ЗЛ+УО</t>
  </si>
  <si>
    <t>6900088</t>
  </si>
  <si>
    <t>SUZUKI LIANA МИН 2001-2006  СТ ПЕР ДВ ОП ПР ЗЛ+УО</t>
  </si>
  <si>
    <t>6900275</t>
  </si>
  <si>
    <t>SUZUKI LIANA МИН 2001-2006  СТ ЗАДН ДВ ОП ПР ЗЛ+УО</t>
  </si>
  <si>
    <t>SJ410 JEEP 1982-1990</t>
  </si>
  <si>
    <t>6969370</t>
  </si>
  <si>
    <t>1982-1990</t>
  </si>
  <si>
    <t>SUZUKI SJ410 JEEP 1982-1990 СТ ВЕТР</t>
  </si>
  <si>
    <t>6969371</t>
  </si>
  <si>
    <t>SUZUKI SJ410 JEEP 1982-1990 СТ ВЕТР ЗЛ</t>
  </si>
  <si>
    <t>6100536</t>
  </si>
  <si>
    <t>SUZUKI SJ410 JEEP 1982-1990 РЕЗ ПРОФ ДЛЯ СТ ВЕТР</t>
  </si>
  <si>
    <t>6994660</t>
  </si>
  <si>
    <t>SUZUKI SJ410 JEEP 1982-1990 СТ ПЕР ДВ ОП ЛВ</t>
  </si>
  <si>
    <t>6994661</t>
  </si>
  <si>
    <t>SUZUKI SJ410 JEEP 1982-1990 СТ ПЕР ДВ ОП ПР</t>
  </si>
  <si>
    <t>SPLASH 2008-</t>
  </si>
  <si>
    <t>6995119</t>
  </si>
  <si>
    <t>SUZUKI SPLASH ХБ 2008- СТ ЗАДН ДВ ТЗЛ ЭО ЗЛ+УО+ОТВ</t>
  </si>
  <si>
    <t>6995120</t>
  </si>
  <si>
    <t>SUZUKI SPLASH ХБ 2008- СТ ЗАДН ДВ  ЗЛ+УО+ОТВ</t>
  </si>
  <si>
    <t>SWIFT 1983-1989</t>
  </si>
  <si>
    <t>6963670</t>
  </si>
  <si>
    <t>SUZUKI SWIFT 1983-1989 СТ ВЕТР ГЛ</t>
  </si>
  <si>
    <t>6963671</t>
  </si>
  <si>
    <t>SUZUKI SWIFT 1983-1989 СТ ВЕТР</t>
  </si>
  <si>
    <t>6101465</t>
  </si>
  <si>
    <t>SUZUKI SWIFT 1983-1989 УСТ КОМПЛ ДЛЯ СТ ВЕТР</t>
  </si>
  <si>
    <t>SWIFT III GTI 3Д 1988-2005</t>
  </si>
  <si>
    <t>6969318</t>
  </si>
  <si>
    <t>1988-2005</t>
  </si>
  <si>
    <t>SUZUKI SWIFT MK III GTI 1988-2005 СТ ВЕТР ГЛ/SUBARU JUSTY II 3P 1996- СТ ВЕТР ГЛ</t>
  </si>
  <si>
    <t>6969319</t>
  </si>
  <si>
    <t>SUZUKI SWIFT MK III GTI 1988-2005 СТ ВЕТР ГЛГЛ/SUBARU JUSTY II 3P 1996- СТ ВЕТР ЗЛЗЛ</t>
  </si>
  <si>
    <t>6969317</t>
  </si>
  <si>
    <t>SUZUKI SWIFT MK III GTI 1988-2005 СТ ВЕТР/SUBARU JUSTY II 3P 1996- СТ ВЕТР</t>
  </si>
  <si>
    <t>6100216</t>
  </si>
  <si>
    <t>SUZUKI SWIFT МК III GTI 1988-2005 МОЛД  ДЛЯ СТ ВЕТР</t>
  </si>
  <si>
    <t>6998866</t>
  </si>
  <si>
    <t>SUZUKI SWIFT MK III  GTI ХБ 1988-2005 СТ ЗАДН ЭО ГЛ/SUBARU JUSTY II 1996- СТ ЗАДН ГЛ</t>
  </si>
  <si>
    <t>6998867</t>
  </si>
  <si>
    <t>SUZUKI SWIFT MK III  GTI ХБ 1988-2005 СТ ЗАДН ЭО/SUBARU JUSTY II 96 СТ ЗАДН</t>
  </si>
  <si>
    <t>6995845</t>
  </si>
  <si>
    <t>SUZUKI SWIFT MK III  GTI 1988-2005 СТ ПЕР ДВ ОП ЛВ ГЛ/SUBARU JUSTY II 96 HB СТ ПЕР ДВ ОП ЛВ ГЛ</t>
  </si>
  <si>
    <t>6999445</t>
  </si>
  <si>
    <t>SUZUKI SWIFT MK III  GTI 1988-2005 СТ БОК ПОД ЛВ ГЛ ОТКР/SUBARU JUSTY II 96 HB 3Д СТ ЗАДН НЕП ЛВ ГЛ+ОТКР</t>
  </si>
  <si>
    <t>6995847</t>
  </si>
  <si>
    <t>SUZUKI SWIFT MK III  GTI 1988-2005 СТ ПЕР ДВ ОП ЛВ/SUBARU JUSTY II 96 HB 3Д СТ ПЕР ДВ ОП ЛВ</t>
  </si>
  <si>
    <t>6995846</t>
  </si>
  <si>
    <t>SUZUKI SWIFT MK III  GTI 1988-2005 СТ ПЕР ДВ ОП ПР ГЛ/SUBARU JUSTY II 96 HB 3Д СТ ПЕР ДВ ОП ПР ГЛ</t>
  </si>
  <si>
    <t>6999446</t>
  </si>
  <si>
    <t>SUZUKI SWIFT MK III  GTI 1988-2005 СТ БОК ПОД ПР ГЛ ОТКР/SUBARU JUSTY II 96 HB 3Д СТ ЗАДН НЕП ПР ГЛ+ОТКР</t>
  </si>
  <si>
    <t>6995848</t>
  </si>
  <si>
    <t>SUZUKI SWIFT MK III  GTI 1988-2005 СТ ПЕР ДВ ОП ПР/SUBARU JUSTY II 96 HB 3Д СТ ПЕР ДВ ОП ПР ГЛ</t>
  </si>
  <si>
    <t>SWIFT III GLX 5Д 1989-2005</t>
  </si>
  <si>
    <t>6969330</t>
  </si>
  <si>
    <t>1989-2005</t>
  </si>
  <si>
    <t>SUZUKI SWIFT III GLX 5Д 1989-2005 СТ ВЕТР ГЛ/SUBARU JUSTY II 5Д 1996-  СТ ВЕТР ГЛ</t>
  </si>
  <si>
    <t>6969329</t>
  </si>
  <si>
    <t>SUZUKI SWIFT III GLX 5Д 1989-2005 СТ ВЕТР/SUBARU JUSTY II 5Д 1996-  СТ ВЕТР</t>
  </si>
  <si>
    <t>6100217</t>
  </si>
  <si>
    <t>SUZUKI SWIFT III GLX 5Д 1989-2005  МОЛД  ДЛЯ СТ ВЕТР</t>
  </si>
  <si>
    <t>6997308</t>
  </si>
  <si>
    <t>SUZUKI SWIFT III GLX 5Д ХБ 1989-2005 СТ ЗАДН ГЛ/SUBARU JUSTY II 5Д 1996- СТ ЗАДН ДВ ГЛ</t>
  </si>
  <si>
    <t>6999195</t>
  </si>
  <si>
    <t>SUZUKI SWIFT III GLX 5Д 1989-2005 СТ ПЕР ДВ ОП ЛВ ГЛ/SUBARU JUSTY II 5Д 1996- СТ ПЕР ДВ ОП ЛВ ГЛ</t>
  </si>
  <si>
    <t>6999447</t>
  </si>
  <si>
    <t>SUZUKI SWIFT III GLX 5Д 1989-2005 СТ БОК ЛВ ГЛ/SUBARU JUSTY II 5Д 1996- СТ БОК НЕП ЛВ ГЛ</t>
  </si>
  <si>
    <t>6999448</t>
  </si>
  <si>
    <t>SUZUKI SWIFT III GLX 5Д 1989-2005 СТ БОК ПР ГЛ/SUBARU JUSTY II 5Д 1996- СТ БОК НЕП ПР ГЛ</t>
  </si>
  <si>
    <t>6998456</t>
  </si>
  <si>
    <t>SUZUKI SWIFT III GLX 5Д 1989-2005 СТ ПЕР ДВ ОП ПР/SUBARU JUSTY II 5Д 1996- СТ ПЕР ДВ ОП ПР</t>
  </si>
  <si>
    <t>SWIFT 3Д+5Д 2005-</t>
  </si>
  <si>
    <t>6961320</t>
  </si>
  <si>
    <t>SUZUKI SWIFT 3Д+5Д 2005-  СТ ВЕТР ЗЛ</t>
  </si>
  <si>
    <t>6996339</t>
  </si>
  <si>
    <t>SUZUKI SWIFT 5Д ХБ 2005-  СТ ЗАДН ДВ ЗЛ+УО</t>
  </si>
  <si>
    <t>6900628</t>
  </si>
  <si>
    <t>SUZUKI SWIFT 5Д 2005- СТ ПЕР ДВ ОП ЛВ ЗЛ</t>
  </si>
  <si>
    <t>6900789</t>
  </si>
  <si>
    <t>SUZUKI SWIFT 5Д 2005- СТ ЗАДН ДВ ОП ЛВ ЗЛ</t>
  </si>
  <si>
    <t>6900627</t>
  </si>
  <si>
    <t>SUZUKI SWIFT 5Д 2005- СТ ПЕР ДВ ОП ПР ЗЛ+УО</t>
  </si>
  <si>
    <t>6900629</t>
  </si>
  <si>
    <t>SUZUKI SWIFT 5Д 2005- СТ ЗАДН ДВ ОП ПР ЗЛ</t>
  </si>
  <si>
    <t>6900630</t>
  </si>
  <si>
    <t>SUZUKI SWIFT 5Д 2005- ФОРТ ЗАДН НЕПОД ПРЗЛ</t>
  </si>
  <si>
    <t>SWIFT 2010</t>
  </si>
  <si>
    <t>6964767</t>
  </si>
  <si>
    <t>SUZUKI SWIFT 2010-СТ ВЕТР ЗЛ+ИНК</t>
  </si>
  <si>
    <t>6900758</t>
  </si>
  <si>
    <t>SUZUKI SWIFT  10- СТ ПЕР ДВ ОП ЛВ ЗЛ+УО</t>
  </si>
  <si>
    <t>6901004</t>
  </si>
  <si>
    <t>SUZUKI SWIFT  10- СТ ЗАДН ДВ ОП ЛВ ЗЛ+УО</t>
  </si>
  <si>
    <t>6900987</t>
  </si>
  <si>
    <t>SUZUKI SWIFT ХБ 10- ФОРТ ЗАДН ДВ ЛВ ЗЛ</t>
  </si>
  <si>
    <t>6901006</t>
  </si>
  <si>
    <t>SUZUKI SWIFT  10- СТ ЗАДН ДВ ОП ЛВ СР+УО</t>
  </si>
  <si>
    <t>6900989</t>
  </si>
  <si>
    <t>SUZUKI SWIFT ХБ 10- ФОРТ ЗАДН ДВ ЛВ СР</t>
  </si>
  <si>
    <t>6900666</t>
  </si>
  <si>
    <t>SUZUKI SWIFT  10- СТ ПЕР ДВ ОП ПР ЗЛ+УО</t>
  </si>
  <si>
    <t>6901003</t>
  </si>
  <si>
    <t>SUZUKI SWIFT  10- СТ ЗАДН ДВ ОП ПР ЗЛ+УО</t>
  </si>
  <si>
    <t>6900986</t>
  </si>
  <si>
    <t>SUZUKI SWIFT ХБ 10- ФОРТ ЗАДН ДВ ПР ЗЛ</t>
  </si>
  <si>
    <t>6901005</t>
  </si>
  <si>
    <t>SUZUKI SWIFT 10- СТ ЗАДН ДВ ОП ПР СР+УО</t>
  </si>
  <si>
    <t>6900988</t>
  </si>
  <si>
    <t>SUZUKI SWIFT ХБ 10- ФОРТ ЗАДН ДВ ПР СР</t>
  </si>
  <si>
    <t>SX4 SUV 2006-</t>
  </si>
  <si>
    <t>6190113</t>
  </si>
  <si>
    <t>SUZUKI SX4 SUV 2006-/FIAT SEDICI SUV 2006- СТ ВЕТР ЗЛ /SUZUKI SX4 SUV 2006-/FIAT SEDICI SUV 2006- СТ ВЕТР ЗЛ</t>
  </si>
  <si>
    <t>6102023</t>
  </si>
  <si>
    <t>SUZUKI SX4 SUV 2006- молдинг ветрового стекла</t>
  </si>
  <si>
    <t>6190885</t>
  </si>
  <si>
    <t>SUZUKI SX4 SUV 2006-/FIAT SEDICI SUV 2006- СТ ПЕР ДВ ОП ЛВ ЗЛ/SUZUKI SX4 SUV 2006-/FIAT SEDICI SUV 2006-  СТ ПЕР ДВ ОП ЛВ ЗЛ</t>
  </si>
  <si>
    <t>6993957</t>
  </si>
  <si>
    <t>SUZUKI SX4 SUV 2006-/FIAT SEDICI SUV 2006- СТ БОК ПЕР НЕП ЛВ ЗЛ+ИНК/SUZUKI SX4 SUV 2006-/FIAT SEDICI SUV 2006- СТ БОК ПЕР НЕП ЛВ ЗЛ+ИНК</t>
  </si>
  <si>
    <t>6190886</t>
  </si>
  <si>
    <t>SUZUKI SX4 SUV 2006-/FIAT SEDICI SUV 2006- СТ ЗАДН ДВ ОП ЛВ ЗЛ/SUZUKI SX4 SUV 2006-/FIAT SEDICI SUV 2006-  СТ ЗАДН ДВ ОП ЛВ ЗЛ</t>
  </si>
  <si>
    <t>6190887</t>
  </si>
  <si>
    <t>SUZUKI SX4 SUV 2006-/FIAT SEDICI SUV 2006- СТ ПЕР ДВ ОП ПР ЗЛ/SUZUKI SX4 SUV 2006-/FIAT SEDICI SUV 2006-  СТ ПЕР ДВ ОП ПР ЗЛ</t>
  </si>
  <si>
    <t>6993956</t>
  </si>
  <si>
    <t>SUZUKI SX4 SUV 2006-/FIAT SEDICI SUV 2006- СТ БОК ПЕР НЕП ПР ЗЛ+ИНК/SUZUKI SX4 SUV 2006-/FIAT SEDICI SUV 2006- СТ БОК ПЕР НЕП ПР ЗЛ+ИНК</t>
  </si>
  <si>
    <t>6190888</t>
  </si>
  <si>
    <t>SUZUKI SX4 SUV 2006-/FIAT SEDICI SUV 2006- СТ ЗАДН ДВ ОП ПР ЗЛ/SUZUKI SX4 SUV 2006-/FIAT SEDICI SUV 2006-  СТ ЗАДН ДВ ОП ПР ЗЛ</t>
  </si>
  <si>
    <t>SX4 SUV/ FIAT SEDICI SUV 2006-</t>
  </si>
  <si>
    <t>6961777</t>
  </si>
  <si>
    <t>SUZUKI SX4 SUV 2006-/FIAT SEDICI SUV 2006- СТ ВЕТР ЗЛ</t>
  </si>
  <si>
    <t>6900853</t>
  </si>
  <si>
    <t>SUZUKI SX4 SUV ВН 2006-/FIAT SEDICI SUV 2006- СТ ЗАДН ЗЛ ПР</t>
  </si>
  <si>
    <t>6999941</t>
  </si>
  <si>
    <t>SUZUKI SX4 SUV 2006-/FIAT SEDICI SUV 2006-  СТ ПЕР ДВ ОП ЛВ ЗЛ</t>
  </si>
  <si>
    <t>6190556</t>
  </si>
  <si>
    <t>SUZUKI SX4 SUV 2006-/FIAT SEDICI SUV 2006- СТ БОК ПЕР НЕП ЛВ ЗЛ+ИНК</t>
  </si>
  <si>
    <t>6900137</t>
  </si>
  <si>
    <t>SUZUKI SX4 SUV 2006-/FIAT SEDICI SUV 2006-  СТ ЗАДН ДВ ОП ЛВ ЗЛ</t>
  </si>
  <si>
    <t>6900033</t>
  </si>
  <si>
    <t>SUZUKI SX4 SUV 2006-/FIAT SEDICI SUV 2006-  СТ ПЕР ДВ ОП ПР ЗЛ</t>
  </si>
  <si>
    <t>6190557</t>
  </si>
  <si>
    <t>SUZUKI SX4 SUV 2006-/FIAT SEDICI SUV 2006- СТ БОК ПЕР НЕП ПР ЗЛ+ИНК</t>
  </si>
  <si>
    <t>6900218</t>
  </si>
  <si>
    <t>SUZUKI SX4 SUV 2006-/FIAT SEDICI SUV 2006-  СТ ЗАДН ДВ ОП ПР ЗЛ</t>
  </si>
  <si>
    <t>VITARA 1988-03.1998</t>
  </si>
  <si>
    <t>6969323</t>
  </si>
  <si>
    <t>1988-1998</t>
  </si>
  <si>
    <t>SUZUKI VITARA 3Д+5Д 1988-1998  СТ ВЕТР ГЛ</t>
  </si>
  <si>
    <t>6969328</t>
  </si>
  <si>
    <t>SUZUKI VITARA 3Д+5Д 1988-1998  СТ ВЕТР ГЛГЛ</t>
  </si>
  <si>
    <t>6969321</t>
  </si>
  <si>
    <t>SUZUKI VITARA 3Д+5Д 1988-1998  СТ ВЕТР БР</t>
  </si>
  <si>
    <t>6969327</t>
  </si>
  <si>
    <t>SUZUKI VITARA 3Д+5Д 1988-1998  СТ ВЕТР БРГЛ</t>
  </si>
  <si>
    <t>6963218</t>
  </si>
  <si>
    <t>SUZUKI VITARA 3Д+5Д 1988-1998  СТ ВЕТР</t>
  </si>
  <si>
    <t>6969322</t>
  </si>
  <si>
    <t>SUZUKI VITARA 3Д+5Д 1988-1998  СТ ВЕТР ЗЛ</t>
  </si>
  <si>
    <t>6100215</t>
  </si>
  <si>
    <t>SUZUKI VITARA 1989-1996 УСТ КОМПЛ ДЛЯ СТ ВЕТР ДЛЯ СТ ВЕТР</t>
  </si>
  <si>
    <t>6100962</t>
  </si>
  <si>
    <t>SUZUKI VITARA 3Д+5Д 1988-1998  МОЛД  ДЛЯ СТ ВЕТР</t>
  </si>
  <si>
    <t>6998978</t>
  </si>
  <si>
    <t>SUZUKI VITARA 3Д+5Д ВН 1988-1998  СТ ЗАДН ГЛ</t>
  </si>
  <si>
    <t>6980031</t>
  </si>
  <si>
    <t>SUZUKI VITARA 3Д+5Д ВН 1988-1998  СТ ЗАДН ЗЛ</t>
  </si>
  <si>
    <t>6995843</t>
  </si>
  <si>
    <t>SUZUKI VITARA 3Д 1988-1998  СТ ПЕР ДВ ОП ЛВ ГЛ</t>
  </si>
  <si>
    <t>6999432</t>
  </si>
  <si>
    <t>SUZUKI VITARA 5Д 1988-1998  СТ ПЕР ДВ ОП ЛВ ГЛ+ФИТ</t>
  </si>
  <si>
    <t>6999435</t>
  </si>
  <si>
    <t>SUZUKI VITARA 5Д 1988-1998  СТ БОК НЕП ЛВ ГЛ</t>
  </si>
  <si>
    <t>6995853</t>
  </si>
  <si>
    <t>SUZUKI VITARA 3Д 1988-1998  СТ ПЕР ДВ ОП ЛВ ЗЛ</t>
  </si>
  <si>
    <t>6992997</t>
  </si>
  <si>
    <t>SUZUKI VITARA 5Д 1988-1998  СТ ПЕР ДВ ОП ЛВ ЗЛ</t>
  </si>
  <si>
    <t>6995844</t>
  </si>
  <si>
    <t>SUZUKI VITARA 3Д 1988-1998  СТ ПЕР ДВ ОП ПР ГЛ</t>
  </si>
  <si>
    <t>6999437</t>
  </si>
  <si>
    <t>SUZUKI VITARA 5Д 1988-1998  СТ ПЕР ДВ ОП ПР ГЛ+ФИТ</t>
  </si>
  <si>
    <t>6999438</t>
  </si>
  <si>
    <t>SUZUKI VITARA 1988-1998  СТ ЗАДН ДВ ОП ПР ГЛ+ФИТ</t>
  </si>
  <si>
    <t>6999440</t>
  </si>
  <si>
    <t>SUZUKI VITARA 5Д 1988-1998  СТ ФОРТ ЗАДН НЕП ПР ГЛ</t>
  </si>
  <si>
    <t>6999443</t>
  </si>
  <si>
    <t>SUZUKI VITARA 3Д 1988-1998  СТ ПЕР ДВ ОП ПР БР</t>
  </si>
  <si>
    <t>6995854</t>
  </si>
  <si>
    <t>SUZUKI VITARA 3Д 1988-1998  СТ ПЕР ДВ ОП ПР ЗЛ</t>
  </si>
  <si>
    <t>6992998</t>
  </si>
  <si>
    <t>SUZUKI VITARA 5Д 1988-1998  СТ ПЕР ДВ ОП ПР ЗЛ</t>
  </si>
  <si>
    <t>VITARA 1989-1998</t>
  </si>
  <si>
    <t>6998458</t>
  </si>
  <si>
    <t>SUZUKI VITARA 3Д 1988-1998  СТ ПЕР ДВ ОП ПР</t>
  </si>
  <si>
    <t>VITARA X90 1996-1998</t>
  </si>
  <si>
    <t>6963768</t>
  </si>
  <si>
    <t>1996-1998</t>
  </si>
  <si>
    <t>SUZUKI X90 1996-1998  СТ ВЕТР ЗЛ</t>
  </si>
  <si>
    <t>6995849</t>
  </si>
  <si>
    <t>SUZUKI X90 1996-1998  СТ ПЕР ДВ ОП ЛВ ЗЛ</t>
  </si>
  <si>
    <t>6995850</t>
  </si>
  <si>
    <t>SUZUKI X90 1996-1998  СТ ФОРТ ПЕР НЕП ЛВ ЗЛ</t>
  </si>
  <si>
    <t>6995852</t>
  </si>
  <si>
    <t>SUZUKI X90 1996-1998  СТ ФОРТ ПЕР НЕП ПР ЗЛ</t>
  </si>
  <si>
    <t>VITARA GRAND 1998-2005</t>
  </si>
  <si>
    <t>6960687</t>
  </si>
  <si>
    <t>SUZUKI GRAND VITARA 1998-2005 СТ ВЕТР СЗЛ</t>
  </si>
  <si>
    <t>6961796</t>
  </si>
  <si>
    <t>SUZUKI GRAND VITARA 2003-2005 СТ ВЕТР СЗЛ</t>
  </si>
  <si>
    <t>6962038</t>
  </si>
  <si>
    <t>SUZUKI GRAND VITARA 1998-2005 СТ ВЕТР СВ СЗЛГЛ</t>
  </si>
  <si>
    <t>6962171</t>
  </si>
  <si>
    <t>SUZUKI GRAND VITARA 2003-2005 СТ ВЕТР СЗЛГЛ</t>
  </si>
  <si>
    <t>6962255</t>
  </si>
  <si>
    <t>SUZUKI GRAND VITARA 2003-2005 СТ ВЕТР СВ ЗЛ+УО (2 уплотнителя в нижней части стекла)</t>
  </si>
  <si>
    <t>6100606</t>
  </si>
  <si>
    <t>SUZUKI GRAND VITARA 1998-2005 МОЛД  ДЛЯ СТ ВЕТР</t>
  </si>
  <si>
    <t>6992510</t>
  </si>
  <si>
    <t>SUZUKI GRAND VITARA ВН 1998-2005 СТ ЗАДН СЗЛ+УО</t>
  </si>
  <si>
    <t>6992426</t>
  </si>
  <si>
    <t>SUZUKI GRAND VITARA 1998-2005 СТ ПЕР ДВ ОП ЛВ СЗЛ</t>
  </si>
  <si>
    <t>6993253</t>
  </si>
  <si>
    <t>SUZUKI GRAND VITARA 1998-2005 СТ ПЕР ДВ ОП ЛВ УДЛ 2ОТВ СЗЛ</t>
  </si>
  <si>
    <t>6992831</t>
  </si>
  <si>
    <t>SUZUKI GRAND VITARA 1998-2005 СТ ЗАДН ДВ ОП ЛВ СЗЛ</t>
  </si>
  <si>
    <t>6900545</t>
  </si>
  <si>
    <t>6992511</t>
  </si>
  <si>
    <t>SUZUKI GRAND VITARA 1998-2005 СТ ЗАДН ДВ НЕП ЛВ СЗЛ</t>
  </si>
  <si>
    <t>6992427</t>
  </si>
  <si>
    <t>SUZUKI GRAND VITARA 1998-2005 СТ ПЕР ДВ ОП ПР СЗЛ</t>
  </si>
  <si>
    <t>6992829</t>
  </si>
  <si>
    <t>6992830</t>
  </si>
  <si>
    <t>SUZUKI GRAND VITARA 1998-2005 СТ ЗАДН ДВ ОП ПР СЗЛ</t>
  </si>
  <si>
    <t>6900546</t>
  </si>
  <si>
    <t>SUZUKI GRAND VITARA 1998-2005 СТ ЗАДН ДВ ОП</t>
  </si>
  <si>
    <t>6992512</t>
  </si>
  <si>
    <t>SUZUKI GRAND VITARA 1998-2005 СТ ЗАДН ДВ НЕП ПР СЗЛ</t>
  </si>
  <si>
    <t>VITARA GRAND 2005-</t>
  </si>
  <si>
    <t>6961599</t>
  </si>
  <si>
    <t>SUZUKI GRAND VITARA 2005- СТ ВЕТР ЗЛ</t>
  </si>
  <si>
    <t>6964672</t>
  </si>
  <si>
    <t>SUZUKI GRAND VITARA 2005-СТ ВЕТР ЗЛСР</t>
  </si>
  <si>
    <t>6102147</t>
  </si>
  <si>
    <t>SUZUKI GRAND VITARA 2005- МОЛД ДЛЯ СТ ВЕТР</t>
  </si>
  <si>
    <t>6999997</t>
  </si>
  <si>
    <t>SUZUKI GRAND VITARA 2005- СТ ПЕР ДВ ОП ЛВ ЗЛ+УО</t>
  </si>
  <si>
    <t>6900249</t>
  </si>
  <si>
    <t>6999078</t>
  </si>
  <si>
    <t>SUZUKI GRAND VITARA 2005- СТ ЗАДН ДВ ОП ЛВ ЗЛ+УО</t>
  </si>
  <si>
    <t>6900303</t>
  </si>
  <si>
    <t>SUZUKI GRAND VITARA 2005- СТ ФОРТ ЗАДН НЕП ЛВ ЗЛ</t>
  </si>
  <si>
    <t>6900086</t>
  </si>
  <si>
    <t>SUZUKI GRAND VITARA 2005- СТ ПЕР ДВ ОП ПР ЗЛ+УО</t>
  </si>
  <si>
    <t>6900375</t>
  </si>
  <si>
    <t>6900273</t>
  </si>
  <si>
    <t>SUZUKI GRAND VITARA 2005- СТ ЗАДН ДВ ОП ПР ЗЛ+УО</t>
  </si>
  <si>
    <t>6900322</t>
  </si>
  <si>
    <t>SUZUKI GRAND VITARA 2005- СТ ФОРТ ЗАДН НЕП ПР ЗЛ</t>
  </si>
  <si>
    <t>6901850</t>
  </si>
  <si>
    <t>SUZUKI GRAND VITARA ВН 05- СТ ЗАДН ЗЛ УО</t>
  </si>
  <si>
    <t>WAGON R+1997-2000</t>
  </si>
  <si>
    <t>6963413</t>
  </si>
  <si>
    <t>SUZUKI WAGON R+ 1997-2000 СТ ВЕТР ЗЛ</t>
  </si>
  <si>
    <t>6100350</t>
  </si>
  <si>
    <t>SUZUKI WAGON R+ 1997-2000 МОЛД  ДЛЯ СТ ВЕТР</t>
  </si>
  <si>
    <t>6998868</t>
  </si>
  <si>
    <t>SUZUKI WAGON R+ МИН 1997-2000  СТ ЗАДН ЭО ЗЛ</t>
  </si>
  <si>
    <t>6995335</t>
  </si>
  <si>
    <t>SUZUKI WAGON R+ 1997-2000  СТ БОК НЕП ПР ЗЛ</t>
  </si>
  <si>
    <t>WAGON R+ 2000-</t>
  </si>
  <si>
    <t>6190348</t>
  </si>
  <si>
    <t>SUZUKI WAGON R+ 2000- СТ ВЕТР/OPEL AGILA /SUZ WAG R+99 СТ ВЕТР</t>
  </si>
  <si>
    <t>6190349</t>
  </si>
  <si>
    <t>SUZUKI WAGON R+ 2000- СТ ВЕТР ЗЛ/OPEL AGILA /SUZ WAG R+99 СТ ВЕТР ЗЛ</t>
  </si>
  <si>
    <t>6190350</t>
  </si>
  <si>
    <t>SUZUKI WAGON R+ 2000- МОЛД ДЛЯ СТ ВЕТР</t>
  </si>
  <si>
    <t>6190351</t>
  </si>
  <si>
    <t>SUZUKI WAGON  R+ МИН 2000- СТ ЗАДН+VIN+УО/OPEL AGILA /SUZ WAG R+99 СТ ЗАДН ЭО УО</t>
  </si>
  <si>
    <t>6190352</t>
  </si>
  <si>
    <t>SUZUKI WAGON  R+ МИН 2000- СТ ЗАДН ЗЛ+VIN+УО/OPEL AGILA /SUZ WAG R+99 СТ ЗАДН ЭО ЗЛ УО</t>
  </si>
  <si>
    <t>6190353</t>
  </si>
  <si>
    <t>SUZUKI WAGON  R+ 2000- СТ ПЕР ДВ ОП ЛВ+ФИТ/OPEL AGILA /SUZ WAG R+99 СТ ПЕР ДВ ОП ЛВ УО</t>
  </si>
  <si>
    <t>6190354</t>
  </si>
  <si>
    <t>SUZUKI WAGON  R+ 2000- СТ ФОРТ ПЕР НЕП ЛВ/OPEL AGILA /SUZ WAG R+99 СТ ПЕР ДВ НЕП ЛВ</t>
  </si>
  <si>
    <t>6190355</t>
  </si>
  <si>
    <t>SUZUKI WAGON  R+ 2000- СТ ЗАДН ДВ ОП ЛВ+ФИТ/OPEL AGILA /SUZ WAG R+99 СТ ЗАДН ДВ ОП ЛВ УО</t>
  </si>
  <si>
    <t>6190356</t>
  </si>
  <si>
    <t>SUZUKI WAGON  R+ 2000- СТ БОК НЕП ЛВ +ИНК/OPEL AGILA /SUZ WAG R+99 СТ БОК НЕП ЛВ+ИНК</t>
  </si>
  <si>
    <t>6190357</t>
  </si>
  <si>
    <t>SUZUKI WAGON  R+ 2000- СТ ПЕР ДВ ОП ЛВ ЗЛ+УО/OPEL AGILA /SUZ WAG R+99 СТ ПЕР ДВ ОП ЛВ ЗЛ УО</t>
  </si>
  <si>
    <t>6190358</t>
  </si>
  <si>
    <t>SUZUKI WAGON  R+ 2000- СТ ФОРТ ПЕР НЕП ЛВ ЗЛ/OPEL AGILA /SUZ WAG R+99 СТ ПЕР ДВ НЕП ЛВ ЗЛ</t>
  </si>
  <si>
    <t>6190359</t>
  </si>
  <si>
    <t>SUZUKI WAGON  R+ 2000- СТ ЗАДН ДВ ОП ЛВ ЗЛ+УО/OPEL AGILA /SUZ WAG R+99 СТ ЗАДН ДВ ОП ЛВ ЗЛ+УО</t>
  </si>
  <si>
    <t>6190764</t>
  </si>
  <si>
    <t>SUZUKI WAGON  R+ 2000- СТ БОК НЕП ЛВ ЗЛ+ИНК/OPEL AGILA /SUZ WAG R+99 СТ БОК НЕП ЛВ ЗЛ+ИНК</t>
  </si>
  <si>
    <t>6190360</t>
  </si>
  <si>
    <t>SUZUKI WAGON  R+ 2000- СТ ПЕР ДВ ОП ПР+ФИТ/OPEL AGILA /SUZ WAG R+99 СТ ПЕР ДВ ОП ПР УО</t>
  </si>
  <si>
    <t>6190361</t>
  </si>
  <si>
    <t>SUZUKI WAGON  R+ 2000- СТ ФОРТ ПЕР ДВ НЕП ПР/OPEL AGILA /SUZ WAG R+99 СТ ПЕР ДВ НЕП ПР</t>
  </si>
  <si>
    <t>6190362</t>
  </si>
  <si>
    <t>SUZUKI WAGON  R+ 2000- СТ ЗАДН ДВ ОП ПР+ФИТ/OPEL AGILA /SUZ WAG R+99 СТ ЗАДН ДВ ОП ПР УО</t>
  </si>
  <si>
    <t>6190363</t>
  </si>
  <si>
    <t>SUZUKI WAGON  R+ 2000- СТ БОК НЕП ПР +ИНК/OPEL AGILA /SUZ WAG R+99 СТ БОК НЕП ПР+ИНК</t>
  </si>
  <si>
    <t>6190364</t>
  </si>
  <si>
    <t>SUZUKI WAGON  R+ 2000- СТ ПЕР ДВ ОП ПР ЗЛ+УО/OPEL AGILA /SUZ WAG R+99 СТ ПЕР ДВ ОП ПР ЗЛ УО</t>
  </si>
  <si>
    <t>6190365</t>
  </si>
  <si>
    <t>SUZUKI WAGON  R+ 2000- СТ ФОРТ ПЕР НЕП ПР ЗЛ/OPEL AGILA /SUZ WAG R+99 СТ ПЕР ДВ НЕП ПР ЗЛ</t>
  </si>
  <si>
    <t>6190366</t>
  </si>
  <si>
    <t>SUZUKI WAGON  R+ 2000- СТ ЗАДН ДВ ОП ПР ЗЛ+УО/OPEL AGILA /SUZ WAG R+99 СТ ЗАДН ДВ ОП ПР ЗЛ УО</t>
  </si>
  <si>
    <t>6190765</t>
  </si>
  <si>
    <t>SUZUKI WAGON  R+ 2000- СТ БОК НЕП ПР ЗЛ+ИНК/OPEL AGILA /SUZ WAG R+99 СТ БОК НЕП ПР ЗЛ+ИНК</t>
  </si>
  <si>
    <t>AURIS 5Д 2007-</t>
  </si>
  <si>
    <t>6961370</t>
  </si>
  <si>
    <t>TOYOTA AURIS 2007- СТ ВЕТР ЗЛ АКУСТИК+ДД+VIN+УО+ПР РУЛЬ</t>
  </si>
  <si>
    <t>6961369</t>
  </si>
  <si>
    <t>TOYOTA AURIS 2007- СТ ВЕТР ЗЛ АКУСТИК+ДД+УО</t>
  </si>
  <si>
    <t>6961285</t>
  </si>
  <si>
    <t>TOYOTA AURIS 2007- СТ ВЕТР ЗЛ АКУСТИК+УО</t>
  </si>
  <si>
    <t>6964822</t>
  </si>
  <si>
    <t>TOYOTA AURIS 3D+5D 07 СТ ВЕТР ЗЛ+ДД+УО</t>
  </si>
  <si>
    <t>6964823</t>
  </si>
  <si>
    <t>TOYOTA AURIS 3D+5D 07 СТ ВЕТР ЗЛ+УО</t>
  </si>
  <si>
    <t>6993740</t>
  </si>
  <si>
    <t>TOYOTA AURIS 2007- СТ ПЕР ДВ ОП ЛВ ЗЛ+УО</t>
  </si>
  <si>
    <t>6993744</t>
  </si>
  <si>
    <t>TOYOTA AURIS 2007- СТ БОК ПЕР НЕП ЛВ ЗЛ</t>
  </si>
  <si>
    <t>6993742</t>
  </si>
  <si>
    <t>TOYOTA AURIS 2007- СТ ЗАДН ДВ ОП ЛВ ЗЛ+УО</t>
  </si>
  <si>
    <t>6900923</t>
  </si>
  <si>
    <t>TOYOTA AURIS 2007- СТ ЗАДН ДВ ОП ЛВ СР+ДО</t>
  </si>
  <si>
    <t>6900925</t>
  </si>
  <si>
    <t>TOYOTA AURIS 2007- ФОРТ ЗАДН ЛВ СР</t>
  </si>
  <si>
    <t>6993799</t>
  </si>
  <si>
    <t>TOYOTA AURIS 2007- СТ ФОРТ ЗАДН НЕП ЛЕВ ЗЛ</t>
  </si>
  <si>
    <t>6993739</t>
  </si>
  <si>
    <t>TOYOTA AURIS 2007- СТ ПЕР ДВ ОП ПР ЗЛ+УО</t>
  </si>
  <si>
    <t>6993743</t>
  </si>
  <si>
    <t>TOYOTA AURIS 2007- СТ БОК ПЕР НЕП ПР ЗЛ+УО</t>
  </si>
  <si>
    <t>6993741</t>
  </si>
  <si>
    <t>TOYOTA AURIS 2007- СТ ЗАДН ДВ ОП ПР ЗЛ+УО</t>
  </si>
  <si>
    <t>6900921</t>
  </si>
  <si>
    <t>TOYOTA AURIS 2007- СТ ЗАДН ДВ ОП ПР СР+ДО</t>
  </si>
  <si>
    <t>6900924</t>
  </si>
  <si>
    <t>TOYOTA AURIS 2007- ФОРТ ЗАДН ПР СР</t>
  </si>
  <si>
    <t>6993798</t>
  </si>
  <si>
    <t>TOYOTA AURIS 2007- СТ ФОРТ ЗАДН НЕП ПР ЗЛ</t>
  </si>
  <si>
    <t>AVENSIS I (T22) 1998-2003</t>
  </si>
  <si>
    <t>6963873</t>
  </si>
  <si>
    <t>TOYOTA AVENSIS СД+ХБ+УН 02/1998-2003 СТ ВЕТР ЗЛ</t>
  </si>
  <si>
    <t>6960690</t>
  </si>
  <si>
    <t>TOYOTA AVENSIS СД+ХБ+УН 02/1998-2003 СТ ВЕТР ЗЛГЛ</t>
  </si>
  <si>
    <t>6969431</t>
  </si>
  <si>
    <t>TOYOTA AVENSIS 02/1998-2003 СТ ВЕТР ЗЛЗЛ</t>
  </si>
  <si>
    <t>6962054</t>
  </si>
  <si>
    <t>TOYOTA AVENSIS СД+ХБ+УН 02/1998-2003  СТ ВЕТР ЗЛЗЛ ЭО</t>
  </si>
  <si>
    <t>6963348</t>
  </si>
  <si>
    <t>TOYOTA AVENSIS СД+ХБ+УН 02/1998-2003 СТ ВЕТ ЭО ЗЛ+ФИТ</t>
  </si>
  <si>
    <t>6100229</t>
  </si>
  <si>
    <t>TOYOTA AVENSIS 1998-2003 МОЛД  ДЛЯ СТ ВЕТР</t>
  </si>
  <si>
    <t>6994875</t>
  </si>
  <si>
    <t>TOYOTA AVENSIS УН 02/1998-2003 СТ ЗАДН ЗЛ+УО</t>
  </si>
  <si>
    <t>6994876</t>
  </si>
  <si>
    <t>TOYOTA AVENSIS ХБ 02/1998-2003 СТ ЗАДН ЗЛ+СТОП</t>
  </si>
  <si>
    <t>6998925</t>
  </si>
  <si>
    <t>TOYOTA AVENSIS СД 02/1998-2003 СТ ЗАДН ЭО ЗЛ+ФИТ</t>
  </si>
  <si>
    <t>6994879</t>
  </si>
  <si>
    <t>TOYOTA AVENSIS СД+ХБ+УН 02/1998-2003 СТ ПЕР ДВ ОП ЛВ ЗЛ+УО</t>
  </si>
  <si>
    <t>6994882</t>
  </si>
  <si>
    <t>TOYOTA AVENSIS СД 02/1998-2003  СТ ЗАДН ДВ ОП ЛВ ЗЛ+УО</t>
  </si>
  <si>
    <t>6995505</t>
  </si>
  <si>
    <t>TOYOTA AVENSIS СД 02/1998-2003 СТ БОК НЕП ЛВ ЗЛ</t>
  </si>
  <si>
    <t>6994886</t>
  </si>
  <si>
    <t>TOYOTA AVENSIS СД+ХБ+УН 02/1998-2003 СТ ПЕР ДВ ОП ПР ЗЛ+УО</t>
  </si>
  <si>
    <t>6994889</t>
  </si>
  <si>
    <t>TOYOTA AVENSIS СД 02/1998-2003  СТ ЗАДН ДВ ОП ПР ЗЛ+УО</t>
  </si>
  <si>
    <t>6995506</t>
  </si>
  <si>
    <t>TOYOTA AVENSIS СД 02/1998-2003 СТ БОК НЕП ПР ЗЛ</t>
  </si>
  <si>
    <t>AVENSIS VERSO 2001-</t>
  </si>
  <si>
    <t>6960775</t>
  </si>
  <si>
    <t>TOYOTA AVENSIS VERSO 2001- СТ ВЕТР</t>
  </si>
  <si>
    <t>6961372</t>
  </si>
  <si>
    <t>TOYOTA AVENSIS VERSO ЛВРУЛЬ 2001- СТ ВЕТР ЗЛ</t>
  </si>
  <si>
    <t>6101468</t>
  </si>
  <si>
    <t>TOYOTA AVENSIS VERSO 2001- МОЛД ДЛЯ СТ ВЕТР ВЕРХ</t>
  </si>
  <si>
    <t>AVENSIS II 2003-2008</t>
  </si>
  <si>
    <t>6963106</t>
  </si>
  <si>
    <t>TOYOTA AVENSIS ХБ+СД+УН 07/2006-2008 СТ ВЕТР ЗЛ ЭО+ДД</t>
  </si>
  <si>
    <t>6960446</t>
  </si>
  <si>
    <t>TOYOTA AVENSIS ХБ+СД+УН 2003-2008  СТ ВЕТР ЗЛ</t>
  </si>
  <si>
    <t>6961261</t>
  </si>
  <si>
    <t>TOYOTA AVENSIS ХБ+СД+УН 2003-2008  СТ ВЕТР ЗЛ ЭО</t>
  </si>
  <si>
    <t>6961262</t>
  </si>
  <si>
    <t>TOYOTA AVENSIS ХБ+СД+УН 2003-07/2006  СТ ВЕТР ЗЛ ЭО+ДД</t>
  </si>
  <si>
    <t>6962688</t>
  </si>
  <si>
    <t>TOYOTA AVENSIS ХБ+СД+УН 08/2006-2008 СТ ВЕТР ЗЛ ЭО+ДД</t>
  </si>
  <si>
    <t>6961263</t>
  </si>
  <si>
    <t>TOYOTA AVENSIS ХБ+СД+УН 2003-07/2006 СТ ВЕТР ЗЛ+ДД</t>
  </si>
  <si>
    <t>6962274</t>
  </si>
  <si>
    <t>TOYOTA AVENSIS ХБ+СД+УН 2003-07/2006  СТ ВЕТР ЗЛ+ДД+VIN</t>
  </si>
  <si>
    <t>6962687</t>
  </si>
  <si>
    <t>TOYOTA AVENSIS ХБ+СД+УН  08/2006-2008 СТ ВЕТР ЗЛ+ДД+VIN</t>
  </si>
  <si>
    <t>6961092</t>
  </si>
  <si>
    <t>TOYOTA AVENSIS ХБ+СД+УН 2003-2008 СТ ВЕТР ЗЛ+VIN</t>
  </si>
  <si>
    <t>6101563</t>
  </si>
  <si>
    <t>TOYOTA AVENSIS ХБ+СД+УН 2003-2008  МОЛД  ДЛЯ СТ ВЕТР</t>
  </si>
  <si>
    <t>6101600</t>
  </si>
  <si>
    <t>TOYOTA AVENSIS ХБ+СД+УН 2003-2008 МОЛД ДЛЯ СТ ВЕТР</t>
  </si>
  <si>
    <t>6996562</t>
  </si>
  <si>
    <t>TOYOTA AVENSIS УН 2003-2008  СТ ЗАДН ДВ ЗЛ+УО</t>
  </si>
  <si>
    <t>6999921</t>
  </si>
  <si>
    <t>TOYOTA AVENSIS ХБ 2003-2008  СТ ЗАДН ЗЛ+СТОП+УО</t>
  </si>
  <si>
    <t>6999920</t>
  </si>
  <si>
    <t>TOYOTA AVENSIS СД 2003-2008  СТ ЗАДН ЗЛ+АНТ</t>
  </si>
  <si>
    <t>6996563</t>
  </si>
  <si>
    <t>TOYOTA AVENSIS УН 2003-2008  СТ ЗАДН ДВ ТСР+УО</t>
  </si>
  <si>
    <t>6991812</t>
  </si>
  <si>
    <t>TOYOTA AVENSIS УН 2003-2008 СТ ЗАДН ДВ ОП ЛВ ЗЛ+УО</t>
  </si>
  <si>
    <t>6991816</t>
  </si>
  <si>
    <t>TOYOTA AVENSIS УН 2003-2008 СТ БОК ЛВ+ИНК</t>
  </si>
  <si>
    <t>6991782</t>
  </si>
  <si>
    <t>TOYOTA AVENSIS УН 2003-2008 СТ ЗАДН ДВ НЕП ЛВ ЗЛ</t>
  </si>
  <si>
    <t>6991807</t>
  </si>
  <si>
    <t>TOYOTA AVENSIS УН 2003-2008 СТ ПЕР ДВ ОП ЛВ ЗЛ+УО</t>
  </si>
  <si>
    <t>6991810</t>
  </si>
  <si>
    <t>6991786</t>
  </si>
  <si>
    <t>TOYOTA AVENSIS ХБ 2003-2008 СТ ЗАДН ДВ НЕП ЛВ ЗЛ</t>
  </si>
  <si>
    <t>6991814</t>
  </si>
  <si>
    <t>6991822</t>
  </si>
  <si>
    <t>TOYOTA AVENSIS УН 2003-2008 СТ БОК ЛВ СР ИНК+АНТ+ТВ АНТ</t>
  </si>
  <si>
    <t>6991818</t>
  </si>
  <si>
    <t>TOYOTA AVENSIS УН 2003-2008 СТ БОК ЛВ ТСР+ИНК</t>
  </si>
  <si>
    <t>6991784</t>
  </si>
  <si>
    <t>TOYOTA AVENSIS УН 2003-2008 СТ ЗАДН ДВ НЕП ЛВ TСР</t>
  </si>
  <si>
    <t>6991813</t>
  </si>
  <si>
    <t>TOYOTA AVENSIS УН 2003-2008 СТ ЗАДН ДВ ОП ПР ЗЛ+УО</t>
  </si>
  <si>
    <t>6991821</t>
  </si>
  <si>
    <t>TOYOTA AVENSIS УН 2003-2008 СТ БОК ПР ЗЛ+ИНК</t>
  </si>
  <si>
    <t>6991783</t>
  </si>
  <si>
    <t>TOYOTA AVENSIS УН 2003-2008 СТ ЗАДН ДВ НЕП ПР ЗЛ</t>
  </si>
  <si>
    <t>6991806</t>
  </si>
  <si>
    <t>TOYOTA AVENSIS УН 2003-2008 СТ ПЕР ДВ ОП ПР ЗЛ+УО</t>
  </si>
  <si>
    <t>6991811</t>
  </si>
  <si>
    <t>6991787</t>
  </si>
  <si>
    <t>TOYOTA AVENSIS ХБ 2003-2008 СТ ЗАДН ДВ НЕП ПР ЗЛ</t>
  </si>
  <si>
    <t>6991815</t>
  </si>
  <si>
    <t>6991823</t>
  </si>
  <si>
    <t>TOYOTA AVENSIS УН 2003-2008 СТ БОК ПР ТСР+ИНК</t>
  </si>
  <si>
    <t>6991819</t>
  </si>
  <si>
    <t>TOYOTA AVENSIS УН 2003-2008 СТ БОК ПР ТСР АНТ+ИНК</t>
  </si>
  <si>
    <t>6991785</t>
  </si>
  <si>
    <t>TOYOTA AVENSIS УН 2003-2008 СТ ЗАДН ДВ НЕП ПР TСР</t>
  </si>
  <si>
    <t>AVENSIS УН 2008-</t>
  </si>
  <si>
    <t>6962292</t>
  </si>
  <si>
    <t>TOYOTA AVENSIS 2008- СТ ВЕТР ЗЛ+АКУСТИК+ДД+УО</t>
  </si>
  <si>
    <t>6962294</t>
  </si>
  <si>
    <t>TOYOTA AVENSIS 2008- СТ ВЕТР ЗЛ+АКУСТИК+УО</t>
  </si>
  <si>
    <t>6962295</t>
  </si>
  <si>
    <t>TOYOTA AVENSIS 2008- СТ ВЕТР ЗЛ+АКУСТИК+ДД</t>
  </si>
  <si>
    <t>6962296</t>
  </si>
  <si>
    <t>TOYOTA AVENSIS 2008- СТ ВЕТР ЗЛ+АКУСТИК+ДД+ИНК</t>
  </si>
  <si>
    <t>6962297</t>
  </si>
  <si>
    <t>TOYOTA AVENSIS 2008- СТ ВЕТР ЗЛ+АКУСТИК+ЭО+ДД+ИНК</t>
  </si>
  <si>
    <t>6962298</t>
  </si>
  <si>
    <t>6962299</t>
  </si>
  <si>
    <t>6962293</t>
  </si>
  <si>
    <t>TOYOTA AVENSIS 08- СТ ВЕТР ЗЛ+АК+ЭО+ДО</t>
  </si>
  <si>
    <t>6997694</t>
  </si>
  <si>
    <t>TOYOTA AVENSIS УН 2008- СТ ФОРТ ПР ЗЛ</t>
  </si>
  <si>
    <t>6997695</t>
  </si>
  <si>
    <t>TOYOTA AVENSIS УН 2008- СТ ФОРТ ЛВ ЗЛ</t>
  </si>
  <si>
    <t>AYGO 2005-</t>
  </si>
  <si>
    <t>6190690</t>
  </si>
  <si>
    <t>TOYOTA AYGO 2005-  СТ ВЕТР ЗЛ/PEUGEOT 107 CIT C1 TYT AYGO 2005- СТ ВЕТР ЗЛ</t>
  </si>
  <si>
    <t>6993231</t>
  </si>
  <si>
    <t>TOYOTA AYGO ХБ 2005- СТ ПОД ЗАДН ЭО ЗЛ ОТКР</t>
  </si>
  <si>
    <t>6190691</t>
  </si>
  <si>
    <t>TOYOTA AYGO 2005-  СТ ПЕР ДВ ОП ЛВ ЗЛ/PEUGEOT 107 3Д 2005- СТ ПЕР ДВ ОП ЛВ ЗЛ</t>
  </si>
  <si>
    <t>6993161</t>
  </si>
  <si>
    <t>TOYOTA AYGO 3Д 2005- СТ БОК ЛВ ЗЛ</t>
  </si>
  <si>
    <t>6190692</t>
  </si>
  <si>
    <t>TOYOTA AYGO 2005-  СТ ПЕР ДВ ОП ЛВ ЗЛ/PEUGEOT 107 5Д 2005- СТ ПЕР ДВ ОП ЛВ ЗЛ</t>
  </si>
  <si>
    <t>6993031</t>
  </si>
  <si>
    <t>TOYOTA AYGO 5Д 2005- СТ БОК ПОД ЛВ ЗЛ ОТКР+УО</t>
  </si>
  <si>
    <t>6190693</t>
  </si>
  <si>
    <t>TOYOTA AYGO 2005-  СТ ПЕР ДВ ОП ПР ЗЛ/PEUGEOT 107 3Д 2005- СТ ПЕР ДВ ОП ПР ЗЛ</t>
  </si>
  <si>
    <t>6993163</t>
  </si>
  <si>
    <t>TOYOTA AYGO 3Д 2005- СТ БОК ПР ЗЛ</t>
  </si>
  <si>
    <t>6190694</t>
  </si>
  <si>
    <t>TOYOTA AYGO 2005-  СТ ПЕР ДВ ОП ПР ЗЛ/PEUGEOT 107 5Д 2005- СТ ПЕР ДВ ОП ПР ЗЛ</t>
  </si>
  <si>
    <t>6993032</t>
  </si>
  <si>
    <t>TOYOTA AYGO 5Д 2005- СТ БОК ПОД ПР ЗЛ ОТКР+УО</t>
  </si>
  <si>
    <t>CAMRY СД+УН 10.1986-08.1991</t>
  </si>
  <si>
    <t>6963417</t>
  </si>
  <si>
    <t>TOYOTA CAMRY СД+УН 1987-1991 СТ ВЕТР ГЛ</t>
  </si>
  <si>
    <t>6964112</t>
  </si>
  <si>
    <t>TOYOTA CAMRY СД+УН 1987-1991 СТ ВЕТР ГЛГЛ</t>
  </si>
  <si>
    <t>6101469</t>
  </si>
  <si>
    <t>TOYOTA CAMRY СД+УН 1987-1991 НАБ КЛИПС ДЛЯ СТ ВЕТР</t>
  </si>
  <si>
    <t>6101174</t>
  </si>
  <si>
    <t>TOYOTA CAMRY СД+УН 1987-1991 МОЛД  ДЛЯ СТ ВЕТР ВЕРХ</t>
  </si>
  <si>
    <t>6998465</t>
  </si>
  <si>
    <t>TOYOTA CAMRY СД+УН 1987-1991 СТ ПЕР ДВ ОП ЛВ ГЛ</t>
  </si>
  <si>
    <t>CAMRY 06.1991-09.1996</t>
  </si>
  <si>
    <t>6963421</t>
  </si>
  <si>
    <t>TOYOTA CAMRY 1991-1996  СТ ВЕТР ГЛ</t>
  </si>
  <si>
    <t>6963422</t>
  </si>
  <si>
    <t>TOYOTA CAMRY 1991-1996  СТ ВЕТР ГЛГЛ</t>
  </si>
  <si>
    <t>6963680</t>
  </si>
  <si>
    <t>TOYOTA CAMRY 1991-1996  СТ ВЕТР ЗЛГЛ</t>
  </si>
  <si>
    <t>6101149</t>
  </si>
  <si>
    <t>TOYOTA CAMRY 1991-1996  НАБ КЛИПС ДЛЯ СТ ВЕТР</t>
  </si>
  <si>
    <t>6102513</t>
  </si>
  <si>
    <t>TOYOTA CAMRY 1991-1996  МОЛД  ДЛЯ СТ ВЕТР</t>
  </si>
  <si>
    <t>6101113</t>
  </si>
  <si>
    <t>TOYOTA CAMRY 1991-1996  МОЛД  ДЛЯ СТ ВЕТР ВЕРХ</t>
  </si>
  <si>
    <t>6980353</t>
  </si>
  <si>
    <t>TOYOTA CAMRY СД 1991-1996  СТ ЗАДН ГЛ</t>
  </si>
  <si>
    <t>6997852</t>
  </si>
  <si>
    <t>TOYOTA CAMRY СД+УН 1991-1996  СТ ПЕР ДВ ОП ЛВ ГЛ ФИТ</t>
  </si>
  <si>
    <t>6997853</t>
  </si>
  <si>
    <t>TOYOTA CAMRY СД 1991-1996  СТ ЗАДН ДВ ОП ЛВ ГЛ+ФИТ</t>
  </si>
  <si>
    <t>6997855</t>
  </si>
  <si>
    <t>TOYOTA CAMRY СД+УН 1991-1996  СТ ПЕР ДВ ОП ПР ГЛ ФИТ</t>
  </si>
  <si>
    <t>6997856</t>
  </si>
  <si>
    <t>TOYOTA CAMRY СД 1991-1996  СТ ЗАДН ДВ ОП ПР ГЛ+ФИТ</t>
  </si>
  <si>
    <t>CAMRY 10.1996-07.2001</t>
  </si>
  <si>
    <t>6963431</t>
  </si>
  <si>
    <t>TOYOTA CAMRY 1996-2001  СТ ВЕТР ЗЛЗЛ</t>
  </si>
  <si>
    <t>6101041</t>
  </si>
  <si>
    <t>TOYOTA CAMRY 1996-2001  МОЛД  ДЛЯ СТ ВЕТР ВЕРХ</t>
  </si>
  <si>
    <t>6993254</t>
  </si>
  <si>
    <t>TOYOTA CAMRY 1996-2001  СТ ПЕР ДВ ОП ЛВ ЗЛ 2ОТВ</t>
  </si>
  <si>
    <t>6980611</t>
  </si>
  <si>
    <t>TOYOTA CAMRY 1996-2001  СТ ЗАДН ДВ ОП ЛВ ЗЛ</t>
  </si>
  <si>
    <t>6980612</t>
  </si>
  <si>
    <t>TOYOTA CAMRY 1996-2001  СТ ЗАДН ДВ ОП ПР ЗЛ</t>
  </si>
  <si>
    <t>6980154</t>
  </si>
  <si>
    <t>TOYOTA CAMRY 1996-2001  СТ ПЕР ДВ ОП ПР ЗЛ+2ОТВ</t>
  </si>
  <si>
    <t>CAMRY 2001-2006</t>
  </si>
  <si>
    <t>6962462</t>
  </si>
  <si>
    <t>TOYOTA CAMRY 2001-2006 СТ ВЕТР ЗЛГЛ+ДД+VIN</t>
  </si>
  <si>
    <t>6101470</t>
  </si>
  <si>
    <t>TOYOTA CAMRY 2001-2006  МОЛД ДЛЯ СТ ВЕТР</t>
  </si>
  <si>
    <t>6999922</t>
  </si>
  <si>
    <t>TOYOTA CAMRY СД 2001-2006  СТ ЗАДН ЗЛ+СТОП /TOYOTA CAMRY СД LHD 2001-2006 СТ ЗАДН ЗЛ+СТОП</t>
  </si>
  <si>
    <t>6900197</t>
  </si>
  <si>
    <t>TOYOTA CAMRY СЕД LHD 2001-2006  СТ ЗАДН ДВ ОП ЛВ ЗЛ/ TOYOTA CAMRY СД 2001-2006 СТ ЗАДН ДВ ОП ЛВ ЗЛ</t>
  </si>
  <si>
    <t>6900282</t>
  </si>
  <si>
    <t>TOYOTA CAMRY СЕД LHD 2001-2006  СТ ЗАДН ДВ ОП ПР ЗЛ/ TOYOTA CAMRY СД 2001-2006 СТ ЗАДН ДВ ОП ПР ЗЛ</t>
  </si>
  <si>
    <t>CAMRY VI 2006-</t>
  </si>
  <si>
    <t>6962794</t>
  </si>
  <si>
    <t>TOYOTA CAMRY VI 2006-  СТ ВЕТР ЗЛЗЛ+ДД+ИЗМ КР</t>
  </si>
  <si>
    <t>6964896</t>
  </si>
  <si>
    <t>TOYOTA CAMRY VI 2006- СТ ВЕТР ЗЛЗЛ+ДД+VIN+ДО+ИЗМ КР</t>
  </si>
  <si>
    <t>6962969</t>
  </si>
  <si>
    <t>TOYOTA CAMRY VI 2006-  СТ ВЕТР ЗЛГЛ+УО</t>
  </si>
  <si>
    <t>6962971</t>
  </si>
  <si>
    <t>TOYOTA CAMRY VI 2006-  СТ ВЕТР ЗЛГЛ</t>
  </si>
  <si>
    <t>6961565</t>
  </si>
  <si>
    <t>TOYOTA CAMRY VI 2006-  СТ ВЕТР ЗЛГЛ+ДД+ИНК</t>
  </si>
  <si>
    <t>6102548</t>
  </si>
  <si>
    <t>TOYOTA CAMRY VI 2006-  ВЕТР СТ МОЛДИНГ</t>
  </si>
  <si>
    <t>6994735</t>
  </si>
  <si>
    <t>TOYOTA CAMRY VI 2006-  СТ ПЕР ДВ ОП ЛВ ЗЛ</t>
  </si>
  <si>
    <t>6994734</t>
  </si>
  <si>
    <t>TOYOTA CAMRY VI 2006-  СТ ПЕР ДВ ОП ПР ЗЛ</t>
  </si>
  <si>
    <t>6994737</t>
  </si>
  <si>
    <t>TOYOTA CAMRY VI 2006-  СТ ЗАДН ДВ ОП ЛВ ЗЛ</t>
  </si>
  <si>
    <t>6994736</t>
  </si>
  <si>
    <t>TOYOTA CAMRY VI 2006-  СТ ЗАДН ДВ ОП ПР ЗЛ</t>
  </si>
  <si>
    <t>6994739</t>
  </si>
  <si>
    <t>TOYOTA CAMRY VI 2006-  СТ ФОРТ ЗАДН НЕП ЛВ ЗЛ</t>
  </si>
  <si>
    <t>6994738</t>
  </si>
  <si>
    <t>TOYOTA CAMRY VI 2006-  СТ ФОРТ ЗАДН НЕП ПР ЗЛ</t>
  </si>
  <si>
    <t>CAMRY 2011-</t>
  </si>
  <si>
    <t>6965174</t>
  </si>
  <si>
    <t>TOYOTA CAMRY 11- СТ ВЕТР АКУСТ ЗЛЗЛ+ДД+УО+VIN</t>
  </si>
  <si>
    <t>6965474</t>
  </si>
  <si>
    <t>TOYOTA CAMRY 11- СТ ВЕТР ЗЛЗЛ+VIN+УО</t>
  </si>
  <si>
    <t>6901504</t>
  </si>
  <si>
    <t>TOYOTA CAMRY 11- СТ ПЕР ДВ ОП ПР ЗЛ</t>
  </si>
  <si>
    <t>6901505</t>
  </si>
  <si>
    <t>TOYOTA CAMRY 11-СТ ПЕР ДВ ОП ЛВ ЗЛ</t>
  </si>
  <si>
    <t>6901506</t>
  </si>
  <si>
    <t>TOYOTA CAMRY 11- СТ ЗАДН ДВ ОП ПР ЗЛ</t>
  </si>
  <si>
    <t>6901507</t>
  </si>
  <si>
    <t>TOYOTA CAMRY 11- СТ ЗАДН ДВ ОП ЛВ ЗЛ</t>
  </si>
  <si>
    <t>6901508</t>
  </si>
  <si>
    <t>TOYOTA CAMRY 11- ФОРТ ЗАДН НЕП ПР ЗЛ</t>
  </si>
  <si>
    <t>6901509</t>
  </si>
  <si>
    <t>TOYOTA CAMRY 11- ФОРТ ЗАДН НЕП ЛВ ЗЛ</t>
  </si>
  <si>
    <t>CARINA II (AT/ST/CT150) 10.1983-11.1987</t>
  </si>
  <si>
    <t>6963517</t>
  </si>
  <si>
    <t>TOYOTA CARINA II СЕД 1983-1987 СТ ВЕТР ГЛ</t>
  </si>
  <si>
    <t>CARINA II (AT171) 12.1987-03.1992</t>
  </si>
  <si>
    <t>6969964</t>
  </si>
  <si>
    <t>TOYOTA CARINA II (AT171) СД+УН+ХБ 1987-1992 СТ ВЕТР ГЛ</t>
  </si>
  <si>
    <t>6969402</t>
  </si>
  <si>
    <t>TOYOTA CARINA II (AT171) СД+УН+ХБ 1987-1992 СТ ВЕТ ГЛГЛ</t>
  </si>
  <si>
    <t>6969401</t>
  </si>
  <si>
    <t>TOYOTA CARINA II (AT171) СД+УН+ХБ 1987-1992 СТ ВЕТР</t>
  </si>
  <si>
    <t>6998243</t>
  </si>
  <si>
    <t>TOYOTA CARINA II (AT171) ХБ 1987-1992 СТ ЗАДН  ГЛ ЭО+ФИТ</t>
  </si>
  <si>
    <t>6997313</t>
  </si>
  <si>
    <t>TOYOTA CARINA II (AT171) СД 1987-1992 СТ ЗАДН ГЛ</t>
  </si>
  <si>
    <t>6996971</t>
  </si>
  <si>
    <t>TOYOTA CARINA II (AT171) СД+УН+ХБ 1987-1992 СТ ПЕР ДВ ОП ЛВ ГЛ</t>
  </si>
  <si>
    <t>6999462</t>
  </si>
  <si>
    <t>TOYOTA CARINA II (AT171) СД 1987-1992 СТ ЗАДН ОП ЛВ ГЛ</t>
  </si>
  <si>
    <t>6996972</t>
  </si>
  <si>
    <t>TOYOTA CARINA II (AT171) СД 1987-1992 СТ БОК НЕП ЛВ ГЛ</t>
  </si>
  <si>
    <t>6996973</t>
  </si>
  <si>
    <t>TOYOTA CARINA II (AT171) СД+УН+ХБ 1987-1992 СТ ПЕР ДВ ОП ПР ГЛ</t>
  </si>
  <si>
    <t>6999757</t>
  </si>
  <si>
    <t>TOYOTA CARINA II (AT171) ХБ 1987-1992 СТ ФОРТ ЗАДН НЕП ПР ГЛ</t>
  </si>
  <si>
    <t>6999464</t>
  </si>
  <si>
    <t>TOYOTA CARINA II (AT171) СД 1987-1992 СТ ЗАДН ОП ПР ГЛ</t>
  </si>
  <si>
    <t>6996974</t>
  </si>
  <si>
    <t>TOYOTA CARINA II (AT171) СД 1987-1992 СТ БОК НЕП ПР ГЛ</t>
  </si>
  <si>
    <t>CARINA E (AT190) 04.1992-01.1998</t>
  </si>
  <si>
    <t>6969341</t>
  </si>
  <si>
    <t>TOYOTA CARINA E 4Д СД+5Д ХБ 1992-1998  СТ ВЕТР ГЛ</t>
  </si>
  <si>
    <t>6969342</t>
  </si>
  <si>
    <t>TOYOTA CARINA E 4Д СД+5Д ХБ 1992-1998  СТ ВЕТР ГЛГЛ</t>
  </si>
  <si>
    <t>6969411</t>
  </si>
  <si>
    <t>TOYOTA CARINA E 4Д СД+5Д ХБ 1992-1998  СТ ВЕТР ЗЛ</t>
  </si>
  <si>
    <t>6969412</t>
  </si>
  <si>
    <t>TOYOTA CARINA E 4Д СД+5Д ХБ 1992-1998  СТ ВЕТР ЗЛГЛ</t>
  </si>
  <si>
    <t>6963423</t>
  </si>
  <si>
    <t>TOYOTA CARINA E 4Д СД+5Д ХБ 1992-1998  СТ ВЕТР ЗЛЗЛ</t>
  </si>
  <si>
    <t>6962077</t>
  </si>
  <si>
    <t>TOYOTA CARINA E 4Д СД+5Д ХБ 1992-1998  СТ ВЕТР ЭО ЗЛЗЛ</t>
  </si>
  <si>
    <t>6100540</t>
  </si>
  <si>
    <t>TOYOTA CARINA E 4Д СД+5Д ХБ 1992-1998  МОЛД  ДЛЯ СТ ВЕТР</t>
  </si>
  <si>
    <t>6998870</t>
  </si>
  <si>
    <t>TOYOTA CARINA E ХБ 1992-1998  СТ ЗАДН ДВ ГЛ+УО</t>
  </si>
  <si>
    <t>6998982</t>
  </si>
  <si>
    <t>TOYOTA CARINA E СД 1992-1998  СТ ЗАДН ГЛ</t>
  </si>
  <si>
    <t>6998871</t>
  </si>
  <si>
    <t>TOYOTA CARINA E ХБ 1992-1998  СТ ЗАДН ЭО ЗЛ ФИТ</t>
  </si>
  <si>
    <t>6998872</t>
  </si>
  <si>
    <t>TOYOTA CARINA E СД 1992-1998  СТ ЗАДН ЭО ЗЛ</t>
  </si>
  <si>
    <t>6998307</t>
  </si>
  <si>
    <t>TOYOTA CARINA E 4Д СД+5Д ХБ 1992-1998 СТ ПЕР ДВ ОП ЛВ ГЛ+ФИТ</t>
  </si>
  <si>
    <t>6997259</t>
  </si>
  <si>
    <t>TOYOTA CARINA E СД 1992-1998  СТ ЗАДН ДВ ОП ЛВ ГЛ+УО</t>
  </si>
  <si>
    <t>6995867</t>
  </si>
  <si>
    <t>TOYOTA CARINA E 4Д СД+5Д ХБ 1992-1998 СТ ПЕР ДВ ОП ЛВ ЗЛ+ФИТ</t>
  </si>
  <si>
    <t>6999329</t>
  </si>
  <si>
    <t>TOYOTA CARINA E ХБ 1992-1998  СТ ЗАДН ДВ ОП ЛВ ЗЛ+УО</t>
  </si>
  <si>
    <t>6997861</t>
  </si>
  <si>
    <t>TOYOTA CARINA E СД 1992-1998  СТ ЗАДН ДВ ОП ЛВ ЗЛ+УО</t>
  </si>
  <si>
    <t>6995497</t>
  </si>
  <si>
    <t>TOYOTA CARINA E СД 1992-1998  СТ БОК НЕП ЛВ ЗЛ+УО</t>
  </si>
  <si>
    <t>6998308</t>
  </si>
  <si>
    <t>TOYOTA CARINA E 4Д СД+5Д ХБ 1992-1998 СТ ПЕР ДВ ОП ПР ГЛ+ФИТ</t>
  </si>
  <si>
    <t>6997860</t>
  </si>
  <si>
    <t>TOYOTA CARINA E СД 1992-1998  СТ ЗАДН ДВ ОП ПР ГЛ+УО</t>
  </si>
  <si>
    <t>6994137</t>
  </si>
  <si>
    <t>TOYOTA CARINA E 4Д СД+5Д ХБ 1992-1998 СТ ФОРТ ЗАДН НЕП ПР ГЛ</t>
  </si>
  <si>
    <t>6995868</t>
  </si>
  <si>
    <t>TOYOTA CARINA E 4Д СД+5Д ХБ 1992-1998 СТ ПЕР ДВ ОП ПР ЗЛ+ФИТ</t>
  </si>
  <si>
    <t>6999330</t>
  </si>
  <si>
    <t>TOYOTA CARINA E ХБ 1992-1998  СТ ЗАДН ДВ ОП ПР ЗЛ+УО</t>
  </si>
  <si>
    <t>6997862</t>
  </si>
  <si>
    <t>TOYOTA CARINA E СД 1992-1998  СТ ЗАДН ДВ ОП ПР ЗЛ+УО</t>
  </si>
  <si>
    <t>6995498</t>
  </si>
  <si>
    <t>TOYOTA CARINA E СД 1992-1998  СТ БОК НЕП ПР ЗЛ+УО</t>
  </si>
  <si>
    <t>CELICA III LTB+SUPRA (TA60/70) 1982-1986</t>
  </si>
  <si>
    <t>6963730</t>
  </si>
  <si>
    <t>TOYOTA CELICA III LTB+SUPRA (TA60/70) 1982-1986 СТ ВЕТР ГЛ</t>
  </si>
  <si>
    <t>CELICA IV (AT160/ST162) COUPE 08.1985-02.1990</t>
  </si>
  <si>
    <t>6963415</t>
  </si>
  <si>
    <t>TOYOTA CELICA ST162 КП 1985-1990 СТ ВЕТР ГЛ</t>
  </si>
  <si>
    <t>6999457</t>
  </si>
  <si>
    <t>TOYOTA CELICA ST162 КП 1985-1990 СТ ПЕР ДВ ОП ЛВ</t>
  </si>
  <si>
    <t>CELICA V (AT180/ST182) 03.1990-02.1994</t>
  </si>
  <si>
    <t>6963418</t>
  </si>
  <si>
    <t>TOYOTA CELICA V (AT180/ST182) 03.1990-02.1994  СТ ВЕТР ГЛ</t>
  </si>
  <si>
    <t>6963872</t>
  </si>
  <si>
    <t>TOYOTA CELICA V (AT180/ST182) 03.1990-02.1994  СТ ВЕТР ГЛГЛ</t>
  </si>
  <si>
    <t>6100220</t>
  </si>
  <si>
    <t>TOYOTA CELICA V (AT180/ST182) 03.1990-02.1994  МОЛД  ДЛЯ СТ ВЕТР</t>
  </si>
  <si>
    <t>6999465</t>
  </si>
  <si>
    <t>TOYOTA CELICA V (AT180/ST182) 03.1990-02.1994  СТ ПЕР ДВ ОП ЛВ ГЛ</t>
  </si>
  <si>
    <t>6999466</t>
  </si>
  <si>
    <t>TOYOTA CELICA V (AT180/ST182) 03.1990-02.1994  СТ ПЕР ДВ ОП ПР ГЛ</t>
  </si>
  <si>
    <t>CELICA VI (AT200/ST202) 03.1994-10.1999</t>
  </si>
  <si>
    <t>6963592</t>
  </si>
  <si>
    <t>TOYOTA CELICA VI (AT200/ST202) 03.1994-10.1999  СТ ВЕТР ГЛ</t>
  </si>
  <si>
    <t>6963593</t>
  </si>
  <si>
    <t>TOYOTA CELICA VI (AT200/ST202) 03.1994-10.1999  СТ ВЕТР ЗЛ</t>
  </si>
  <si>
    <t>6100226</t>
  </si>
  <si>
    <t>TOYOTA CELICA VI (AT200/ST202) 03.1994-10.1999  МОЛД  ДЛЯ СТ ВЕТР</t>
  </si>
  <si>
    <t>CELICA VII 8/1999-2005</t>
  </si>
  <si>
    <t>6960691</t>
  </si>
  <si>
    <t>TOYOTA CELICA VII 8/1999-2005 СТ ВЕТР ЗЛ</t>
  </si>
  <si>
    <t>6961286</t>
  </si>
  <si>
    <t>6100620</t>
  </si>
  <si>
    <t>TOYOTA CELICA VII 8/1999-2005 МОЛД  ДЛЯ СТ ВЕТР</t>
  </si>
  <si>
    <t>COROLLA 4 (KE70) СД+УН 09.1979-06.1983</t>
  </si>
  <si>
    <t>6963672</t>
  </si>
  <si>
    <t>TOYOTA COROLLA 4 (KE70) СД+УН 1979-1983 СТ ВЕТР ГЛ</t>
  </si>
  <si>
    <t>COROLLA 5 (AE80/EE80) 01.1985-09.1987</t>
  </si>
  <si>
    <t>6963414</t>
  </si>
  <si>
    <t>1985-1987</t>
  </si>
  <si>
    <t>TOYOTA COROLLA 5 (AE80/EE80) 01.1985-09.1987 СТ ВЕТР ГЛ</t>
  </si>
  <si>
    <t>6963512</t>
  </si>
  <si>
    <t>TOYOTA COROLLA 5 (AE80/EE80) 01.1985-09.1987 СТ ВЕТР ГЛГЛ</t>
  </si>
  <si>
    <t>6963513</t>
  </si>
  <si>
    <t>TOYOTA COROLLA 5 (AE80/EE80) 01.1985-09.1987 СТ ВЕТР</t>
  </si>
  <si>
    <t>6999451</t>
  </si>
  <si>
    <t>TOYOTA COROLLA 5 (AE80/EE80) 01.1985-09.1987 СТ ПЕР ДВ ОП ЛВ ГЛ</t>
  </si>
  <si>
    <t>6999453</t>
  </si>
  <si>
    <t>TOYOTA COROLLA 5 (AE80/EE80) 01.1985-09.1987 СТ ФОРТ ЗАДН НЕП ЛВ ГЛ</t>
  </si>
  <si>
    <t>6999454</t>
  </si>
  <si>
    <t>TOYOTA COROLLA 5 (AE80/EE80) 01.1985-09.1987 СТ ПЕР ДВ ОП ПР ГЛ</t>
  </si>
  <si>
    <t>6999455</t>
  </si>
  <si>
    <t>TOYOTA COROLLA 5 (AE80/EE80) 01.1985-09.1987 СТ ЗАДН ОП ПР ГЛ</t>
  </si>
  <si>
    <t>COROLLA 5 (AE82) LFTB 06.1983-07.1987</t>
  </si>
  <si>
    <t>6963514</t>
  </si>
  <si>
    <t>TOYOTA COROLLA 5 (AE82) LFTB 06.1983-07.1987 СТ ВЕТР ГЛ</t>
  </si>
  <si>
    <t>6963675</t>
  </si>
  <si>
    <t>TOYOTA COROLLA 5 (AE82) LFTB 06.1983-07.1987 СТ ВЕТР</t>
  </si>
  <si>
    <t>6996970</t>
  </si>
  <si>
    <t>TOYOTA COROLLA 5 (AE82) LFTB 06.1983-07.1987 СТ ПЕР ДВ ОП ПР ГЛ</t>
  </si>
  <si>
    <t>COROLLA 5 (E80-86) КП 08.1983-01.1988</t>
  </si>
  <si>
    <t>6963516</t>
  </si>
  <si>
    <t>TOYOTA COROLLA 5 (E80-86) КП 08.1983-01.1988 СТ ВЕТР ГЛ</t>
  </si>
  <si>
    <t>COROLLA 6 (EE90/AE92) 07.1987-07.1992</t>
  </si>
  <si>
    <t>6969337</t>
  </si>
  <si>
    <t>TOYOTA COROLLA 6 (EE90/AE92) 07.1987-07.1992 СТ ВЕТР ГЛ</t>
  </si>
  <si>
    <t>6969339</t>
  </si>
  <si>
    <t>TOYOTA COROLLA 6 (EE90/AE92) 07.1987-07.1992 СТ ВЕТР ГЛГЛ</t>
  </si>
  <si>
    <t>6969336</t>
  </si>
  <si>
    <t>TOYOTA COROLLA 6 (EE90/AE92) 07.1987-07.1992 СТ ВЕТР</t>
  </si>
  <si>
    <t>6969338</t>
  </si>
  <si>
    <t>TOYOTA COROLLA 6 (EE90/AE92) 07.1987-07.1992 СТ ВЕТР ЗЛ</t>
  </si>
  <si>
    <t>6100349</t>
  </si>
  <si>
    <t>TOYOTA COROLLA 6 (EE90/AE92) 07.1987-07.1992 НАБ КЛИПС ДЛЯ СТ ВЕТР</t>
  </si>
  <si>
    <t>6100219</t>
  </si>
  <si>
    <t>TOYOTA COROLLA 6 (EE90/AE92) 07.1987-07.1992 МОЛД ДЛЯ СТ ВЕТР ВЕРХ ХРОМ</t>
  </si>
  <si>
    <t>6101245</t>
  </si>
  <si>
    <t>6998306</t>
  </si>
  <si>
    <t>TOYOTA COROLLA 6 (EE90/AE92) СД 07.1987-07.1992 СТ ЗАДН ГЛ</t>
  </si>
  <si>
    <t>6995495</t>
  </si>
  <si>
    <t>TOYOTA COROLLA 6 (EE90/AE92) ХБ 3Д 07.1987-07.1992 СТ ПЕР ДВ ОП ЛВ ГЛ</t>
  </si>
  <si>
    <t>6998300</t>
  </si>
  <si>
    <t>TOYOTA COROLLA 6 (EE90/AE92) ХБ 5Д 07.1987-07.1992 СТ ПЕР ДВ ОП ЛВ ГЛ+УО</t>
  </si>
  <si>
    <t>6998302</t>
  </si>
  <si>
    <t>TOYOTA COROLLA 6 (EE90/AE92) СД 4Д 07.1987-07.1992 СТ ЗАДН ДВ ОП ЛВ ГЛ</t>
  </si>
  <si>
    <t>6998304</t>
  </si>
  <si>
    <t>TOYOTA COROLLA 6 (EE90/AE92) СД 4Д 07.1987-07.1992 СТ ФОРТ ЗАДН НЕП ЛВ ГЛ</t>
  </si>
  <si>
    <t>6999459</t>
  </si>
  <si>
    <t>TOYOTA COROLLA 6 (EE90/AE92) ХБ 5Д 07.1987-07.1992 СТ ПЕР ДВ ОП ЛВ+УО</t>
  </si>
  <si>
    <t>6995496</t>
  </si>
  <si>
    <t>TOYOTA COROLLA 6 (EE90/AE92) ХБ 3Д 07.1987-07.1992 СТ ПЕР ДВ ОП ПР ГЛ</t>
  </si>
  <si>
    <t>6998301</t>
  </si>
  <si>
    <t>TOYOTA COROLLA 6 (EE90/AE92) ХБ 5Д 07.1987-07.1992 СТ ПЕР ДВ ОП ПР+УО</t>
  </si>
  <si>
    <t>6998303</t>
  </si>
  <si>
    <t>TOYOTA COROLLA 6 (EE90/AE92) СД 4Д 07.1987-07.1992 СТ ЗАДН ДВ ОП ПР ГЛ</t>
  </si>
  <si>
    <t>6999460</t>
  </si>
  <si>
    <t>6998479</t>
  </si>
  <si>
    <t>TOYOTA COROLLA 6 (EE90/AE92) СД 4Д 07.1987-07.1992 СТ ЗАДН ДВ ОП ПР</t>
  </si>
  <si>
    <t>COROLLA 6 (EE90/AE92) LFTB 07.1987-07.1992</t>
  </si>
  <si>
    <t>6969347</t>
  </si>
  <si>
    <t>TOYOTA COROLLA 6 (EE90/AE92) LFTB 07.1987-07.1992 СТ ВЕТ ГЛ</t>
  </si>
  <si>
    <t>6969348</t>
  </si>
  <si>
    <t>TOYOTA COROLLA 6 (EE90/AE92) LFTB 07.1987-07.1992 СТ ВЕТ ГЛГЛ</t>
  </si>
  <si>
    <t>6969346</t>
  </si>
  <si>
    <t>TOYOTA COROLLA 6 (EE90/AE92) LFTB 07.1987-07.1992 СТ ВЕТР</t>
  </si>
  <si>
    <t>6100539</t>
  </si>
  <si>
    <t>TOYOTA COROLLA 6 (EE90/AE92) LFTB 07.1987-07.1992  НАБ КЛИПС ДЛЯ СТ ВЕТР</t>
  </si>
  <si>
    <t>6101199</t>
  </si>
  <si>
    <t>TOYOTA COROLLA 6 (EE90/AE92) LFTB 07.1987-07.1992  МОЛД  ДЛЯ СТ ВЕТР</t>
  </si>
  <si>
    <t>6995855</t>
  </si>
  <si>
    <t>TOYOTA COROLLA 6 (EE90/AE92) LFTB 07.1987-07.1992 СТ ПЕР ДВ ОП ЛВ ГЛ+УО</t>
  </si>
  <si>
    <t>6995856</t>
  </si>
  <si>
    <t>TOYOTA COROLLA 6 (EE90/AE92) LFTB 07.1987-07.1992 СТ ЗАДН ДВ ОП ЛВ ГЛ</t>
  </si>
  <si>
    <t>6995857</t>
  </si>
  <si>
    <t>TOYOTA COROLLA 6 (EE90/AE92) LFTB 07.1987-07.1992 СТ ПЕР ДВ ОП ПР ГЛ+УО</t>
  </si>
  <si>
    <t>6995858</t>
  </si>
  <si>
    <t>TOYOTA COROLLA 6 (EE90/AE92) LFTB 07.1987-07.1992 СТ ЗАДН ДВ ОП ПР ГЛ</t>
  </si>
  <si>
    <t>COROLLA 7 (52-54,64AE) 07.1992-04.1997</t>
  </si>
  <si>
    <t>6969349</t>
  </si>
  <si>
    <t>TOYOTA COROLLA 7 (52-54,64AE) 07.1992-04.1997 СТ ВЕТР ГЛ</t>
  </si>
  <si>
    <t>6969350</t>
  </si>
  <si>
    <t>TOYOTA COROLLA 7 (52-54,64AE) 07.1992-04.1997 СТ ВЕТР ГЛГЛ</t>
  </si>
  <si>
    <t>6969358</t>
  </si>
  <si>
    <t>TOYOTA COROLLA 7 (52-54,64AE) 07.1992-04.1997 СТ ВЕТР</t>
  </si>
  <si>
    <t>6969359</t>
  </si>
  <si>
    <t>TOYOTA COROLLA 7 (52-54,64AE) 07.1992-04.1997 СТ ВЕТР ЗЛ</t>
  </si>
  <si>
    <t>6961708</t>
  </si>
  <si>
    <t>TOYOTA COROLLA 7 (52-54,64AE) 07.1992-04.1997 СТ ВЕТР ЗЛГЛ</t>
  </si>
  <si>
    <t>6100222</t>
  </si>
  <si>
    <t>TOYOTA COROLLA 7 (52-54,64AE) 07.1992-04.1997 МОЛД  ДЛЯ СТ ВЕТР</t>
  </si>
  <si>
    <t>6998924</t>
  </si>
  <si>
    <t>TOYOTA COROLLA 7 (52-54,64AE) ХБ 07.1992-04.1997 СТ ЗАДН ДВ ГЛ</t>
  </si>
  <si>
    <t>6998317</t>
  </si>
  <si>
    <t>TOYOTA COROLLA 7 (52-54,64AE) СД 07.1992-04.1997 СТ ЗАДН ГЛ</t>
  </si>
  <si>
    <t>6900304</t>
  </si>
  <si>
    <t>TOYOTA COROLLA 7 (52-54,64AE) УН 07.1992-04.1997 СТ ФОРТ ЗАДН НЕП ЛВ ГЛ</t>
  </si>
  <si>
    <t>6998309</t>
  </si>
  <si>
    <t>TOYOTA COROLLA 7 (52-54,64AE) ХБ 3Д 07.1992-04.1997 СТ ПЕР ДВ ОП ЛВ ГЛ+ФИТ</t>
  </si>
  <si>
    <t>6998311</t>
  </si>
  <si>
    <t>TOYOTA COROLLA 7 (52-54,64AE) ХБ 5Д 07.1992-04.1997 СТ ПЕР ДВ ОП ЛВ ГЛ+УО</t>
  </si>
  <si>
    <t>6995863</t>
  </si>
  <si>
    <t>TOYOTA COROLLA 7 (52-54,64AE) ХБ 5Д 07.1992-04.1997 СТ ЗАДН ДВ ОП ЛВ ГЛ</t>
  </si>
  <si>
    <t>6998313</t>
  </si>
  <si>
    <t>TOYOTA COROLLA 7 (52-54,64AE) СД 4Д 07.1992-04.1997 СТ ЗАДН ДВ ОП ЛВ ГЛ</t>
  </si>
  <si>
    <t>6998315</t>
  </si>
  <si>
    <t>TOYOTA COROLLA 7 (52-54,64AE) СД 4Д 07.1992-04.1997 СТ ФОРТ ЗАДН НЕП ЛВ ГЛ</t>
  </si>
  <si>
    <t>6993257</t>
  </si>
  <si>
    <t>TOYOTA COROLLA 7 (52-54,64AE) СД 4Д 07.1992-04.1997 СТ ЗАДН ДВ НЕП ЛВ</t>
  </si>
  <si>
    <t>6998310</t>
  </si>
  <si>
    <t>TOYOTA COROLLA 7 (52-54,64AE) ХБ 3Д 07.1992-04.1997 СТ ПЕР ДВ ОП ПР ГЛ+ФИТ</t>
  </si>
  <si>
    <t>6998312</t>
  </si>
  <si>
    <t>TOYOTA COROLLA 7 (52-54,64AE) ХБ 5Д 07.1992-04.1997 СТ ПЕР ДВ ОП ПР ГЛ+УО</t>
  </si>
  <si>
    <t>6995864</t>
  </si>
  <si>
    <t>TOYOTA COROLLA 7 (52-54,64AE) ХБ 5Д 07.1992-04.1997 СТ ЗАДН ДВ ОП ПР ГЛ</t>
  </si>
  <si>
    <t>6998314</t>
  </si>
  <si>
    <t>TOYOTA COROLLA 7 (52-54,64AE) СД 4Д 07.1992-04.1997 СТ ЗАДН ДВ ОП ПР</t>
  </si>
  <si>
    <t>6998316</t>
  </si>
  <si>
    <t>TOYOTA COROLLA 7 (52-54,64AE) СД 4Д 07.1992-04.1997 СТ ФОРТ ЗАДН НЕП ПР ГЛ</t>
  </si>
  <si>
    <t>COROLLA 7 (AE100) LFTB CS 07.1992-04.1997</t>
  </si>
  <si>
    <t>6969353</t>
  </si>
  <si>
    <t>TOYOTA COROLLA 7 (AE100) LFTB CS 07.1992-04.1997 СТ ВЕТР ГЛ</t>
  </si>
  <si>
    <t>6969354</t>
  </si>
  <si>
    <t>TOYOTA COROLLA 7 (AE100) LFTB CS 07.1992-04.1997 СТ ВЕТР ГЛГЛ</t>
  </si>
  <si>
    <t>6964113</t>
  </si>
  <si>
    <t>TOYOTA COROLLA 7 (AE100) LFTB CS 07.1992-04.1997 СТ ВЕТР</t>
  </si>
  <si>
    <t>6969421</t>
  </si>
  <si>
    <t>TOYOTA COROLLA 7 (AE100) LFTB CS 07.1992-04.1997 СТ ВЕТР ЗЛ</t>
  </si>
  <si>
    <t>6101219</t>
  </si>
  <si>
    <t>TOYOTA COROLLA 7 (AE100) LFTB CS 07.1992-04.1997 МОЛД ДЛЯ СТ ВЕТР ВЕРХ</t>
  </si>
  <si>
    <t>6998318</t>
  </si>
  <si>
    <t>TOYOTA COROLLA 7 (AE100) LFTB CS 07.1992-04.1997 СТ ПЕР ДВ ОП ЛВ ГЛ+УО</t>
  </si>
  <si>
    <t>6998319</t>
  </si>
  <si>
    <t>TOYOTA COROLLA 7 (AE100) LFTB CS 07.1992-04.1997 СТ ПЕР ДВ ОП ПР ГЛ+УО</t>
  </si>
  <si>
    <t>COROLLA 8 (E11) 04.1997-2002</t>
  </si>
  <si>
    <t>6969425</t>
  </si>
  <si>
    <t>TOYOTA COROLLA 8 (E11) 04.1997-2002 СТ ВЕТР ЗЛ</t>
  </si>
  <si>
    <t>6969426</t>
  </si>
  <si>
    <t>6963219</t>
  </si>
  <si>
    <t>TOYOTA COROLLA 8 (E11) 04.1997-2002 СТ ВЕТР ЗЛГЛ</t>
  </si>
  <si>
    <t>6963251</t>
  </si>
  <si>
    <t>TOYOTA COROLLA 8 (E11) 04.1997-2002 СТ ВЕТР ЗЛЗЛ</t>
  </si>
  <si>
    <t>6100228</t>
  </si>
  <si>
    <t>TOYOTA COROLLA 8 (E11) 04.1997-2002 МОЛД  ДЛЯ СТ ВЕТР</t>
  </si>
  <si>
    <t>6998874</t>
  </si>
  <si>
    <t>TOYOTA COROLLA 8 (E11) СД 04.1997-2002 СТ ЗАДН ЭО ЗЛ</t>
  </si>
  <si>
    <t>6993258</t>
  </si>
  <si>
    <t>TOYOTA COROLLA 8 (E11) 04.1997-2002 СТ ПЕР ДВ ОП ЛВ ЗЛ+УО</t>
  </si>
  <si>
    <t>6994869</t>
  </si>
  <si>
    <t>6994870</t>
  </si>
  <si>
    <t>TOYOTA COROLLA 8 (E11) 04.1997-2002 СТ ЗАДН ДВ ОП ЛВ ТЗЛ+УО</t>
  </si>
  <si>
    <t>6980831</t>
  </si>
  <si>
    <t>TOYOTA COROLLA 8 (E11) 04.1997-2002 СТ ЗАДН ДВ ОП ЛВ ЗЛ+УО</t>
  </si>
  <si>
    <t>6995869</t>
  </si>
  <si>
    <t>TOYOTA COROLLA 8 (E11) 04.1997-2002 СТ БОК НЕП ЛВ ЗЛ</t>
  </si>
  <si>
    <t>6993259</t>
  </si>
  <si>
    <t>TOYOTA COROLLA 8 (E11) 04.1997-2002 СТ ПЕР ДВ ОП ПР ЗЛ+УО</t>
  </si>
  <si>
    <t>6994872</t>
  </si>
  <si>
    <t>6994873</t>
  </si>
  <si>
    <t>TOYOTA COROLLA 8 (E11) 04.1997-2002 СТ ЗАДН ДВ ОП ПР ЗЛ+УО</t>
  </si>
  <si>
    <t>6980832</t>
  </si>
  <si>
    <t>6995870</t>
  </si>
  <si>
    <t>TOYOTA COROLLA 8 (E11) 04.1997-2002 СТ БОК НЕП ПР ЗЛ</t>
  </si>
  <si>
    <t>COROLLA 9 2002-2007</t>
  </si>
  <si>
    <t>6962273</t>
  </si>
  <si>
    <t>TOYOTA COROLLA 9 3Д/5Д 07/2004-2007  СТ ВЕТР ЗЛ+АКУСТИК+ДД+ИЗМ ДЕРЖ ЗЕРК</t>
  </si>
  <si>
    <t>6960689</t>
  </si>
  <si>
    <t>TOYOTA COROLLA 9 4Д СД/5Д УН 2002-2007 СТ ВЕТР ЗЛ</t>
  </si>
  <si>
    <t>6961803</t>
  </si>
  <si>
    <t>TOYOTA COROLLA 9 3Д/5Д 07/2004-2007 СТ ВЕТР ЗЛ</t>
  </si>
  <si>
    <t>6960696</t>
  </si>
  <si>
    <t>TOYOTA COROLLA 9 3Д/5Д 2002-2007 СТ ВЕТР ЗЛ</t>
  </si>
  <si>
    <t>6962050</t>
  </si>
  <si>
    <t>TOYOTA COROLLA 9 3Д/5Д 07/2004-2007  СТ ВЕТР ЗЛ+ДД+ИЗМ ДЕРЖ ЗЕРК</t>
  </si>
  <si>
    <t>6100625</t>
  </si>
  <si>
    <t>TOYOTA COROLLA 9 3Д/5Д 2002-2007 МОЛД  ДЛЯ СТ ВЕТР</t>
  </si>
  <si>
    <t>6101229</t>
  </si>
  <si>
    <t>TOYOTA COROLLA 9 2002-2007  4Д МОЛД  ДЛЯ СТ ВЕТР</t>
  </si>
  <si>
    <t>6992787</t>
  </si>
  <si>
    <t>TOYOTA COROLLA 9 4Д СД 2002-2007 СТ ЗАДН ЗЛ</t>
  </si>
  <si>
    <t>6999919</t>
  </si>
  <si>
    <t>TOYOTA COROLLA 9 3Д/5Д ХБ 2002-2007  СТ ЗАДН ЗЛ+УО</t>
  </si>
  <si>
    <t>6999918</t>
  </si>
  <si>
    <t>TOYOTA COROLLA 9 3Д/5Д ХБ 2002-2007  СТ ЗАДН ДВ ЗЛ+УО+ИЗМ ЭО</t>
  </si>
  <si>
    <t>6992431</t>
  </si>
  <si>
    <t>TOYOTA COROLLA 9 5Д УН 2002-2007 СТ ЗАДН ДВ ОП ЛВ ЗЛ</t>
  </si>
  <si>
    <t>6980152</t>
  </si>
  <si>
    <t>TOYOTA COROLLA 9 5Д УН 2002-2007  СТ ФОРТ НЕП ЛВ ЗЛ</t>
  </si>
  <si>
    <t>6992429</t>
  </si>
  <si>
    <t>TOYOTA COROLLA 9 4Д СД/5Д УН 2002-2007 СТ ПЕР ДВ ОП ЛВ ЗЛ+УО</t>
  </si>
  <si>
    <t>6995960</t>
  </si>
  <si>
    <t>TOYOTA COROLLA 9 4Д СД 2002-2007  ЗАДН ДВ ОП ЛВ ЗЛ</t>
  </si>
  <si>
    <t>6980146</t>
  </si>
  <si>
    <t>TOYOTA COROLLA 9 4Д СД 2002-2007  СТ ФОРТ ЗАДН НЕП ЛВ ЗЛ</t>
  </si>
  <si>
    <t>6990684</t>
  </si>
  <si>
    <t>TOYOTA COROLLA 9 2002-2007  СТ ПЕР ДВ ОП ЛВ ЗЛ+УО</t>
  </si>
  <si>
    <t>6900339</t>
  </si>
  <si>
    <t>TOYOTA COROLLA 9 3Д 2002-2007  СТ БОК НЕП ЛВ ЗЛ+УО</t>
  </si>
  <si>
    <t>6990692</t>
  </si>
  <si>
    <t>TOYOTA COROLLA 9 5Д 2002-2007 СТ ПЕР ДВ ОП ЛВ ЗЛ+УО</t>
  </si>
  <si>
    <t>6980150</t>
  </si>
  <si>
    <t>TOYOTA COROLLA 9 2002-2007  СТ ЗАДН ДВ ОП ЛВ ЗЛ+УО</t>
  </si>
  <si>
    <t>6999518</t>
  </si>
  <si>
    <t>TOYOTA COROLLA 9 5Д 2002-2007  СТ ФОРТ ЗАДН НЕП ЛВ ЗЛ</t>
  </si>
  <si>
    <t>6992430</t>
  </si>
  <si>
    <t>TOYOTA COROLLA 9 5Д УН 2002-2007  СТ ЗАДН ДВ ОП ПР ЗЛ</t>
  </si>
  <si>
    <t>6980153</t>
  </si>
  <si>
    <t>TOYOTA COROLLA 9 5Д УН 2002-2007  СТ ФОРТ НЕП ПР ЗЛ</t>
  </si>
  <si>
    <t>6992428</t>
  </si>
  <si>
    <t>TOYOTA COROLLA 9 4Д СД/ 5Д УН 2002-2007 СТ ПЕР ДВ ОП ПР ЗЛ+УО</t>
  </si>
  <si>
    <t>6995961</t>
  </si>
  <si>
    <t>TOYOTA COROLLA 9 4Д СД 2002-2007  СТ ЗАДН ДВ ОП ПР ЗЛ</t>
  </si>
  <si>
    <t>6980147</t>
  </si>
  <si>
    <t>TOYOTA COROLLA 9 4Д СД 2002-2007  СТ ФОРТ ЗАДН НЕП ПР ЗЛ</t>
  </si>
  <si>
    <t>6990677</t>
  </si>
  <si>
    <t>TOYOTA COROLLA 9 2002-2007  СТ ПЕР ДВ ОП ПР ЗЛ+УО</t>
  </si>
  <si>
    <t>6900352</t>
  </si>
  <si>
    <t>TOYOTA COROLLA 9 3Д 2002-2007  СТ БОК НЕП ПР ЗЛ+УО</t>
  </si>
  <si>
    <t>6990688</t>
  </si>
  <si>
    <t>TOYOTA COROLLA 9 5Д 2002-2007 СТ ПЕР ДВ ОП ПР ЗЛ+УО</t>
  </si>
  <si>
    <t>6980151</t>
  </si>
  <si>
    <t>TOYOTA COROLLA 9 2002-2007  СТ ЗАДН ДВ ОП ПР ЗЛ+УО</t>
  </si>
  <si>
    <t>6999516</t>
  </si>
  <si>
    <t>TOYOTA COROLLA 9 5Д 2002-2007  СТ ЗАДН ДВ НЕП ПР ЗЛ</t>
  </si>
  <si>
    <t>COROLLA 10 2007-</t>
  </si>
  <si>
    <t>6964676</t>
  </si>
  <si>
    <t>TOYOTA COROLLA 10 2007- СТ ВЕТР ЗЛ+УО</t>
  </si>
  <si>
    <t>6964675</t>
  </si>
  <si>
    <t>TOYOTA COROLLA 10 2007- СТ ВЕТР ЗЛ+ДД+УО+ИЗМ ДЕРЖ ЗЕРК</t>
  </si>
  <si>
    <t>6962689</t>
  </si>
  <si>
    <t>TOYOTA COROLLA 10 2007- СТ ВЕТР ЗЛ+АКУСТИК+ДД+УО+ИЗМ ДЕРЖ ЗЕРК</t>
  </si>
  <si>
    <t>6962690</t>
  </si>
  <si>
    <t>TOYOTA COROLLA 10 2007- СТ ВЕТР ЗЛ+АКУСТИК+УО</t>
  </si>
  <si>
    <t>6900794</t>
  </si>
  <si>
    <t>TOYOTA COROLLA 10 2007- СТ ЗАДН ДВ ОП ЛВ ЗЛ</t>
  </si>
  <si>
    <t>6900793</t>
  </si>
  <si>
    <t>TOYOTA COROLLA 10 2007- СТ ЗАДН ДВ ОП ПР ЗЛ</t>
  </si>
  <si>
    <t>COROLLA VERSO 2002-2004</t>
  </si>
  <si>
    <t>6960376</t>
  </si>
  <si>
    <t>TOYOTA COROLLA VERSO 2002-2004 СТ ВЕТР ЗЛ</t>
  </si>
  <si>
    <t>6101130</t>
  </si>
  <si>
    <t>TOYOTA COROLLA VERSO 2002-2004 МОЛД  ДЛЯ СТ ВЕТР</t>
  </si>
  <si>
    <t>6993255</t>
  </si>
  <si>
    <t>TOYOTA COROLLA VERSO 2002-2004 СТ ПЕР ДВ ОП ЛВ ЗЛ+УО</t>
  </si>
  <si>
    <t>6992432</t>
  </si>
  <si>
    <t>TOYOTA COROLLA VERSO 2002-2004 СТ ЗАДН ДВ ОП ЛВ ТЗЛ УО</t>
  </si>
  <si>
    <t>6993256</t>
  </si>
  <si>
    <t>TOYOTA COROLLA VERSO 2002-2004 СТ ПЕР ДВ ОП ПР ЗЛ УО</t>
  </si>
  <si>
    <t>6992433</t>
  </si>
  <si>
    <t>TOYOTA COROLLA VERSO 2002-2004 СТ ЗАДН ДВ ОП ПР ЗЛ УО</t>
  </si>
  <si>
    <t>COROLLA VERSO 05/2004-</t>
  </si>
  <si>
    <t>6961275</t>
  </si>
  <si>
    <t>TOYOTA COROLLA VERSO 05/2004- СТ ВЕТР ЗЛ</t>
  </si>
  <si>
    <t>6962053</t>
  </si>
  <si>
    <t>TOYOTA COROLLA VERSO 05/2004-  СТ ВЕТР ЗЛ+ДД</t>
  </si>
  <si>
    <t>6101719</t>
  </si>
  <si>
    <t>TOYOTA COROLLA VERSO 05/2004- МОЛД ДЛЯ СТ ВЕТР</t>
  </si>
  <si>
    <t>F MINIBUS,SPACE CRUISER 11.1982-01.1990</t>
  </si>
  <si>
    <t>6963582</t>
  </si>
  <si>
    <t>TOYOTA F MINIBUS,SPACE CRUISER 11.1982-01.1990 СТ ВЕТР ГЛ</t>
  </si>
  <si>
    <t>HI-ACE III 03.1983-11.1989</t>
  </si>
  <si>
    <t>6969335</t>
  </si>
  <si>
    <t>TOYOTA HI ACE III 1983-1989 СТ ВЕТР</t>
  </si>
  <si>
    <t>6997844</t>
  </si>
  <si>
    <t>TOYOTA HI ACE III МИН 1983-1989 СТ ЗАДН</t>
  </si>
  <si>
    <t>6996967</t>
  </si>
  <si>
    <t>TOYOTA HI ACE III 1983-1989 СТ ПЕР ДВ ОП ЛВ</t>
  </si>
  <si>
    <t>6996968</t>
  </si>
  <si>
    <t>TOYOTA HI ACE III 1983-1989 СТ ПЕР ДВ ОП ПР</t>
  </si>
  <si>
    <t>HI-ACE IV 08.1989-08.1995</t>
  </si>
  <si>
    <t>6969344</t>
  </si>
  <si>
    <t>TOYOTA HI-ACE IV 08.1989-08.1995  СТ ВЕТР ГЛ</t>
  </si>
  <si>
    <t>6969343</t>
  </si>
  <si>
    <t>TOYOTA HI-ACE IV 08.1989-08.1995  СТ ВЕТР</t>
  </si>
  <si>
    <t>6969357</t>
  </si>
  <si>
    <t>TOYOTA HI-ACE IV 08.1989-08.1995  СТ ВЕТР ЗЛ</t>
  </si>
  <si>
    <t>6101058</t>
  </si>
  <si>
    <t>TOYOTA HI-ACE IV 08.1989-08.1995  РЕЗ ПРОФ ДЛЯ СТ ВЕТР</t>
  </si>
  <si>
    <t>6998869</t>
  </si>
  <si>
    <t>TOYOTA HI-ACE IV МИН 08.1989-08.1995 СТ ЗАДН ЭО</t>
  </si>
  <si>
    <t>6996901</t>
  </si>
  <si>
    <t>TOYOTA HI-ACE IV 08.1989-08.1995 СТ ПЕР ДВ ОП ЛВ</t>
  </si>
  <si>
    <t>6996902</t>
  </si>
  <si>
    <t>TOYOTA HI-ACE IV 08.1989-08.1995 СТ ПЕР ДВ ОП ПР</t>
  </si>
  <si>
    <t>HI-ACE V 08.1995-</t>
  </si>
  <si>
    <t>6963425</t>
  </si>
  <si>
    <t>1995-2004 </t>
  </si>
  <si>
    <t>TOYOTA HI-ACE V 08.1995-  СТ ВЕТР</t>
  </si>
  <si>
    <t>6963426</t>
  </si>
  <si>
    <t>1996-2004 </t>
  </si>
  <si>
    <t>TOYOTA HI ACE V 12/1996-  СТ ВЕТР ЗЛ</t>
  </si>
  <si>
    <t>6950143</t>
  </si>
  <si>
    <t>2001-2004 </t>
  </si>
  <si>
    <t>TOYOTA HI ACE V 2001- СТ ВЕТР ЗЛ</t>
  </si>
  <si>
    <t>6950252</t>
  </si>
  <si>
    <t>TOYOTA HI ACE V 1995-  СТ ВЕТР ЗЛГЛ</t>
  </si>
  <si>
    <t>6962686</t>
  </si>
  <si>
    <t>TOYOTA HI ACE V 2001- СТ ВЕТР ЗЛГЛ</t>
  </si>
  <si>
    <t>6101096</t>
  </si>
  <si>
    <t>TOYOTA HI ACE V 1996- МОЛД ДЛЯ СТ ВЕТР</t>
  </si>
  <si>
    <t>6998819</t>
  </si>
  <si>
    <t>TOYOTA HI-ACE V МИН 08.1995- СТ ЗАДН ЭО</t>
  </si>
  <si>
    <t>6993261</t>
  </si>
  <si>
    <t>TOYOTA HI-ACE V МИН 08.1995- СТ ЗАДН Б/ЭО</t>
  </si>
  <si>
    <t>6998873</t>
  </si>
  <si>
    <t>TOYOTA HI ACE V МИН 12/1996-  СТ ЗАДН ЭО ЗЛ</t>
  </si>
  <si>
    <t>6994662</t>
  </si>
  <si>
    <t>TOYOTA HI-ACE V 08.1995- СТ ПЕР ДВ ОП ЛВ +ФИТ</t>
  </si>
  <si>
    <t>6995336</t>
  </si>
  <si>
    <t>TOYOTA HI ACE V 12/1996-  СТ ПЕР ДВ ОП ЛВ ЗЛ ФИТ</t>
  </si>
  <si>
    <t>6994663</t>
  </si>
  <si>
    <t>TOYOTA HI-ACE V 08.1995- СТ ПЕР ДВ ОП ПР +ФИТ</t>
  </si>
  <si>
    <t>6995337</t>
  </si>
  <si>
    <t>TOYOTA HI ACE V 12/1996-  СТ ПЕР ДВ ОП ПР ЗЛ+ФИТ</t>
  </si>
  <si>
    <t>HI-ACE RH11 1977-1983</t>
  </si>
  <si>
    <t>6963508</t>
  </si>
  <si>
    <t>TOYOTA HI ACE RH11 1977-1983 СТ ВЕТР</t>
  </si>
  <si>
    <t>HI-LUX IV 1983-07.1988</t>
  </si>
  <si>
    <t>6963584</t>
  </si>
  <si>
    <t>TOYOTA HI-LUX IV 1983-07.1988 СТ ВЕТР</t>
  </si>
  <si>
    <t>HI-LUX YN106/LN105 1989-1997</t>
  </si>
  <si>
    <t>6190565</t>
  </si>
  <si>
    <t>TOYOTA HI-LUX YN106/LN105 1989-1997  СТ ВЕТР/ VOLKSWAGEN TARRO HIGH СТ ВЕТР</t>
  </si>
  <si>
    <t>HI-LUX VI PICK-UP 11.1997-2005</t>
  </si>
  <si>
    <t>6963433</t>
  </si>
  <si>
    <t>TOYOTA HI-LUX VI PICK-UP 11.1997-2005 СТ ВЕТР ЗЛ</t>
  </si>
  <si>
    <t>6961020</t>
  </si>
  <si>
    <t>TOYOTA HI-LUX VI PICK-UP 11.1997-2005 СТ ВЕТР ЗЛГЛ</t>
  </si>
  <si>
    <t>6960692</t>
  </si>
  <si>
    <t>TOYOTA HI-LUX VI PICK-UP 11.1997-2005 СТ ВЕТР ЗЛЗЛ</t>
  </si>
  <si>
    <t>6101016</t>
  </si>
  <si>
    <t>TOYOTA HI-LUX VI PICK-UP 11.1997-2005 МОЛД  ДЛЯ СТ ВЕТР ХРОМ</t>
  </si>
  <si>
    <t>6993238</t>
  </si>
  <si>
    <t>TOYOTA HI-LUX VI PICK-UP 11.1997-2005 СТ ПЕР ДВ ОП ЛВ ЗЛ ФИТ</t>
  </si>
  <si>
    <t>6993239</t>
  </si>
  <si>
    <t>TOYOTA HI-LUX VI PICK-UP 11.1997-2005 СТ ПЕР ДВ ОП ПР ЗЛ ФИТ</t>
  </si>
  <si>
    <t>HI-LUX 4Д PU 2005-</t>
  </si>
  <si>
    <t>6961600</t>
  </si>
  <si>
    <t>TOYOTA HI-LUX 4Д PU 2005-  СТ ВЕТР ЗЛ</t>
  </si>
  <si>
    <t>6961601</t>
  </si>
  <si>
    <t>TOYOTA HI-LUX 2Д+4Д PU 2005-  СТ ВЕТР ЗЛЗЛ</t>
  </si>
  <si>
    <t>LANDCRUISER (J40) 1975-1981</t>
  </si>
  <si>
    <t>6963581</t>
  </si>
  <si>
    <t>1960-1984</t>
  </si>
  <si>
    <t>TOYOTA LANDCRUISER (J40) 1975-1981 СТ ВЕТР</t>
  </si>
  <si>
    <t>LANDCRUISER (J60) 1981-1989</t>
  </si>
  <si>
    <t>6963509</t>
  </si>
  <si>
    <t>1981-1989</t>
  </si>
  <si>
    <t>TOYOTA LANDCRUISER (J60) 1981-1989 СТ ВЕТР ГЛ</t>
  </si>
  <si>
    <t>6963510</t>
  </si>
  <si>
    <t>TOYOTA LANDCRUISER (J60) 1981-1989 СТ ВЕТР</t>
  </si>
  <si>
    <t>LANDCRUISER (J70) HARDTOP 11.1984-05.1996</t>
  </si>
  <si>
    <t>6963519</t>
  </si>
  <si>
    <t>1984-1996</t>
  </si>
  <si>
    <t>TOYOTA LANDCRUISER (J70) HARDTOP 11.1984-05.1996 СТ ВЕТ ГЛ</t>
  </si>
  <si>
    <t>6963521</t>
  </si>
  <si>
    <t>TOYOTA LANDCRUISER (J70) HARDTOP 11.1984-05.1996 СТ ВЕТР</t>
  </si>
  <si>
    <t>LANDCRUISER (J70) SOFTTOP 11.1984-05.1996</t>
  </si>
  <si>
    <t>6963590</t>
  </si>
  <si>
    <t>TOYOTA LANDCRUISER (J70) SOFTTOP 11.1985-05.1996 СТ ВЕТР ГЛ</t>
  </si>
  <si>
    <t>6963591</t>
  </si>
  <si>
    <t>TOYOTA LANDCRUISER (J70) SOFTTOP 11.1985-05.1996 СТ ВЕТР</t>
  </si>
  <si>
    <t>LANDCRUISER (J80) 01.1990-12.1997</t>
  </si>
  <si>
    <t>6963419</t>
  </si>
  <si>
    <t>TOYOTA LANDCRUISER (J80) 01.1990-12.1997 СТ ВЕТР ГЛ</t>
  </si>
  <si>
    <t>6963420</t>
  </si>
  <si>
    <t>TOYOTA LANDCRUISER (J80) 01.1990-12.1997 СТ ВЕТР ГЛГЛ</t>
  </si>
  <si>
    <t>6100221</t>
  </si>
  <si>
    <t>TOYOTA LANDCRUISER (J80) 01.1990-12.1997 РЕЗ ПРОФ ДЛЯ СТ ВЕТР</t>
  </si>
  <si>
    <t>6997314</t>
  </si>
  <si>
    <t>TOYOTA LANDCRUISER (J80) 01.1990-12.1997 СТ ЗАДН ГЛ</t>
  </si>
  <si>
    <t>6999471</t>
  </si>
  <si>
    <t>TOYOTA LANDCRUISER (J80) 01.1990-12.1997 СТ ПЕР ДВ ОП ЛВ ГЛ</t>
  </si>
  <si>
    <t>6999474</t>
  </si>
  <si>
    <t>TOYOTA LANDCRUISER (J80) 01.1990-12.1997 СТ ПЕР ДВ ОП ПР ГЛ</t>
  </si>
  <si>
    <t>LANDCRUISER (J90)/PRADO 08.1996-2003</t>
  </si>
  <si>
    <t>6963429</t>
  </si>
  <si>
    <t>TOYOTA LANDCRUISER (J90)/PRADO 08.1996-2003 СТ ВЕТР</t>
  </si>
  <si>
    <t>6963430</t>
  </si>
  <si>
    <t>TOYOTA LANDCRUISER (J90)/PRADO 08.1996-2003 СТ ВЕТР СЗЛЗЛ</t>
  </si>
  <si>
    <t>6100618</t>
  </si>
  <si>
    <t>TOYOTA LANDCRUISER (J90)/PRADO 08.1996-2003 МОЛД  ДЛЯ СТ ВЕТР</t>
  </si>
  <si>
    <t>6992514</t>
  </si>
  <si>
    <t>TOYOTA LANDCRUISER (J90)/PRADO 3Д+5Д ВН 1996-2003  СТ ЗАДН СЗЛ</t>
  </si>
  <si>
    <t>6980060</t>
  </si>
  <si>
    <t>TOYOTA LANDCRUISER (J90)/PRADO 1996-2003  СТ ПЕР ДВ ОП ЛВ СЗЛ+ФИТ</t>
  </si>
  <si>
    <t>6980609</t>
  </si>
  <si>
    <t>TOYOTA LANDCRUISER (J90)/PRADO 1996-2003  СТ ЗАДН ДВ ОП ЛВ СЗЛ</t>
  </si>
  <si>
    <t>6992434</t>
  </si>
  <si>
    <t>TOYOTA LANDCRUISER (J90)/PRADO 5Д 1996-2003  СТ ЗАДН ДВ НЕП ЛВ СЗЛ</t>
  </si>
  <si>
    <t>6980061</t>
  </si>
  <si>
    <t>TOYOTA LANDCRUISER (J90)/PRADO 1996-2003  СТ ПЕР ДВ ОП ПР СЗЛ+ФИТ</t>
  </si>
  <si>
    <t>6980610</t>
  </si>
  <si>
    <t>TOYOTA LANDCRUISER (J90)/PRADO 1996-2003  СТ ЗАДН ДВ ОП ПР СЗЛ</t>
  </si>
  <si>
    <t>6992435</t>
  </si>
  <si>
    <t>TOYOTA LANDCRUISER (J90)/PRADO 1996-2003  СТ ФОРТ ЗАДН НЕП ПР СЗЛ</t>
  </si>
  <si>
    <t>LANDCRUISER (J100) 05.1998-2007</t>
  </si>
  <si>
    <t>6963270</t>
  </si>
  <si>
    <t>TOYOTA LANDCRUISER (J100) 05.1998-2007/ LEXUS 470 СТ ВЕТР ЗЛЗЛ</t>
  </si>
  <si>
    <t>6962691</t>
  </si>
  <si>
    <t>TOYOTA LANDCRUISER (J100) 05.1998-2007/ LEXUS 470 СТ ВЕТР ЗЛЗЛ+ДД+VIN</t>
  </si>
  <si>
    <t>6962692</t>
  </si>
  <si>
    <t>TOYOTA LANDCRUISER (J100) 05.1998-2007/ LEXUS 470 СТ ВЕТР ЗЛЗЛ+VIN</t>
  </si>
  <si>
    <t>6100619</t>
  </si>
  <si>
    <t>TOYOTA LANDCRUISER (J100) 05.1998-2007 МОЛД  ДЛЯ СТ ВЕТР ВЕРХ</t>
  </si>
  <si>
    <t>6998675</t>
  </si>
  <si>
    <t>TOYOTA LANDCRUISER (J100) 05.1998-2007- СТ ЗАДН ЗЛ</t>
  </si>
  <si>
    <t>6994259</t>
  </si>
  <si>
    <t>TOYOTA LANDCRUISER (J100) 05.1998-2007 СТ ПЕР ДВ ОП ЛВ ЗЛ+УО</t>
  </si>
  <si>
    <t>6994260</t>
  </si>
  <si>
    <t>TOYOTA LANDCRUISER (J100) 05.1998-2007 СТ ЗАДН ДВ ОП ЛВ ЗЛ</t>
  </si>
  <si>
    <t>6994261</t>
  </si>
  <si>
    <t>TOYOTA LANDCRUISER (J100) 05.1998-2007 СТ ФОРТ ЗАДН НЕП ЛВ ЗЛ</t>
  </si>
  <si>
    <t>6994262</t>
  </si>
  <si>
    <t>TOYOTA LANDCRUISER (J100) 05.1998-2007 СТ ПЕР ДВ ОП ПР ЗЛ+УО</t>
  </si>
  <si>
    <t>6994263</t>
  </si>
  <si>
    <t>TOYOTA LANDCRUISER (J100) 05.1998-2007 СТ ЗАДН ДВ ОП ПР ЗЛ</t>
  </si>
  <si>
    <t>6994264</t>
  </si>
  <si>
    <t>TOYOTA LANDCRUISER (J100) 05.1998-2007 СТ ФОРТ ЗАДН НЕП ПР ЗЛ</t>
  </si>
  <si>
    <t>LANDCRUISER (J120) PRADO 3/5Д 2003-</t>
  </si>
  <si>
    <t>6950144</t>
  </si>
  <si>
    <t>TOYOTA LEXUS GX470 2003- СТ ВЕТР ЗЛ</t>
  </si>
  <si>
    <t>6961093</t>
  </si>
  <si>
    <t>TOYOTA LEXUS GX470 2003- СТ ВЕТР ЗЛЗЛ</t>
  </si>
  <si>
    <t>6961804</t>
  </si>
  <si>
    <t>TOYOTA LANDCRUISER (120) PRADO 3/5Д 2003- СТ ВЕТР ЗЛ+VIN</t>
  </si>
  <si>
    <t>6961260</t>
  </si>
  <si>
    <t>TOYOTA LANDCRUISER (120) PRADO 3/5Д 2003- СТ ВЕТР ЗЛЗЛ+VIN</t>
  </si>
  <si>
    <t>TOYOTA LANDCRUISER (120) PRADO 3/5Д 2003- МОЛД  ДЛЯ СТ ВЕТР ВЕРХ</t>
  </si>
  <si>
    <t>TOYOTA LANDCRUISER (120) PRADO 3Д 2003- СТ ЗАДН ЗЛ+УО</t>
  </si>
  <si>
    <t>TOYOTA LANDCRUISER (120) PRADO 3Д 2003- СТ ЗАДН ЗЛ+УО+ИЗМ Р</t>
  </si>
  <si>
    <t>6900007</t>
  </si>
  <si>
    <t>TOYOTA LANDCRUISER (120) PRADO 3Д 2003- СТ ПЕР ДВ ОП ЛВ ЗЛ+ФИТ</t>
  </si>
  <si>
    <t>6995963</t>
  </si>
  <si>
    <t>TOYOTA LANDCRUISER (120) PRADO 5Д 2003- СТ ЗАДН ДВ ОП ЛВ ЗЛ</t>
  </si>
  <si>
    <t>6995965</t>
  </si>
  <si>
    <t>TOYOTA LANDCRUISER (120) PRADO 5Д 2003- СТ ФОРТ ЗАДН НЕП ЛВ ЗЛ</t>
  </si>
  <si>
    <t>6996375</t>
  </si>
  <si>
    <t>TOYOTA LANDCRUISER (120) PRADO 3Д 2003- СТ ПЕР ДВ ОП ПР ЗЛ+ФИТ</t>
  </si>
  <si>
    <t>6995964</t>
  </si>
  <si>
    <t>TOYOTA LANDCRUISER (120) PRADO 5Д 2003- СТ ЗАДН ДВ ОП ПР ЗЛ</t>
  </si>
  <si>
    <t>6995966</t>
  </si>
  <si>
    <t>TOYOTA LANDCRUISER (120) PRADO 5Д 2003- СТ ФОРТ ЗАДН НЕП ПР ЗЛ</t>
  </si>
  <si>
    <t>LANDCRUISER (J200) V8 2008-</t>
  </si>
  <si>
    <t>6963179</t>
  </si>
  <si>
    <t>TOYOTA LANDCRUISER (J200) V8 2008- СТ ВЕТР ЗЛЗЛ+VIN</t>
  </si>
  <si>
    <t>6963180</t>
  </si>
  <si>
    <t>TOYOTA LANDCRUISER (J200) V8 2008- СТ ВЕТР ЗЛЗЛ+ЭО+VIN</t>
  </si>
  <si>
    <t>6964664</t>
  </si>
  <si>
    <t>TOYOTA LANDCRUISER (J200) V8 2008- СТ ВЕТР ЗЛЗЛ+ЭО+ДД+VIN</t>
  </si>
  <si>
    <t>6102632</t>
  </si>
  <si>
    <t>TOYOTA LANDCRUISER (J200) V8 2008- МОЛД ДЛЯ СТ ВЕТР ВЕРХ</t>
  </si>
  <si>
    <t>LANDCRUISER PRADO 150 2009-</t>
  </si>
  <si>
    <t>6965494</t>
  </si>
  <si>
    <t>TOYOTA LANDCRUISER PRADO 150 2009- СТ ВЕТР ЗЛЗЛ+ЭО+ДД</t>
  </si>
  <si>
    <t>6965600</t>
  </si>
  <si>
    <t>TOYOTA LANDCRUISER PRADO 150 2009- СТ ВЕТР ЗЛ ЗЛ+ОБОГР+ДД+ИНК</t>
  </si>
  <si>
    <t>6965511</t>
  </si>
  <si>
    <t>TOYOTA LANDCRUISER PRADO 150 2009- СТ ВЕТР ЗЛЗЛ+VIN+ИНК</t>
  </si>
  <si>
    <t>6965599</t>
  </si>
  <si>
    <t>6965613</t>
  </si>
  <si>
    <t>TOYOTA LANDCRUISER PRADO 150 2009- СТ ВЕТР ЗЛЗЛ+АКУСТИК+ЭО+ИНК</t>
  </si>
  <si>
    <t>LITE-ACE (KM20) 1981-1985</t>
  </si>
  <si>
    <t>6963673</t>
  </si>
  <si>
    <t>TOYOTA LITE-ACE 1981-1985 СТ ВЕТР</t>
  </si>
  <si>
    <t>LITE-ACE (KM36) 1986-1992</t>
  </si>
  <si>
    <t>6960908</t>
  </si>
  <si>
    <t>TOYOTA LITE ACE (KM36) 1986-1992 СТ ВЕТР ГЛ</t>
  </si>
  <si>
    <t>6963518</t>
  </si>
  <si>
    <t>TOYOTA LITE ACE (KM36) 1986-1992 СТ ВЕТР</t>
  </si>
  <si>
    <t>LITE-ACE (YR30) 1992-1995</t>
  </si>
  <si>
    <t>6963589</t>
  </si>
  <si>
    <t>TOYOTA LITE-ACE (YR30) 1992-1995 СТ ВЕТР</t>
  </si>
  <si>
    <t>LUCIDA ESTIMA МИН 4Д 2006-</t>
  </si>
  <si>
    <t>6190561</t>
  </si>
  <si>
    <t>TOYOTA LUCIDA ESTIMA МИН 4Д 2006- СТ ПЕР ДВ ОП ЛВ ГЛ+УО/TOYOTA PREVIA 1990-  СТ ПЕР ДВ ОП ЛВ ГЛ ФИТ</t>
  </si>
  <si>
    <t>6190562</t>
  </si>
  <si>
    <t>TOYOTA LUCIDA ESTIMA МИН 4Д 2006- СТ ПЕР ДВ ОП ПР ГЛ+УО/TOYOTA PREVIA 1990-  СТ ПЕР ДВ ОП ПР ГЛ ФИТ</t>
  </si>
  <si>
    <t>MATRIX 5Д ХБ 2003-</t>
  </si>
  <si>
    <t>6963028</t>
  </si>
  <si>
    <t>TOYOTA MATRIX/PONTIAC VIBE 5Д ХБ 2003- СТ ВЕТР ЗЛ</t>
  </si>
  <si>
    <t>MR2 (AW11) 11.1984-06.1990</t>
  </si>
  <si>
    <t>6963676</t>
  </si>
  <si>
    <t>TOYOTA MR2 (AW11) 1985-1990 СТ ВЕТР ГЛ</t>
  </si>
  <si>
    <t>MR2 (SW20) КП 07.1990-1999</t>
  </si>
  <si>
    <t>6963769</t>
  </si>
  <si>
    <t>1990-1999</t>
  </si>
  <si>
    <t>TOYOTA MR2 (SW20) КП 07.1990-1999  СТ ВЕТР ГЛ</t>
  </si>
  <si>
    <t>6101001</t>
  </si>
  <si>
    <t>TOYOTA MR2 (SW20) КП 07.1990-1999  МОЛД  ДЛЯ СТ ВЕТР</t>
  </si>
  <si>
    <t>PASEO КП+КБ 1996-2000</t>
  </si>
  <si>
    <t>6963427</t>
  </si>
  <si>
    <t>TOYOTA PASEO КП+КБ 1996-2000 СТ ВЕТР СЗЛ</t>
  </si>
  <si>
    <t>6950253</t>
  </si>
  <si>
    <t>TOYOTA PASEO КП+КБ 1996-2000 СТ ВЕТР СЗЛГЛ</t>
  </si>
  <si>
    <t>6900008</t>
  </si>
  <si>
    <t>TOYOTA PASEO КП+КБ 1996-2000 СТ ПЕР ДВ ОП ЛВ СЗЛ+ФИТ</t>
  </si>
  <si>
    <t>PICNIC 1996-2001</t>
  </si>
  <si>
    <t>6963432</t>
  </si>
  <si>
    <t>TOYOTA PICNIC 1996-2001 СТ ВЕТР СЗЛ</t>
  </si>
  <si>
    <t>6961021</t>
  </si>
  <si>
    <t>TOYOTA PICNIC 1996-2001 СТ ВЕТР СЗЛГЛ</t>
  </si>
  <si>
    <t>6100227</t>
  </si>
  <si>
    <t>TOYOTA PICNIC 1996-2001 МОЛД  ДЛЯ СТ ВЕТР</t>
  </si>
  <si>
    <t>PREVIA LHD 2000-2005</t>
  </si>
  <si>
    <t>6961158</t>
  </si>
  <si>
    <t>TOYOTA PREVIA LHD 2000-2005 СТ ВЕТР ЗЛ</t>
  </si>
  <si>
    <t>6101478</t>
  </si>
  <si>
    <t>TOYOTA PREVIA LHD 2000-2005 МОЛД ДЛЯ СТ ВЕТР ВЕРХ</t>
  </si>
  <si>
    <t>6900198</t>
  </si>
  <si>
    <t>TOYOTA PREVIA LHD 2000-2005  СТ ЗАДН ДВ ОП ЛВ ЗЛ+УО</t>
  </si>
  <si>
    <t>6900096</t>
  </si>
  <si>
    <t>TOYOTA PREVIA LHD 2000-2005  СТ ПЕР ДВ ОП ПР ЗЛ+УО</t>
  </si>
  <si>
    <t>6900283</t>
  </si>
  <si>
    <t>TOYOTA PREVIA LHD 2000-2005  СТ ЗАДН ДВ ОП ПР ЗЛ+УО</t>
  </si>
  <si>
    <t>PREVIA I 09.1990-2000</t>
  </si>
  <si>
    <t>6963678</t>
  </si>
  <si>
    <t>1990-2000</t>
  </si>
  <si>
    <t>TOYOTA PREVIA I 09.1990-2000  СТ ВЕТР ГЛ</t>
  </si>
  <si>
    <t>6963679</t>
  </si>
  <si>
    <t>TOYOTA PREVIA I 09.1990-2000  СТ ВЕТР ГЛГЛ</t>
  </si>
  <si>
    <t>6100347</t>
  </si>
  <si>
    <t>TOYOTA PREVIA I 09.1990-2000  МОЛД  ДЛЯ СТ ВЕТР</t>
  </si>
  <si>
    <t>6998980</t>
  </si>
  <si>
    <t>TOYOTA PREVIA I МИН 09.1990-2000  СТ ЗАДН ЭО ГЛ</t>
  </si>
  <si>
    <t>6995859</t>
  </si>
  <si>
    <t>TOYOTA PREVIA I 09.1990-2000  СТ ПЕР ДВ ОП ЛВ ГЛ ФИТ/ TOYOTA LUCIDA ESTIMA VAN 4Д СТ ПЕР ДВ ОП ЛВ ГЛ+УО</t>
  </si>
  <si>
    <t>6995861</t>
  </si>
  <si>
    <t>TOYOTA PREVIA I 09.1990-2000  СТ ПЕР ДВ ОП ПР ГЛ ФИТ/ TOYOTA LUCIDA ESTIMA VAN 4Д СТ ПЕР ДВ ОП ПР ГЛ+УО</t>
  </si>
  <si>
    <t>PRIUS 2000-2003</t>
  </si>
  <si>
    <t>6960983</t>
  </si>
  <si>
    <t>TOYOTA PRIUS 2000-2003 СТ ВЕТР ЗЛ</t>
  </si>
  <si>
    <t>6102093</t>
  </si>
  <si>
    <t>TOYOTA PRIUS 2000-2003 МОЛД  ДЛЯ СТ ВЕТР</t>
  </si>
  <si>
    <t>PRIUS 5Д ХБ 2003-</t>
  </si>
  <si>
    <t>6961129</t>
  </si>
  <si>
    <t>TOYOTA PRIUS 5Д ХБ 2003- СТ ВЕТР ЗЛ</t>
  </si>
  <si>
    <t>6101479</t>
  </si>
  <si>
    <t>TOYOTA PRIUS 5Д ХБ 2003- МОЛД  ДЛЯ СТ ВЕТР ВЕРХ</t>
  </si>
  <si>
    <t>4-RUNNER/HI-LUX 1989-1996</t>
  </si>
  <si>
    <t>6964420</t>
  </si>
  <si>
    <t>TOYOTA 4 RUNNER 1989-1996  СТ ВЕТР ГЛ</t>
  </si>
  <si>
    <t>6963588</t>
  </si>
  <si>
    <t>TOYOTA 4 RUNNER 1989-1996  СТ ВЕТР ГЛГЛ</t>
  </si>
  <si>
    <t>6101813</t>
  </si>
  <si>
    <t>TOYOTA 4 RUNNER 1988-1996  НАБ КЛИПС ДЛЯ СТ ВЕТР</t>
  </si>
  <si>
    <t>6101071</t>
  </si>
  <si>
    <t>TOYOTA 4 RUNNER 1989-1996  МОЛД  ДЛЯ СТ ВЕТР</t>
  </si>
  <si>
    <t>6101814</t>
  </si>
  <si>
    <t>TOYOTA 4 RUNNER 1989-1996  МОЛД  ДЛЯ СТ ВЕТР ВЕРХ ХРОМ</t>
  </si>
  <si>
    <t>6999075</t>
  </si>
  <si>
    <t>TOYOTA 4-RUNNER 89- СТ ПЕР ДВ ОП ЛВ</t>
  </si>
  <si>
    <t>RAV-4 I 1994-2000</t>
  </si>
  <si>
    <t>6963424</t>
  </si>
  <si>
    <t>TOYOTA RAV-4 I 1994-2000  СТ ВЕТР ГЛ</t>
  </si>
  <si>
    <t>6969418</t>
  </si>
  <si>
    <t>TOYOTA RAV-4 I 1994-2000  СТ ВЕТР СЗЛ</t>
  </si>
  <si>
    <t>6964288</t>
  </si>
  <si>
    <t>TOYOTA RAV-4 I 1994-2000  СТ ВЕТР СЗЛГЛ</t>
  </si>
  <si>
    <t>6963919</t>
  </si>
  <si>
    <t>TOYOTA RAV-4 I 1994-2000  СТ ВЕТР СЗЛЗЛ</t>
  </si>
  <si>
    <t>6100314</t>
  </si>
  <si>
    <t>TOYOTA RAV-4 I 1994-2000 02/97 МОЛД  ДЛЯ СТ ВЕТР</t>
  </si>
  <si>
    <t>6102167</t>
  </si>
  <si>
    <t>TOYOTA RAV-4 02/1997-2000 МОЛД ДЛЯ СТ ВЕТР</t>
  </si>
  <si>
    <t>6999923</t>
  </si>
  <si>
    <t>TOYOTA RAV-4 I ВН 1994-2000  СТ ЗАДН СЗЛ</t>
  </si>
  <si>
    <t>6992516</t>
  </si>
  <si>
    <t>TOYOTA RAV-4 I 3Д 1994-2000 СТ ПЕР ДВ ОП ЛВ+УО</t>
  </si>
  <si>
    <t>6900009</t>
  </si>
  <si>
    <t>TOYOTA RAV-4 I 5Д 1994-2000 СТ ПЕР ДВ ОП ЛВ СЗЛ+ФИТ</t>
  </si>
  <si>
    <t>6900199</t>
  </si>
  <si>
    <t>TOYOTA RAV-4 I 5Д 1994-2000 СТ ЗАДН ДВ ОП ЛВ СЗЛ</t>
  </si>
  <si>
    <t>6980607</t>
  </si>
  <si>
    <t>TOYOTA RAV-4 I 5Д 1994-2000 СТ ФОРТ ЗАДН НЕП ЛВ СЗЛ</t>
  </si>
  <si>
    <t>6992517</t>
  </si>
  <si>
    <t>TOYOTA RAV-4 I 3Д 1994-2000 СТ ПЕР ДВ ОП ПР+УО</t>
  </si>
  <si>
    <t>6900097</t>
  </si>
  <si>
    <t>TOYOTA RAV-4 I 5Д 1994-2000 СТ ПЕР ДВ ОП ПР СЗЛ+ФИТ</t>
  </si>
  <si>
    <t>6900284</t>
  </si>
  <si>
    <t>TOYOTA RAV-4 I 5Д 1994-2000 СТ ЗАДН ДВ ОП ПР СЗЛ</t>
  </si>
  <si>
    <t>6980608</t>
  </si>
  <si>
    <t>TOYOTA RAV-4 I 5Д 1994-2000 СТ ЗАДН ДВ НЕП ПР СЗЛ</t>
  </si>
  <si>
    <t>RAV-4 II 2000-2006</t>
  </si>
  <si>
    <t>6960693</t>
  </si>
  <si>
    <t>TOYOTA RAV-4 II 2000-2006 СТ ВЕТР ЗЛ</t>
  </si>
  <si>
    <t>6961176</t>
  </si>
  <si>
    <t>TOYOTA RAV-4 II 2000-2006 СТ ВЕТР ЗЛ+ИЗМ SS</t>
  </si>
  <si>
    <t>6964828</t>
  </si>
  <si>
    <t>TOYOTA RAV-4 II 7/2000-2003 СТ ВЕТР ЗЛГЛ</t>
  </si>
  <si>
    <t>6962057</t>
  </si>
  <si>
    <t>TOYOTA RAV-4 II 2000-2006  СТ ВЕТР ЗЛГЛ</t>
  </si>
  <si>
    <t>6950146</t>
  </si>
  <si>
    <t>TOYOTA RAV-4 II 7/2000-2006 СТ ВЕТР ЗЛЗЛ</t>
  </si>
  <si>
    <t>6962715</t>
  </si>
  <si>
    <t>TOYOTA RAV-4 II 5Д 2000-2006 СТ ВЕТР ЗЛЗЛ</t>
  </si>
  <si>
    <t>6962959</t>
  </si>
  <si>
    <t>TOYOTA RAV-4 II 2000-2006  СТ ВЕТР ЗЛ+VIN</t>
  </si>
  <si>
    <t>6961177</t>
  </si>
  <si>
    <t>TOYOTA RAV-4 II 2003-2006 СТ ВЕТР ЗЛ VIN+ИЗМ ШЕЛК</t>
  </si>
  <si>
    <t>6100621</t>
  </si>
  <si>
    <t>TOYOTA RAV-4 II 2000-2006 МОЛД  ДЛЯ СТ ВЕТР ВЕРХ</t>
  </si>
  <si>
    <t>6992783</t>
  </si>
  <si>
    <t>TOYOTA RAV-4 II ВН 2000-2006 СТ ЗАДН ЗЛ+СТОП</t>
  </si>
  <si>
    <t>6993157</t>
  </si>
  <si>
    <t>TOYOTA RAV-4 II 3Д 2000-2006  СТ ПЕР ДВ ОП ЛВ ЗЛ+ФИТ</t>
  </si>
  <si>
    <t>6992784</t>
  </si>
  <si>
    <t>TOYOTA RAV-4 II 5Д 2000-2006 СТ ПЕР ДВ ОП ЛВ ЗЛ+УО</t>
  </si>
  <si>
    <t>6980157</t>
  </si>
  <si>
    <t>TOYOTA RAV-4 II 5Д 2000-2006  СТ ЗАДН ДВ ОП ЛВ ЗЛ</t>
  </si>
  <si>
    <t>6992622</t>
  </si>
  <si>
    <t>TOYOTA RAV-4 II 5Д 2000-2006 СТ ЗАДН ДВ НЕП ЛВ ЗЛ</t>
  </si>
  <si>
    <t>6993158</t>
  </si>
  <si>
    <t>TOYOTA RAV-4 II 3Д 2000-2006  СТ ПЕР ДВ ОП ПР ЗЛ+ФИТ</t>
  </si>
  <si>
    <t>6992785</t>
  </si>
  <si>
    <t>TOYOTA RAV-4 II 5Д 2000-2006 СТ ПЕР ДВ ОП ПР ЗЛ+УО</t>
  </si>
  <si>
    <t>6980613</t>
  </si>
  <si>
    <t>TOYOTA RAV-4 II 5Д 2000-2006  СТ ЗАДН ДВ ОП ПР ЗЛ</t>
  </si>
  <si>
    <t>6992623</t>
  </si>
  <si>
    <t>TOYOTA RAV-4 II 5Д 2000-2006 СТ ЗАДН ДВ НЕП ПР ЗЛ</t>
  </si>
  <si>
    <t>RAV-4 III 2006-</t>
  </si>
  <si>
    <t>6962717</t>
  </si>
  <si>
    <t>TOYOTA RAV-4 III 2006- СТ ВЕТР ЗЛ+АКУСТИК+ЭО+ДД+УО</t>
  </si>
  <si>
    <t>6964673</t>
  </si>
  <si>
    <t>TOYOTA RAV-4 III 2006- СТ ВЕТР ЗЛ ЭО+VIN+ДД+УО</t>
  </si>
  <si>
    <t>6964674</t>
  </si>
  <si>
    <t>TOYOTA RAV-4 III 2006- СТ ВЕТР ЗЛ ЭО+VIN+УО</t>
  </si>
  <si>
    <t>6962716</t>
  </si>
  <si>
    <t>6961606</t>
  </si>
  <si>
    <t>TOYOTA RAV-4 III 2006- СТ ВЕТР ЗЛ+АКУСТИК+ДД+УО</t>
  </si>
  <si>
    <t>6961605</t>
  </si>
  <si>
    <t>TOYOTA RAV-4 III 2006- СТ ВЕТР ЗЛ+VIN+УО</t>
  </si>
  <si>
    <t>6901032</t>
  </si>
  <si>
    <t>TOYOTA RAV-4 III ВН 2006- СТ ЗАДН ЗЛ+АНТ+УО</t>
  </si>
  <si>
    <t>6900305</t>
  </si>
  <si>
    <t>TOYOTA RAV-4 III 2006- СТ ФОРТ ЗАДН НЕП ЛВ ЗЛ</t>
  </si>
  <si>
    <t>6900323</t>
  </si>
  <si>
    <t>TOYOTA RAV-4 III 2006- СТ ФОРТ ЗАДН НЕП ПР ЗЛ</t>
  </si>
  <si>
    <t>6901943</t>
  </si>
  <si>
    <t>TOYOTA RAV 4 06 СТ ЗАДН ДВ ОП ЛВ ЗЛ+УО</t>
  </si>
  <si>
    <t>6901941</t>
  </si>
  <si>
    <t>TOYOTA RAV 4 06 СТ ПЕР ДВ ОП ЛВ ЗЛ+УО</t>
  </si>
  <si>
    <t>6901940</t>
  </si>
  <si>
    <t>TOYOTA RAV 4 06 СТ ПЕР ДВ ОП ПР ЗЛ+УО</t>
  </si>
  <si>
    <t>6901942</t>
  </si>
  <si>
    <t>TOYOTA RAV 4 06 СТ ЗАДН ДВ ОП ПР ЗЛ+УО</t>
  </si>
  <si>
    <t>SEQUOIA 2001-</t>
  </si>
  <si>
    <t>6962972</t>
  </si>
  <si>
    <t>TOYOTA SEQUOIA 2001-  СТ ВЕТР ЗЛГЛ</t>
  </si>
  <si>
    <t>STARLET II (P7) 10.1984-12.1989</t>
  </si>
  <si>
    <t>6963585</t>
  </si>
  <si>
    <t>TOYOTA STARLET II (P7) 10.1984-12.1989 СТ ВЕТР ГЛ</t>
  </si>
  <si>
    <t>6963586</t>
  </si>
  <si>
    <t>TOYOTA STARLET II (P7) 10.1984-12.1989 СТ ВЕТР</t>
  </si>
  <si>
    <t>6996899</t>
  </si>
  <si>
    <t>TOYOTA STARLET II (P7) 10.1984-12.1989 СТ ПЕР ДВ ОП ЛВ ГЛ</t>
  </si>
  <si>
    <t>6900010</t>
  </si>
  <si>
    <t>TOYOTA STARLET II (P7) 10.1984-12.1989 СТ ПЕР ДВ ОП ЛВ</t>
  </si>
  <si>
    <t>6996900</t>
  </si>
  <si>
    <t>TOYOTA STARLET II (P7) 10.1984-12.1989 СТ ПЕР ДВ ОП ПР ГЛ</t>
  </si>
  <si>
    <t>STARLET III (P8) 12.1989-03.1996</t>
  </si>
  <si>
    <t>6969414</t>
  </si>
  <si>
    <t>TOYOTA STARLET III (P8) 12.1989-03.1996 СТ ВЕТР ГЛ</t>
  </si>
  <si>
    <t>6969413</t>
  </si>
  <si>
    <t>TOYOTA STARLET III (P8) 12.1989-03.1996 СТ ВЕТР</t>
  </si>
  <si>
    <t>6100348</t>
  </si>
  <si>
    <t>TOYOTA STARLET III (P8) 12.1989-03.1996 МОЛД  ДЛЯ СТ ВЕТР</t>
  </si>
  <si>
    <t>6992438</t>
  </si>
  <si>
    <t>TOYOTA STARLET III (P8) ХБ 12.1989-03.1996 СТ ЗАДН ГЛ</t>
  </si>
  <si>
    <t>6992439</t>
  </si>
  <si>
    <t>TOYOTA STARLET III (P8) ХБ 12.1989-03.1996 СТ ЗАДН</t>
  </si>
  <si>
    <t>STARLET IV (P9) 04.1996-03.1999</t>
  </si>
  <si>
    <t>6963428</t>
  </si>
  <si>
    <t>TOYOTA STARLET IV (P9) 3Д/5Д 1996-1999  СТ ВЕТР ЗЛ</t>
  </si>
  <si>
    <t>6100346</t>
  </si>
  <si>
    <t>TOYOTA STARLET IV (P9) 3Д/5Д 1996-1999  МОЛД  ДЛЯ СТ ВЕТР</t>
  </si>
  <si>
    <t>6992518</t>
  </si>
  <si>
    <t>TOYOTA STARLET IV (P9) 3Д/5Д ХБ 1996-1999 СТ ЗАДН ЗЛ</t>
  </si>
  <si>
    <t>6980160</t>
  </si>
  <si>
    <t>TOYOTA STARLET IV (P9) 3Д 1996-1999  СТ ПЕР ДВ ОП ЛВ ЗЛ+2ОТВ</t>
  </si>
  <si>
    <t>6995499</t>
  </si>
  <si>
    <t>TOYOTA STARLET IV (P9) 5Д 1996-1999  СТ ПЕР ДВ ОП ЛВ ЗЛ+2ОТВ</t>
  </si>
  <si>
    <t>6995501</t>
  </si>
  <si>
    <t>TOYOTA STARLET IV (P9) 5Д 1996-1999  СТ БОК НЕП ЛВ ЗЛ</t>
  </si>
  <si>
    <t>6993240</t>
  </si>
  <si>
    <t>TOYOTA STARLET IV (P9) 3Д 1996-1999 СТ ПЕР ДВ ОП ПР 2ОТВ ЗЛ</t>
  </si>
  <si>
    <t>6995502</t>
  </si>
  <si>
    <t>TOYOTA STARLET IV (P9) 5Д 1996-1999  СТ ПЕР ДВ ОП ПР ЗЛ+2ОТВ</t>
  </si>
  <si>
    <t>6995504</t>
  </si>
  <si>
    <t>TOYOTA STARLET IV (P9) 5Д 1996-1999  СТ БОК НЕП ПР ЗЛ</t>
  </si>
  <si>
    <t>SUPRA MA КП 01.1986-05.1993</t>
  </si>
  <si>
    <t>6963416</t>
  </si>
  <si>
    <t>TOYOTA SUPRA MA КП 01.1986-05.1993 СТ ВЕТР ГЛ</t>
  </si>
  <si>
    <t>TERCEL 1982-1987</t>
  </si>
  <si>
    <t>6963674</t>
  </si>
  <si>
    <t>TOYOTA TERCEL 1982-1987 СТ ВЕТР ГЛ</t>
  </si>
  <si>
    <t>YARIS 3Д+5Д 04.1999-2005</t>
  </si>
  <si>
    <t>6960657</t>
  </si>
  <si>
    <t>TOYOTA YARIS 3Д+5Д 04.1999-2005 (JAPANESE) СТ ВЕТР ЗЛ</t>
  </si>
  <si>
    <t>6960211</t>
  </si>
  <si>
    <t>TOYOTA YARIS 3Д+5Д 04.1999-2005 (EUROPEAN) СТ ВЕТР ЗЛ</t>
  </si>
  <si>
    <t>6961287</t>
  </si>
  <si>
    <t>TOYOTA YARIS 3Д+5Д 2003-2005 СТ ВЕТР ЗЛ</t>
  </si>
  <si>
    <t>6960694</t>
  </si>
  <si>
    <t>TOYOTA YARIS 3Д+5Д 04.1999-2005 СТ ВЕТР ЗЛ ГЛ</t>
  </si>
  <si>
    <t>6950011</t>
  </si>
  <si>
    <t>TOYOTA YARIS 3Д+5Д 04.1999-2005 СТ ВЕТР ЗЛЗЛ</t>
  </si>
  <si>
    <t>6100315</t>
  </si>
  <si>
    <t>TOYOTA YARIS 3Д+5Д 04.1999-2005 МОЛД  ДЛЯ СТ ВЕТР</t>
  </si>
  <si>
    <t>6993979</t>
  </si>
  <si>
    <t>TOYOTA YARIS 1999-2005 ХБ СТ ЗАДН ДВ ЗЛ+ИНК</t>
  </si>
  <si>
    <t>6992440</t>
  </si>
  <si>
    <t>TOYOTA YARIS 3Д 1999-2005 СТ ПЕР ДВ ОП ЛВ ЗЛ+УО</t>
  </si>
  <si>
    <t>6992445</t>
  </si>
  <si>
    <t>TOYOTA YARIS 3Д 1999-2005 СТ БОК ЛВ ЗЛ</t>
  </si>
  <si>
    <t>6990672</t>
  </si>
  <si>
    <t>TOYOTA YARIS 1999-2005 СТ ПЕР ДВ ОП ЛВ ЗЛ+УО</t>
  </si>
  <si>
    <t>6990673</t>
  </si>
  <si>
    <t>TOYOTA YARIS 5Д 1999-2005 СТ ЗАДН ДВ ОП ЛВ ЗЛ</t>
  </si>
  <si>
    <t>6990945</t>
  </si>
  <si>
    <t>TOYOTA YARIS 1999-2005 СТ ЗАДН ДВ НЕП ЛВ ЗЛ</t>
  </si>
  <si>
    <t>6992441</t>
  </si>
  <si>
    <t>TOYOTA YARIS 3Д 1999-2005 СТ ПЕР ДВ ОП ПР ЗЛ+УО</t>
  </si>
  <si>
    <t>6992444</t>
  </si>
  <si>
    <t>TOYOTA YARIS 3Д 1999-2005 СТ БОК ПР ЗЛ</t>
  </si>
  <si>
    <t>6990670</t>
  </si>
  <si>
    <t>TOYOTA YARIS 1999-2005 СТ ПЕР ДВ ОП ПР ЗЛ+УО</t>
  </si>
  <si>
    <t>6990671</t>
  </si>
  <si>
    <t>TOYOTA YARIS 5Д 1999-2005 СТ ЗАДН ДВ ОП ПР ЗЛ</t>
  </si>
  <si>
    <t>6990944</t>
  </si>
  <si>
    <t>TOYOTA YARIS 1999-2005 СТ ЗАДН ДВ НЕП ПР ЗЛ</t>
  </si>
  <si>
    <t>YARIS 3Д+5Д 2006-</t>
  </si>
  <si>
    <t>6961501</t>
  </si>
  <si>
    <t>TOYOTA YARIS 3Д+5Д 2006- СТ ВЕТР ЗЛ+УО</t>
  </si>
  <si>
    <t>6961730</t>
  </si>
  <si>
    <t>TOYOTA YARIS 3Д+5Д 2006- СТ ВЕТР ЗЛ+УО (кроншт. - европ. ориг.)</t>
  </si>
  <si>
    <t>6993388</t>
  </si>
  <si>
    <t>TOYOTA YARIS 3Д ХБ 2006- СТ ПЕР ДВ ОП ЛВ ЗЛ+УО</t>
  </si>
  <si>
    <t>6993382</t>
  </si>
  <si>
    <t>TOYOTA YARIS 3Д ХБ 2006- СТ БОК НЕП ПР ЗЛ</t>
  </si>
  <si>
    <t>6900464</t>
  </si>
  <si>
    <t>TOYOTA YARIS 5Д ХБ 2006- СТ ПЕР ДВ ОП ЛВ ЗЛ УО</t>
  </si>
  <si>
    <t>6992358</t>
  </si>
  <si>
    <t>TOYOTA YARIS 5Д ХБ 2006- СТ ЗАДН ДВ ОП ЛВ ТЗЛ УО</t>
  </si>
  <si>
    <t>6992360</t>
  </si>
  <si>
    <t>TOYOTA YARIS 5Д ХБ 2006- СТ ЗАДН ДВ НЕП ЛВ ЗЛ</t>
  </si>
  <si>
    <t>6997688</t>
  </si>
  <si>
    <t>TOYOTA YARIS 5Д ХБ 2006- СТ ФОРТ ЗАДН ЛВ</t>
  </si>
  <si>
    <t>6993389</t>
  </si>
  <si>
    <t>TOYOTA YARIS 3Д ХБ 2006- СТ ПЕР ДВ ОП ПР ЗЛ+УО</t>
  </si>
  <si>
    <t>6993383</t>
  </si>
  <si>
    <t>TOYOTA YARIS 3Д ХБ 2006- СТ БОК НЕП ЛВ ЗЛ</t>
  </si>
  <si>
    <t>6900465</t>
  </si>
  <si>
    <t>TOYOTA YARIS 5Д ХБ 2006- СТ ПЕР ДВ ОП ПР ЗЛ+УО</t>
  </si>
  <si>
    <t>6992359</t>
  </si>
  <si>
    <t>TOYOTA YARIS 5Д ХБ 2006- СТ ЗАДН ДВ ОП ПР ЗЛ+УО</t>
  </si>
  <si>
    <t>6992361</t>
  </si>
  <si>
    <t>TOYOTA YARIS 5Д ХБ 2006- СТ ЗАДН ДВ НЕП ПР ЗЛ</t>
  </si>
  <si>
    <t>6997689</t>
  </si>
  <si>
    <t>TOYOTA YARIS 5Д ХБ 2006- СТ ФОРТ ЗАДН ПР</t>
  </si>
  <si>
    <t>YARIS VERSO 1999-2002</t>
  </si>
  <si>
    <t>6960695</t>
  </si>
  <si>
    <t>TOYOTA YARIS VERSO 1999-2002 СТ ВЕТР ЗЛ/ TOYOTA YARIS VERSO 2000-2002 СТ ВЕТР ЗЛ</t>
  </si>
  <si>
    <t>6961288</t>
  </si>
  <si>
    <t>TOYOTA YARIS VERSO 1999-2002 СТ ВЕТР ЗЛ+ИЗМ КР/ TOYOTA YARIS VERSO 2000-2003 СТ ВЕТР ЗЛ</t>
  </si>
  <si>
    <t>6100316</t>
  </si>
  <si>
    <t>TOYOTA YARIS VERSO 1999-2002  МОЛД  ДЛЯ СТ ВЕТР</t>
  </si>
  <si>
    <t>6980357</t>
  </si>
  <si>
    <t>TOYOTA YARIS VERSO МИН 1999-2002 СТ ЗАДН ЗЛ</t>
  </si>
  <si>
    <t>6992443</t>
  </si>
  <si>
    <t>TOYOTA YARIS VERSO 1999-2002 СТ ПЕР ДВ ОП ЛВ ЗЛ+УО</t>
  </si>
  <si>
    <t>6992449</t>
  </si>
  <si>
    <t>TOYOTA YARIS VERSO 1999-2002 СТ ЗАДН ДВ ОП ЛВ ЗЛ+УО</t>
  </si>
  <si>
    <t>6992447</t>
  </si>
  <si>
    <t>TOYOTA YARIS VERSO 1999-2002 СТ БОК ЛВ ЗЛ</t>
  </si>
  <si>
    <t>6992442</t>
  </si>
  <si>
    <t>TOYOTA YARIS VERSO 1999-2002 СТ ПЕР ДВ ОП ПР ЗЛ+УО</t>
  </si>
  <si>
    <t>6992448</t>
  </si>
  <si>
    <t>TOYOTA YARIS VERSO 1999-2002 СТ ЗАДН ДВ ОП ПР ЗЛ+УО</t>
  </si>
  <si>
    <t>6992446</t>
  </si>
  <si>
    <t>TOYOTA YARIS VERSO 1999-2002 СТ БОК ПР ЗЛ</t>
  </si>
  <si>
    <t>6962720</t>
  </si>
  <si>
    <t>TOYOTA YARIS VERSO 1999-2002 СТ ВЕТР ЗЛ/TOYOTA YARIS VERSO ЛВРУЛЬ 1999-2002 СТ ВЕТР ЗЛ</t>
  </si>
  <si>
    <t>6962721</t>
  </si>
  <si>
    <t>TOYOTA YARIS VERSO 1999-2002 СТ ВЕТР ЗЛ/TOYOTA YARIS VERSO ЛВРУЛЬ 1999-2002 СТ ВЕТР ЗЛ+ИЗМ КР</t>
  </si>
  <si>
    <t>VOLKSWAGEN</t>
  </si>
  <si>
    <t>AMAROK 2010- PU</t>
  </si>
  <si>
    <t>6965481</t>
  </si>
  <si>
    <t>VOLKSWAGEN AMAROK 2010 PU СТ ВЕТР ЗЛ+VIN+ДО</t>
  </si>
  <si>
    <t>BEETLE 1303 1972-1977</t>
  </si>
  <si>
    <t>6963682</t>
  </si>
  <si>
    <t>1972-1977</t>
  </si>
  <si>
    <t>VOLKSWAGEN BEETLE 1303 1972-1977 СТ ВЕТР</t>
  </si>
  <si>
    <t>6101076</t>
  </si>
  <si>
    <t>VOLKSWAGEN BEETLE 1303 1972-1977 РЕЗ ПРОФ ДЛЯ СТ ВЕТР</t>
  </si>
  <si>
    <t>BEETLE 1964-1968</t>
  </si>
  <si>
    <t>6963594</t>
  </si>
  <si>
    <t>1964-1968</t>
  </si>
  <si>
    <t>VOLKSWAGEN BEETLE 1964-1968 СТ ВЕТР</t>
  </si>
  <si>
    <t>6101105</t>
  </si>
  <si>
    <t>VOLKSWAGEN BEETLE 1964-1968 РЕЗ ПРОФ ДЛЯ СТ ВЕТР</t>
  </si>
  <si>
    <t>BEETLE NEW 1997-2003</t>
  </si>
  <si>
    <t>6960619</t>
  </si>
  <si>
    <t>VOLKSWAGEN NEW BEETLE 1997-2003  СТ ВЕТР ЗЛСР+ИНК</t>
  </si>
  <si>
    <t>6998840</t>
  </si>
  <si>
    <t>VOLKSWAGEN NEW BEETLE СД 1997-2003  СТ ЗАДН ЗЛ+ИНК</t>
  </si>
  <si>
    <t>6994689</t>
  </si>
  <si>
    <t>VOLKSWAGEN NEW BEETLE 1997-2003  СТ ПЕР ДВ ОП ЛВ ЗЛ</t>
  </si>
  <si>
    <t>6994690</t>
  </si>
  <si>
    <t>VOLKSWAGEN NEW BEETLE 1997-2003  СТ ПЕР ДВ ОП ПР ЗЛ</t>
  </si>
  <si>
    <t>CADDY ПИ 1996-2004</t>
  </si>
  <si>
    <t>6190509</t>
  </si>
  <si>
    <t>VOLKSWAGEN CADDY ПИ 1996-2004  СТ ВЕТР КР/ SKODA FELICIA 1995-2004 СТ ВЕТР+ШЕЛК+КР</t>
  </si>
  <si>
    <t>6190510</t>
  </si>
  <si>
    <t>VOLKSWAGEN CADDY ПИ 1996-2004  СТ ВЕТР ЗЛ+КР/ SKODA FELICIA 1995-2004 СТ ВЕТР ЗЛ+ШЕЛК+КР</t>
  </si>
  <si>
    <t>6190511</t>
  </si>
  <si>
    <t>VOLKSWAGEN CADDY ПИ 1996-2004  СТ ВЕТР ЗЛГЛ+КР/ SKODA FELICIA 1995-2004 СТ ВЕТР ЗЛГЛ+ШЕЛК+КР</t>
  </si>
  <si>
    <t>6190512</t>
  </si>
  <si>
    <t>VOLKSWAGEN CADDY ПИ 1996-2004  СТ ПЕР ДВ ОП ЛВ/ SKODA FELICIA 1995-2004 СТ ПЕР ДВ ОП ЛВ</t>
  </si>
  <si>
    <t>6190513</t>
  </si>
  <si>
    <t>VOLKSWAGEN CADDY ПИ 1996-2004  СТ ПЕР ДВ ОП ЛВ ЗЛ/ SKODA FELICIA 1995-2004 СТ ПЕР ДВ ОП ЛВ ЗЛ</t>
  </si>
  <si>
    <t>6190514</t>
  </si>
  <si>
    <t>VOLKSWAGEN CADDY ПИ 1996-2004  СТ ПЕР ДВ ОП ПР/ SKODA FELICIA 1995-2004 СТ ПЕР ДВ ОП ПР</t>
  </si>
  <si>
    <t>6190515</t>
  </si>
  <si>
    <t>VOLKSWAGEN CADDY ПИ 1996-2004  СТ ПЕР ДВ ОП ПР ЗЛ/ SKODA FELICIA 1995-2004 СТ ПЕР ДВ ОП ПР ЗЛ</t>
  </si>
  <si>
    <t>CADDY 2004-</t>
  </si>
  <si>
    <t>6961360</t>
  </si>
  <si>
    <t>VOLKSWAGEN CADDY ПРРУЛЬ 2004- СТ ВЕТР ЗЛ GPS+ИНК+VIN</t>
  </si>
  <si>
    <t>6961357</t>
  </si>
  <si>
    <t>VOLKSWAGEN CADDY ЛВРУЛЬ 2004- СТ ВЕТР ЗЛ ТЗЛ+ИНК+АНТ</t>
  </si>
  <si>
    <t>6960759</t>
  </si>
  <si>
    <t>VOLKSWAGEN CADDY 2004-  СТ ВЕТР ПР СР ЗП GPS ПРРУЛЬ</t>
  </si>
  <si>
    <t>6960758</t>
  </si>
  <si>
    <t>VOLKSWAGEN CADDY 2004-  СТ ВЕТР ЛВ ЗЛСР+АНТ+VIN+ИНК</t>
  </si>
  <si>
    <t>6961298</t>
  </si>
  <si>
    <t>VOLKSWAGEN CADDY ПРРУЛЬ 2004- СТ ВЕТ ЗЛ АНТ+GPS+ИН+V</t>
  </si>
  <si>
    <t>6961297</t>
  </si>
  <si>
    <t>VOLKSWAGEN CADDY ПРРУЛЬ 2004- СТ ВЕТ ЗЛ АНТ+ИН+V</t>
  </si>
  <si>
    <t>6961190</t>
  </si>
  <si>
    <t>VOLKSWAGEN CADDY ЛВРУЛЬ 2004- СТ ВЕТ ЗЛ АНТ+GPS+ИНК+VIN</t>
  </si>
  <si>
    <t>6961862</t>
  </si>
  <si>
    <t>VOLKSWAGEN CADDY 2007- СТ ВЕТР ЗЛ+АНТ+ДД+VIN</t>
  </si>
  <si>
    <t>6961866</t>
  </si>
  <si>
    <t>VOLKSWAGEN CADDY 08/2007- СТ ВЕТР ЗЛ+ДД+VIN</t>
  </si>
  <si>
    <t>6961296</t>
  </si>
  <si>
    <t>VOLKSWAGEN CADDY ЛВРУЛЬ 2004- СТ ВЕТ ЗЛ АНТ+ИНК+VIN</t>
  </si>
  <si>
    <t>6960723</t>
  </si>
  <si>
    <t>VOLKSWAGEN CADDY 2004- СТ ВЕТР ПР СР ЗП GPS ПРРУЛЬ</t>
  </si>
  <si>
    <t>6960721</t>
  </si>
  <si>
    <t>VOLKSWAGEN CADDY 2004-  СТ ВЕТР ПР СР ЗП АНТ ПРРУЛЬ</t>
  </si>
  <si>
    <t>6960724</t>
  </si>
  <si>
    <t>VOLKSWAGEN CADDY ЛР 2004- СТ ВЕТ ЛВ ЗЛСР+ИНК+АНТ+GPS+VIN</t>
  </si>
  <si>
    <t>6960722</t>
  </si>
  <si>
    <t>VOLKSWAGEN CADDY 2004- СТ ВЕТР ЛВ ЗЛСР+АНТ+VIN+ИНК</t>
  </si>
  <si>
    <t>6960461</t>
  </si>
  <si>
    <t>VOLKSWAGEN CADDY 2004-  СТ ВЕТР ЗЛСР+VIN+ИНК</t>
  </si>
  <si>
    <t>6961295</t>
  </si>
  <si>
    <t>VOLKSWAGEN CADDY ЛВРУЛЬ 10/2005- СТ ВЕТР ЗЛ+VIN+ИНК</t>
  </si>
  <si>
    <t>6992401</t>
  </si>
  <si>
    <t>VOLKSWAGEN CADDY МИН 2004- СТ ЗАДН ЛВ ЭО ТЗЛ ЛВ+УО</t>
  </si>
  <si>
    <t>6992404</t>
  </si>
  <si>
    <t>VOLKSWAGEN CADDY МИН 2004- СТ ЗАДН ПР ЭО ТЗЛ ПР+УО+ИЗМ РАЗМ</t>
  </si>
  <si>
    <t>6991869</t>
  </si>
  <si>
    <t>VOLKSWAGEN CADDY МИН 2004- СТ ЗАДН ЛВ ЭО ЗЛ ЛВ+УО</t>
  </si>
  <si>
    <t>6992392</t>
  </si>
  <si>
    <t>VOLKSWAGEN CADDY МИН 2004- СТ ЗАДН ПР ЭО ЗЛ ПР+УО+ИЗМ РАЗМ</t>
  </si>
  <si>
    <t>6996565</t>
  </si>
  <si>
    <t>VOLKSWAGEN CADDY МИН 2004- СТ ЗАДН ЗЛ+VIN+УО</t>
  </si>
  <si>
    <t>6993693</t>
  </si>
  <si>
    <t>VOLKSWAGEN CADDY МИН 2004- СТ ЗАДН СР+ФИТ</t>
  </si>
  <si>
    <t>6996325</t>
  </si>
  <si>
    <t>VOLKSWAGEN CADDY 2004- СТ ПЕР ДВ ОП ЛВ ЗЛ</t>
  </si>
  <si>
    <t>6996326</t>
  </si>
  <si>
    <t>VOLKSWAGEN CADDY 2004- СТ БОК ПЕР НЕП ЛВ ЗЛ+ИНК</t>
  </si>
  <si>
    <t>6997425</t>
  </si>
  <si>
    <t>VOLKSWAGEN CADDY 2004- СТ СР ЗЛ ЛВ+УО</t>
  </si>
  <si>
    <t>6996327</t>
  </si>
  <si>
    <t>VOLKSWAGEN CADDY 2004- СТ ПЕР ДВ ОП ПР ЗЛ</t>
  </si>
  <si>
    <t>6996328</t>
  </si>
  <si>
    <t>VOLKSWAGEN CADDY 2004- СТ БОК ПЕР НЕП ПР ЗЛ+ИНК</t>
  </si>
  <si>
    <t>6997459</t>
  </si>
  <si>
    <t>VOLKSWAGEN CADDY 2004- СТ СР ЗЛ ПР+УО</t>
  </si>
  <si>
    <t>COMBI,T2 МИН+ПИ 1967-1979</t>
  </si>
  <si>
    <t>6963522</t>
  </si>
  <si>
    <t>1967-1979</t>
  </si>
  <si>
    <t>VOLKSWAGEN COMBI,T2 МИН+ПИ 1967-1979 СТ ВЕТР</t>
  </si>
  <si>
    <t>6100345</t>
  </si>
  <si>
    <t>VOLKSWAGEN COMBI,T2 МИН+ПИ 1967-1979 РЕЗ ПРОФ ДЛЯ СТ ВЕТР</t>
  </si>
  <si>
    <t>CORRADO 1987-1995</t>
  </si>
  <si>
    <t>6963599</t>
  </si>
  <si>
    <t>VOLKSWAGEN CORRADO 1987-1995 СТ ВЕТР ЗЛГЛ+КР</t>
  </si>
  <si>
    <t>6963719</t>
  </si>
  <si>
    <t>VOLKSWAGEN CORRADO 1987-1995 СТ ВЕТР ЗЛЗЛ</t>
  </si>
  <si>
    <t>6100239</t>
  </si>
  <si>
    <t>VOLKSWAGEN CORRADO 1987-1995  УСТ КОМПЛ ДЛЯ СТ ВЕТР</t>
  </si>
  <si>
    <t>FOX 2005-</t>
  </si>
  <si>
    <t>6961446</t>
  </si>
  <si>
    <t>VOLKSWAGEN FOX LHD 2005- СТ ВЕТР ЗЛ+АНТ+УО</t>
  </si>
  <si>
    <t>VOLKSWAGEN FOX LHD 2005- УСТ КОМПЛ ДЛЯ СТ ВЕТР</t>
  </si>
  <si>
    <t>GOLF I /JETTA/RABBIT 1974-1983</t>
  </si>
  <si>
    <t>6967402</t>
  </si>
  <si>
    <t>1974-1983</t>
  </si>
  <si>
    <t>VOLKSWAGEN GOLF/JETTA/RABBIT СД 1974-1983 СТ ВЕТР</t>
  </si>
  <si>
    <t>6967400</t>
  </si>
  <si>
    <t>VOLKSWAGEN GOLF/JETTA/RABBIT СД 1974-1983 СТ ВЕТР ЗЛ</t>
  </si>
  <si>
    <t>6967405</t>
  </si>
  <si>
    <t>VOLKSWAGEN GOLF/JETTA/RABBIT СД 1974-1983 СТ ВЕТР ЗЛГЛ</t>
  </si>
  <si>
    <t>6967404</t>
  </si>
  <si>
    <t>VOLKSWAGEN GOLF/JETTA/RABBIT СД 1974-1983 СТ ВЕТР ЗЛЗЛ</t>
  </si>
  <si>
    <t>6101265</t>
  </si>
  <si>
    <t>VOLKSWAGEN GOLF/JETTA/RABBIT СД 1974-1983 РЕЗ ПРОФ ДЛЯ СТ ВЕТР</t>
  </si>
  <si>
    <t>6996905</t>
  </si>
  <si>
    <t>VOLKSWAGEN GOLF/JETTA/RABBIT СД 1974-1983 СТ ФОРТ ПЕР ДВ ЛВ ЗЛ</t>
  </si>
  <si>
    <t>GOLF II/JETTA 1983-1991</t>
  </si>
  <si>
    <t>6967409</t>
  </si>
  <si>
    <t>VOLKSWAGEN GOLF II/JETTA 1983-1991 СТ ВЕТР</t>
  </si>
  <si>
    <t>6967410</t>
  </si>
  <si>
    <t>VOLKSWAGEN GOLF II/JETTA 1983-1991 СТ ВЕТР ЗЛ</t>
  </si>
  <si>
    <t>6967406</t>
  </si>
  <si>
    <t>VOLKSWAGEN GOLF II/JETTA 1983-1991 СТ ВЕТР ЗЛГЛ</t>
  </si>
  <si>
    <t>6967411</t>
  </si>
  <si>
    <t>VOLKSWAGEN GOLF II/JETTA 1983-1991 СТ ВЕТР ЗЛЗЛ</t>
  </si>
  <si>
    <t>6101288</t>
  </si>
  <si>
    <t>VOLKSWAGEN GOLF II/JETTA 1983-1991 РЕЗ ПРОФ ДЛЯ СТ ВЕТР</t>
  </si>
  <si>
    <t>6998526</t>
  </si>
  <si>
    <t>VOLKSWAGEN GOLF II/JETTA ХБ 1983-1991 СТ ЗАДН ЭО</t>
  </si>
  <si>
    <t>6997320</t>
  </si>
  <si>
    <t>VOLKSWAGEN GOLF II/JETTA ХБ 1983-1991 СТ ЗАДН ДВ +3ОТВ</t>
  </si>
  <si>
    <t>6997321</t>
  </si>
  <si>
    <t>VOLKSWAGEN GOLF II/JETTA СД 1983-1991 СТ ЗАДН</t>
  </si>
  <si>
    <t>6990675</t>
  </si>
  <si>
    <t>VOLKSWAGEN GOLF II/JETTA ХБ 1983-1991 СТ ЗАДН ЭО ЗЛ</t>
  </si>
  <si>
    <t>6990682</t>
  </si>
  <si>
    <t>VOLKSWAGEN GOLF II/JETTA ХБ 1983-1991 СТ ЗАДН ЭО ЗЛ+3 ОТВ</t>
  </si>
  <si>
    <t>6998985</t>
  </si>
  <si>
    <t>VOLKSWAGEN GOLF II/JETTA СД 1983-1991 СТ ЗАДН ЭО ЗЛ</t>
  </si>
  <si>
    <t>6100342</t>
  </si>
  <si>
    <t>VOLKSWAGEN GOLF II/JETTA ХБ 1983-1991 РЕЗ ПРОФ ДЛЯ СТ ЗАДН</t>
  </si>
  <si>
    <t>6999008</t>
  </si>
  <si>
    <t>VOLKSWAGEN GOLF II/JETTA ХБ 3Д 1983-1991 СТ ПЕР ДВ ОП ЛВ</t>
  </si>
  <si>
    <t>6999004</t>
  </si>
  <si>
    <t>6996920</t>
  </si>
  <si>
    <t>VOLKSWAGEN GOLF II/JETTA ХБ 3Д 1983-1991 СТ БОК ЛВ</t>
  </si>
  <si>
    <t>6999018</t>
  </si>
  <si>
    <t>VOLKSWAGEN GOLF II/JETTA ХБ 5Д 1983-1991 СТ ПЕР ДВ ОП ЛВ</t>
  </si>
  <si>
    <t>6999014</t>
  </si>
  <si>
    <t>6996921</t>
  </si>
  <si>
    <t>VOLKSWAGEN GOLF II/JETTA ХБ 5Д 1983-1991 СТ ЗАДН ДВ ОП ЛВ</t>
  </si>
  <si>
    <t>6996922</t>
  </si>
  <si>
    <t>VOLKSWAGEN GOLF II/JETTA ХБ 5Д 1983-1991 СТ БОК НЕП ЛВ</t>
  </si>
  <si>
    <t>6999006</t>
  </si>
  <si>
    <t>VOLKSWAGEN GOLF II/JETTA ХБ 3Д 1983-1991 СТ ПЕР ДВ ОП ЛВ ЗЛ</t>
  </si>
  <si>
    <t>6999002</t>
  </si>
  <si>
    <t>6996926</t>
  </si>
  <si>
    <t>VOLKSWAGEN GOLF II/JETTA ХБ 3Д 1983-1991 СТ БОК ЛВ ЗЛ</t>
  </si>
  <si>
    <t>6999016</t>
  </si>
  <si>
    <t>VOLKSWAGEN GOLF II/JETTA ХБ 5Д 1983-1991 СТ ПЕР ДВ ОП ЛВ ЗЛ</t>
  </si>
  <si>
    <t>6996927</t>
  </si>
  <si>
    <t>VOLKSWAGEN GOLF II/JETTA ХБ 5Д 1983-1991 СТ ЗАДН ДВ ОП ЛВ ЗЛ</t>
  </si>
  <si>
    <t>6999103</t>
  </si>
  <si>
    <t>VOLKSWAGEN GOLF II/JETTA ХБ 5Д 1983-1991 СТ БОК НЕП ЛВ ЗЛ</t>
  </si>
  <si>
    <t>6999007</t>
  </si>
  <si>
    <t>VOLKSWAGEN GOLF II/JETTA ХБ 3Д 1983-1991 СТ ПЕР ДВ ОП ПР</t>
  </si>
  <si>
    <t>6999003</t>
  </si>
  <si>
    <t>6996923</t>
  </si>
  <si>
    <t>VOLKSWAGEN GOLF II/JETTA ХБ 3Д 1983-1991 СТ БОК ПР</t>
  </si>
  <si>
    <t>6999017</t>
  </si>
  <si>
    <t>VOLKSWAGEN GOLF II/JETTA ХБ 5Д 1983-1991 СТ ПЕР ДВ ОП ПР</t>
  </si>
  <si>
    <t>6999013</t>
  </si>
  <si>
    <t>6996924</t>
  </si>
  <si>
    <t>VOLKSWAGEN GOLF II/JETTA ХБ 5Д 1983-1991 СТ ЗАДН ДВ ОП ПР</t>
  </si>
  <si>
    <t>6996925</t>
  </si>
  <si>
    <t>VOLKSWAGEN GOLF II/JETTA ХБ 5Д 1983-1991 СТ БОК НЕП ПР</t>
  </si>
  <si>
    <t>6999005</t>
  </si>
  <si>
    <t>VOLKSWAGEN GOLF II/JETTA ХБ 3Д 1983-1991 СТ ПЕР ДВ ОП ПР ЗЛ</t>
  </si>
  <si>
    <t>6999001</t>
  </si>
  <si>
    <t>6996928</t>
  </si>
  <si>
    <t>VOLKSWAGEN GOLF II/JETTA ХБ 3Д 1983-1991 СТ БОК ПР ЗЛ</t>
  </si>
  <si>
    <t>6999019</t>
  </si>
  <si>
    <t>VOLKSWAGEN GOLF II/JETTA ХБ 5Д 1983-1991 СТ ПЕР ДВ ОП ПР ЗЛ</t>
  </si>
  <si>
    <t>6999015</t>
  </si>
  <si>
    <t>6996929</t>
  </si>
  <si>
    <t>VOLKSWAGEN GOLF II/JETTA ХБ 5Д 1983-1991 СТ ЗАДН ДВ ОП ПР ЗЛ</t>
  </si>
  <si>
    <t>6999102</t>
  </si>
  <si>
    <t>VOLKSWAGEN GOLF II/JETTA ХБ 5Д 1983-1991 СТ БОК НЕП ПР ЗЛ</t>
  </si>
  <si>
    <t>GOLF III КБ 1993-1994</t>
  </si>
  <si>
    <t>6963355</t>
  </si>
  <si>
    <t>1993-1994</t>
  </si>
  <si>
    <t>VOLKSWAGEN GOLF III КБ 1993-1994  СТ ВЕТР ЗЛЗЛ+ИНК</t>
  </si>
  <si>
    <t>6102187</t>
  </si>
  <si>
    <t>VOLKSWAGEN GOLF III КБ 1993-1994  УСТ КОМПЛ ДЛЯ СТ ВЕТР</t>
  </si>
  <si>
    <t>6994669</t>
  </si>
  <si>
    <t>VOLKSWAGEN GOLF III КБ 1993-1994  СТ ПЕР ДВ ОП ЛВ ЗЛ</t>
  </si>
  <si>
    <t>GOLF III/VENTO 1991-1996</t>
  </si>
  <si>
    <t>6967421</t>
  </si>
  <si>
    <t>VOLKSWAGEN GOLF III/VENTO 1991-08/1994 СТ ВЕТР ИНК</t>
  </si>
  <si>
    <t>6967431</t>
  </si>
  <si>
    <t>VOLKSWAGEN GOLF III/VENTO 08/1994-1997 СТ ВЕТР ИНК+ИЗМ КР</t>
  </si>
  <si>
    <t>6967426</t>
  </si>
  <si>
    <t>VOLKSWAGEN GOLF III/VENTO 08/1994-1997 СТ ВЕТ ЗЛГЛ ИНК</t>
  </si>
  <si>
    <t>6963720</t>
  </si>
  <si>
    <t>VOLKSWAGEN GOLF III/VENTO 08/1994-1997 СТ ВЕТР ЗЛГЛ ИНК+ИЗКР</t>
  </si>
  <si>
    <t>6967425</t>
  </si>
  <si>
    <t>VOLKSWAGEN GOLF III/VENTO 08/1994-1997 СТ ВЕТ ЗЛЗЛ ИНК</t>
  </si>
  <si>
    <t>6963721</t>
  </si>
  <si>
    <t>VOLKSWAGEN GOLF III/VENTO 08/1994-1997 СТ ВЕТ ЗЛЗЛ ИНК+ИЗКР</t>
  </si>
  <si>
    <t>6967422</t>
  </si>
  <si>
    <t>VOLKSWAGEN GOLF III/VENTO 08/1994-1997 СТ ВЕТ ЗЛ ИНК</t>
  </si>
  <si>
    <t>6967432</t>
  </si>
  <si>
    <t>VOLKSWAGEN GOLF III/VENTO 08/1994-1997 СТ ВЕТР ЗЛ ИНК+ИЗКР</t>
  </si>
  <si>
    <t>6101289</t>
  </si>
  <si>
    <t>VOLKSWAGEN GOLF III/VENTO 08/1994-1997 НАБ КЛИПС ДЛЯ СТ ВЕТР</t>
  </si>
  <si>
    <t>6101286</t>
  </si>
  <si>
    <t>VOLKSWAGEN GOLF III/VENTO 1991-08/1994 МОЛД  ДЛЯ СТ ВЕТР ВЕРХ</t>
  </si>
  <si>
    <t>6999033</t>
  </si>
  <si>
    <t>VOLKSWAGEN GOLF III ХБ 1991-1997 СТ ЗАДН ЭО +ИНК</t>
  </si>
  <si>
    <t>6998831</t>
  </si>
  <si>
    <t>VOLKSWAGEN GOLF III УН 1994-1997 СТ ЗАДН ЭО ЗЛ+ИНК+СТОП</t>
  </si>
  <si>
    <t>6998832</t>
  </si>
  <si>
    <t>VOLKSWAGEN GOLF III УН 1994-1997 СТ ЗАДН ЭО ЗЛ+ИНК</t>
  </si>
  <si>
    <t>6998537</t>
  </si>
  <si>
    <t>1996-1997</t>
  </si>
  <si>
    <t>VOLKSWAGEN GOLF III ХБ 1996-1997 СТ ЗАДН ЭО ЗЛ+СТОП+ИНК</t>
  </si>
  <si>
    <t>6998538</t>
  </si>
  <si>
    <t>VOLKSWAGEN GOLF III ХБ 1996-1997 СТ ЗАДН ЭО ЗЛ+ИНК+3ОТВ+СТОП</t>
  </si>
  <si>
    <t>6999034</t>
  </si>
  <si>
    <t>VOLKSWAGEN GOLF III ХБ 1991-1997 СТ ЗАДН ЭО ЗЛ+ИНК</t>
  </si>
  <si>
    <t>6999048</t>
  </si>
  <si>
    <t>VOLKSWAGEN GOLF III ХБ 1991-1997 СТ ЗАДН ЭО ЗЛ 3 ОТВ+ИНК</t>
  </si>
  <si>
    <t>6995162</t>
  </si>
  <si>
    <t>VOLKSWAGEN GOLF III УН 1994-1997 СТ ЗАДН ДВ ОП ЛВ</t>
  </si>
  <si>
    <t>6999036</t>
  </si>
  <si>
    <t>VOLKSWAGEN GOLF III 3Д 1991-1997  СТ ПЕР ДВ ОП ЛВ</t>
  </si>
  <si>
    <t>6999027</t>
  </si>
  <si>
    <t>VOLKSWAGEN GOLF III 3Д 1991-1997 СТ БОК ЛВ +ИНК</t>
  </si>
  <si>
    <t>6999040</t>
  </si>
  <si>
    <t>VOLKSWAGEN GOLF III 5Д/VENTO 1991-1997 СТ ПЕР ДВ ОП ЛВ</t>
  </si>
  <si>
    <t>6999044</t>
  </si>
  <si>
    <t>VOLKSWAGEN GOLF III 5Д/VENTO 1991-1997 СТ ЗАДН ДВ ОП ЛВ</t>
  </si>
  <si>
    <t>6998511</t>
  </si>
  <si>
    <t>VOLKSWAGEN GOLF III 5Д/VENTO 1991-1997 СТ БОК НЕП ЛВ</t>
  </si>
  <si>
    <t>6995164</t>
  </si>
  <si>
    <t>VOLKSWAGEN GOLF III УН 1994-1997 СТ ЗАДН ДВ ОП ЛВ ЗЛ</t>
  </si>
  <si>
    <t>6994667</t>
  </si>
  <si>
    <t>VOLKSWAGEN GOLF III УН 1994-1997 СТ БОК ЛВ ЗЛ+ИНК</t>
  </si>
  <si>
    <t>6995884</t>
  </si>
  <si>
    <t>VOLKSWAGEN GOLF III УН 1994-1997 СТ БОК НЕП ЛВ ЗЛ</t>
  </si>
  <si>
    <t>6999038</t>
  </si>
  <si>
    <t>VOLKSWAGEN GOLF III 3Д 1991-1997 СТ ПЕР ДВ ОП ЛВ ЗЛ</t>
  </si>
  <si>
    <t>6999029</t>
  </si>
  <si>
    <t>VOLKSWAGEN GOLF III 3Д 1991-1997 СТ БОК ЛВ ЗЛ+ИНК</t>
  </si>
  <si>
    <t>6999042</t>
  </si>
  <si>
    <t>VOLKSWAGEN GOLF III 5Д+УН/VENTO 1991-1997 СТ ПЕР ДВ ОП ЛВ ЗЛ</t>
  </si>
  <si>
    <t>6999046</t>
  </si>
  <si>
    <t>VOLKSWAGEN GOLF III 5Д/VENTO 1991-1997 СТ ЗАДН ДВ ОП ЛВ ТЗЛ</t>
  </si>
  <si>
    <t>6998513</t>
  </si>
  <si>
    <t>VOLKSWAGEN GOLF III 5Д/VENTO 1991-1997 СТ БОК НЕП ЛВ ЗЛ</t>
  </si>
  <si>
    <t>6995161</t>
  </si>
  <si>
    <t>VOLKSWAGEN GOLF III УН 1994-1997 СТ ЗАДН ДВ ОП ПР</t>
  </si>
  <si>
    <t>6999037</t>
  </si>
  <si>
    <t>VOLKSWAGEN GOLF III 3Д 1991-1997  СТ ПЕР ДВ ОП ПР</t>
  </si>
  <si>
    <t>6999026</t>
  </si>
  <si>
    <t>VOLKSWAGEN GOLF III 3Д 1991-1997 СТ БОК ПР +ИНК</t>
  </si>
  <si>
    <t>6999041</t>
  </si>
  <si>
    <t>VOLKSWAGEN GOLF III 5Д/VENTO 1991-1997  СТ ПЕР ДВ ОП ПР</t>
  </si>
  <si>
    <t>6999045</t>
  </si>
  <si>
    <t>VOLKSWAGEN GOLF III 5Д/VENTO 1991-1997 СТ ЗАДН ДВ ОП ПР</t>
  </si>
  <si>
    <t>6998512</t>
  </si>
  <si>
    <t>VOLKSWAGEN GOLF III 5Д/VENTO 1991-1997  СТ БОК НЕП ПР</t>
  </si>
  <si>
    <t>6995163</t>
  </si>
  <si>
    <t>VOLKSWAGEN GOLF III УН 1994-1997  СТ ЗАДН ДВ ОП ПР ЗЛ</t>
  </si>
  <si>
    <t>6994668</t>
  </si>
  <si>
    <t>VOLKSWAGEN GOLF III УН 1994-1997  СТ БОК ПР ЗЛ+ИНК</t>
  </si>
  <si>
    <t>6995885</t>
  </si>
  <si>
    <t>VOLKSWAGEN GOLF III УН 1994-1997  СТ БОК НЕП ПР ЗЛ</t>
  </si>
  <si>
    <t>6999039</t>
  </si>
  <si>
    <t>VOLKSWAGEN GOLF III 3Д 1991-1997  СТ ПЕР ДВ ОП ПР ЗЛ</t>
  </si>
  <si>
    <t>6999028</t>
  </si>
  <si>
    <t>VOLKSWAGEN GOLF III 3Д 1991-1997  СТ БОК ПР ЗЛ+ИНК</t>
  </si>
  <si>
    <t>6999043</t>
  </si>
  <si>
    <t>VOLKSWAGEN GOLF III 5Д+УН/VENTO 1991-1997  СТ ПЕР ДВ ОП ПР ЗЛ</t>
  </si>
  <si>
    <t>6999047</t>
  </si>
  <si>
    <t>VOLKSWAGEN GOLF III 5Д/VENTO 1991-1997  СТ ЗАДН ДВ ОП ПР ЗЛ</t>
  </si>
  <si>
    <t>6998514</t>
  </si>
  <si>
    <t>VOLKSWAGEN GOLF III 5Д/VENTO 1991-1997 СТ БОК НЕП ПР ЗЛ</t>
  </si>
  <si>
    <t>GOLF IV 1997-2003/ BORA 1999- /VENTO</t>
  </si>
  <si>
    <t>6961082</t>
  </si>
  <si>
    <t>VOLKSWAGEN GOLF IV 1997-2003/ BORA 1999- /VENTO СТ ВЕТР ЗЛГЛ ИНК+VIN</t>
  </si>
  <si>
    <t>6967457</t>
  </si>
  <si>
    <t>VOLKSWAGEN GOLF IV 1997-2003/ BORA 1999- /VENTO СТ ВЕТР ЗЛЗЛ VIN ИНК</t>
  </si>
  <si>
    <t>6963863</t>
  </si>
  <si>
    <t>VOLKSWAGEN GOLF IV 1997-2003/ BORA 1999- /VENTO СТ ВЕТ ЗЛСР+ИНК+VIN+ДД</t>
  </si>
  <si>
    <t>6960928</t>
  </si>
  <si>
    <t>VOLKSWAGEN GOLF IV 1997-2003/ BORA 1999- /VENTO СТ ВЕТР ЗЛСР+ДД+ИНК</t>
  </si>
  <si>
    <t>6967458</t>
  </si>
  <si>
    <t>VOLKSWAGEN GOLF IV 1997-2003/ BORA 1999- /VENTO СТ ВЕТР ЗЛСР+VIN+ИНК</t>
  </si>
  <si>
    <t>6967461</t>
  </si>
  <si>
    <t>VOLKSWAGEN GOLF IV 1997-2003/ BORA 1999- /VENTO СТ ВЕТР ЗЛСР+ИНК</t>
  </si>
  <si>
    <t>6960441</t>
  </si>
  <si>
    <t>VOLKSWAGEN GOLF IV 1997-2003/ BORA 1999- /VENTO СТ ВЕТР ЗЛ VIN ДД+ИНК</t>
  </si>
  <si>
    <t>6960927</t>
  </si>
  <si>
    <t>VOLKSWAGEN GOLF IV 1997-2003/ BORA 1999- /VENTO СТ ВЕТР ЗЛ+ДД+ИНК</t>
  </si>
  <si>
    <t>6967456</t>
  </si>
  <si>
    <t>VOLKSWAGEN GOLF IV 1997-2003/ BORA 1999- /VENTO СТ ВЕТР ЗЛ+ИНК+VIN</t>
  </si>
  <si>
    <t>6967454</t>
  </si>
  <si>
    <t>VOLKSWAGEN GOLF IV 1997-2003/ BORA 1999- /VENTO СТ ВЕТР ЗЛ+ИНК</t>
  </si>
  <si>
    <t>6998931</t>
  </si>
  <si>
    <t>VOLKSWAGEN GOLF IV УН 1997-2003/ BORA 1999- /VENTO УН СТ ЗАДН ЗЛ+ИНК</t>
  </si>
  <si>
    <t>6999050</t>
  </si>
  <si>
    <t>VOLKSWAGEN GOLF IV ХБ 1997-2003/ BORA 1999- /VENTO ХБ СТ ЗАДН ДВ ЗЛ+СТОП+ИНК</t>
  </si>
  <si>
    <t>6994894</t>
  </si>
  <si>
    <t>VOLKSWAGEN GOLF IV СД 1997-2003/ BORA 1999- /VENTO СД СТ ЗАДН ЭО ЗЛ+ИНК+СТОП</t>
  </si>
  <si>
    <t>6990958</t>
  </si>
  <si>
    <t>VOLKSWAGEN GOLF IV 1997-2003/ BORA 1999- /VENTO УН СТ ЗАДН ДВ ОП ЛВ ГЛ+УО</t>
  </si>
  <si>
    <t>6990950</t>
  </si>
  <si>
    <t>VOLKSWAGEN GOLF IV 1997-2003/ BORA 1999- /VENTO ХБ 3Д СТ ПЕР ДВ ОП ЛВ ГЛ</t>
  </si>
  <si>
    <t>6990956</t>
  </si>
  <si>
    <t>VOLKSWAGEN GOLF IV 1997-2003/ BORA 1999- /VENTO ХБ 5Д СТ ЗАДН ДВ ОП ЛВ ГЛ</t>
  </si>
  <si>
    <t>6994899</t>
  </si>
  <si>
    <t>VOLKSWAGEN GOLF IV 1997-2003/ BORA 1999- /VENTO УН СТ ЗАДН ДВ ОП ЛВ ЗЛ ФИТ</t>
  </si>
  <si>
    <t>6998220</t>
  </si>
  <si>
    <t>VOLKSWAGEN GOLF IV 1997-2003/ BORA 1999- /VENTO ХБ 3Д СТ ПЕР ДВ ОП ЛВ ЗЛ</t>
  </si>
  <si>
    <t>6994900</t>
  </si>
  <si>
    <t>6994901</t>
  </si>
  <si>
    <t>VOLKSWAGEN GOLF IV 1997-2003/ BORA 1999- /VENTO ХБ 5Д СТ ЗАДН ДВ ОП ЛВ ЗЛ+ФИТ</t>
  </si>
  <si>
    <t>6995630</t>
  </si>
  <si>
    <t>VOLKSWAGEN GOLF IV 1997-2003/ BORA 1999- /VENTO ХБ 5Д СТ БОК НЕП ЛВ ЗЛ</t>
  </si>
  <si>
    <t>6994902</t>
  </si>
  <si>
    <t>VOLKSWAGEN GOLF IV 1997-2003/ BORA 1999- /VENTO СД СТ ЗАДН ДВ ОП ЛВ ЗЛ ФИТ</t>
  </si>
  <si>
    <t>6980164</t>
  </si>
  <si>
    <t>VOLKSWAGEN GOLF IV 1997-2003/ BORA 1999- /VENTO СД СТ ФОРТ ЗАДН НЕП ЛВ ЗЛ</t>
  </si>
  <si>
    <t>6990681</t>
  </si>
  <si>
    <t>VOLKSWAGEN GOLF IV 1997-2003/ BORA 1999- /VENTO УН СТ ЗАДН ДВ ОП ЛВ ТЗЛ+УО</t>
  </si>
  <si>
    <t>6990957</t>
  </si>
  <si>
    <t>VOLKSWAGEN GOLF IV 1997-2003/ BORA 1999- /VENTO УН СТ ЗАДН ДВ ОП ПР ГЛ+УО</t>
  </si>
  <si>
    <t>6990948</t>
  </si>
  <si>
    <t>VOLKSWAGEN GOLF IV 1997-2003/ BORA 1999- /VENTO ХБ 3Д СТ ПЕР ДВ ОП ПР ГЛ</t>
  </si>
  <si>
    <t>6990955</t>
  </si>
  <si>
    <t>VOLKSWAGEN GOLF IV 1997-2003/ BORA 1999- /VENTO ХБ 5Д СТ ЗАДН ДВ ОП ПР ГЛ+УО</t>
  </si>
  <si>
    <t>6994906</t>
  </si>
  <si>
    <t>VOLKSWAGEN GOLF IV 1997-2003/ BORA 1999- /VENTO ХБ 5Д СТ ЗАДН ДВ ОП ПР+ФИТ</t>
  </si>
  <si>
    <t>6994907</t>
  </si>
  <si>
    <t>VOLKSWAGEN GOLF IV 1997-2003/ BORA 1999- /VENTO УН СТ ЗАДН ДВ ОП ПР ЗЛ ФИТ</t>
  </si>
  <si>
    <t>6998221</t>
  </si>
  <si>
    <t>VOLKSWAGEN GOLF IV 1997-2003/ BORA 1999- /VENTO ХБ 3Д СТ ПЕР ДВ ОП ПР ЗЛ</t>
  </si>
  <si>
    <t>6994908</t>
  </si>
  <si>
    <t>VOLKSWAGEN GOLF IV 1997-2003/ BORA 1999- /VENTO ХБ 5Д СТ ПЕР ДВ ОП ПР ЗЛ</t>
  </si>
  <si>
    <t>6995631</t>
  </si>
  <si>
    <t>VOLKSWAGEN GOLF IV 1997-2003/ BORA 1999- /VENTO ХБ 5Д СТ ЗАДН ДВ ОП ПР ЗЛ+ФИТ</t>
  </si>
  <si>
    <t>6994909</t>
  </si>
  <si>
    <t>6995632</t>
  </si>
  <si>
    <t>VOLKSWAGEN GOLF IV 1997-2003/ BORA 1999- /VENTO ХБ 5Д СТ БОК НЕП ПР ЗЛ</t>
  </si>
  <si>
    <t>6994910</t>
  </si>
  <si>
    <t>VOLKSWAGEN GOLF IV 1997-2003/ BORA 1999- /VENTO СД СТ ЗАДН ДВ ОП ПР ЗЛ ФИТ</t>
  </si>
  <si>
    <t>6980165</t>
  </si>
  <si>
    <t>VOLKSWAGEN GOLF IV 1997-2003/ BORA 1999- /VENTO СД СТ ФОРТ ЗАДН НЕП ПР ЗЛ</t>
  </si>
  <si>
    <t>6990680</t>
  </si>
  <si>
    <t>VOLKSWAGEN GOLF IV 1997-2003/ BORA 1999- /VENTO УН СТ ЗАДН ДВ ОП ПР ТЗЛ+УО</t>
  </si>
  <si>
    <t>GOLF V 2003-2008</t>
  </si>
  <si>
    <t>6961463</t>
  </si>
  <si>
    <t>VOLKSWAGEN GOLF V 2003-2008 СТ ВЕТР ГЛ+ДД+VIN+ИНК+ИЗМ ДЕРЖ ЗЕРК</t>
  </si>
  <si>
    <t>6961464</t>
  </si>
  <si>
    <t>VOLKSWAGEN GOLF V 2004-2008 СТ ВЕТР ГЛ+VIN+ИНК</t>
  </si>
  <si>
    <t>6961869</t>
  </si>
  <si>
    <t>6961461</t>
  </si>
  <si>
    <t>VOLKSWAGEN GOLF V 2003-2008 СТ ВЕТР ЗЛСР+ДД+VIN+ИНК+ИЗМ ДЕРЖ ЗЕРК</t>
  </si>
  <si>
    <t>6961462</t>
  </si>
  <si>
    <t>VOLKSWAGEN GOLF V 2003-2008 СТ ВЕТР ЗЛСР+VIN+ИНК</t>
  </si>
  <si>
    <t>6960555</t>
  </si>
  <si>
    <t>VOLKSWAGEN GOLF V 2003-2008 СТ ВЕТР ЗЛ+ДД+VIN+ИНК+ИЗМ ДЕРЖ ЗЕРК</t>
  </si>
  <si>
    <t>6961236</t>
  </si>
  <si>
    <t>VOLKSWAGEN GOLF V 2003-2008 СТ ВЕТР ЗЛ+VIN+ИНК</t>
  </si>
  <si>
    <t>6961868</t>
  </si>
  <si>
    <t>VOLKSWAGEN GOLF V 2006-2008 СТ ВЕТР ЗЛ+VIN+ИНК+ИЗМ КР</t>
  </si>
  <si>
    <t>6996121</t>
  </si>
  <si>
    <t>VOLKSWAGEN GOLF V ХБ 2003-2008 СТ ЗАДН ЗЛ+АНТ+УО</t>
  </si>
  <si>
    <t>6997731</t>
  </si>
  <si>
    <t>VOLKSWAGEN GOLF V ХБ 2003-2008 СТ ЗАДН ЗЛ+УО</t>
  </si>
  <si>
    <t>6996302</t>
  </si>
  <si>
    <t>VOLKSWAGEN GOLF V 2003-2008 СТ ПЕР ДВ ОП ЛВ ЗЛ</t>
  </si>
  <si>
    <t>6991878</t>
  </si>
  <si>
    <t>6996306</t>
  </si>
  <si>
    <t>VOLKSWAGEN GOLF V 2003-2008 СТ ЗАДН ДВ ОП ЛВ ЗЛ+УО</t>
  </si>
  <si>
    <t>6991882</t>
  </si>
  <si>
    <t>VOLKSWAGEN GOLF V 2003-2008 СТ ФОРТ ЗАДН НЕП ЛВ ЗЛ</t>
  </si>
  <si>
    <t>6993908</t>
  </si>
  <si>
    <t>VOLKSWAGEN GOLF V 2003-2008 СТ ПЕР ДВ ОП ПР ЗЛ</t>
  </si>
  <si>
    <t>6996304</t>
  </si>
  <si>
    <t>VOLKSWAGEN GOLF V 2003-2008 СТ БОК НЕП ПР ЗЛ+ИНК</t>
  </si>
  <si>
    <t>6991879</t>
  </si>
  <si>
    <t>6996307</t>
  </si>
  <si>
    <t>VOLKSWAGEN GOLF V 2003-2008 СТ ЗАДН ДВ ОП ПР ЗЛ+УО</t>
  </si>
  <si>
    <t>6991883</t>
  </si>
  <si>
    <t>VOLKSWAGEN GOLF V 2003-2008 СТ ФОРТ ЗАДН НЕП ПР ЗЛ</t>
  </si>
  <si>
    <t>GOLF V PLUS 2005-</t>
  </si>
  <si>
    <t>6962212</t>
  </si>
  <si>
    <t>VOLKSWAGEN GOLF V PLUS 2005- СТ ВЕТР ЗЛСР+VIN+ИНК</t>
  </si>
  <si>
    <t>6961443</t>
  </si>
  <si>
    <t>VOLKSWAGEN GOLF V PLUS 2005- СТ ВЕТР ЗЛ+ДД+ИНК+VIN</t>
  </si>
  <si>
    <t>6961444</t>
  </si>
  <si>
    <t>VOLKSWAGEN GOLF V PLUS 2005- СТ ВЕТР ЗЛ+ИНК+VIN</t>
  </si>
  <si>
    <t>6962730</t>
  </si>
  <si>
    <t>VOLKSWAGEN GOLF V PLUS 2006- СТ ВЕТР ЗЛ+VIN+ИНК</t>
  </si>
  <si>
    <t>6993317</t>
  </si>
  <si>
    <t>VOLKSWAGEN GOLF V PLUS МИН 2005- СТ ЗАДН ЭО ТЗЛ УО+АНТ</t>
  </si>
  <si>
    <t>6992362</t>
  </si>
  <si>
    <t>VOLKSWAGEN GOLF V PLUS МИН 2005- СТ ЗАДН ЭО ТЗЛ УО+2 АНТ</t>
  </si>
  <si>
    <t>6993318</t>
  </si>
  <si>
    <t>VOLKSWAGEN GOLF V PLUS МИН 2005- CТ ЗАДН ЭО ЗЛ УО+АНТ</t>
  </si>
  <si>
    <t>6992363</t>
  </si>
  <si>
    <t>VOLKSWAGEN GOLF V PLUS МИН 2005- СТ ЗАДН ЗЛ+АНТ+УО</t>
  </si>
  <si>
    <t>6997493</t>
  </si>
  <si>
    <t>VOLKSWAGEN GOLF V PLUS 2005- СТ ПЕР ДВ ОП ЛВ ЗЛ</t>
  </si>
  <si>
    <t>6992364</t>
  </si>
  <si>
    <t>VOLKSWAGEN GOLF V PLUS 2005- СТ ПЕР ДВ НЕП ЛВ ЗЛ+ИНК</t>
  </si>
  <si>
    <t>6997494</t>
  </si>
  <si>
    <t>VOLKSWAGEN GOLF V PLUS 2005- СТ ЗАДН ДВ ОП ЛВ ЗЛ+УО</t>
  </si>
  <si>
    <t>6993899</t>
  </si>
  <si>
    <t>VOLKSWAGEN GOLF V PLUS 2005- СТ ПЕР ДВ ОП ПР ЗЛ</t>
  </si>
  <si>
    <t>6992365</t>
  </si>
  <si>
    <t>VOLKSWAGEN GOLF V PLUS 2005- СТ ПЕР ДВ НЕП ПР ЗЛ+ИНК</t>
  </si>
  <si>
    <t>6997495</t>
  </si>
  <si>
    <t>VOLKSWAGEN GOLF V PLUS 2005- СТ ЗАДН ОП ПР ЗЛ+УО</t>
  </si>
  <si>
    <t>GOLF VI 2008-</t>
  </si>
  <si>
    <t>6962399</t>
  </si>
  <si>
    <t>VOLKSWAGEN GOLF VI 2008-  СТ ВЕТР ЗЛ АКУСТИК+VIN+ИНК</t>
  </si>
  <si>
    <t>6962400</t>
  </si>
  <si>
    <t>VOLKSWAGEN GOLF VI 2008- СТ ВЕТР ЗЛ+АК+ДД+VIN+ИНК</t>
  </si>
  <si>
    <t>6901035</t>
  </si>
  <si>
    <t>VOLKSWAGEN GOLF VI ХБ 2008- СТ ЗАДН ЗЛ</t>
  </si>
  <si>
    <t>6901036</t>
  </si>
  <si>
    <t>VOLKSWAGEN GOLF VI ХБ 2008- СТ ЗАДН ЗЛ+АНТ+ИЗМ АНТ КР</t>
  </si>
  <si>
    <t>6901037</t>
  </si>
  <si>
    <t>VOLKSWAGEN GOLF VI ХБ 2008- СТ ЗАДН ЗЛ+АНТ+ИЗМ АНТ</t>
  </si>
  <si>
    <t>6901038</t>
  </si>
  <si>
    <t>VOLKSWAGEN GOLF VI ХБ 2008- СТ ЗАДН ЗЛ+АНТ</t>
  </si>
  <si>
    <t>6901039</t>
  </si>
  <si>
    <t>VOLKSWAGEN GOLF VI ХБ 2008- СТ ЗАДН ТЗЛ+АНТ+ИЗМ АНТ КР</t>
  </si>
  <si>
    <t>6901040</t>
  </si>
  <si>
    <t>VOLKSWAGEN GOLF VI ХБ 2008- СТ ЗАДН ТЗЛ+АНТ+ИЗМ АНТ</t>
  </si>
  <si>
    <t>JETTA 4Д СД 2005-2011</t>
  </si>
  <si>
    <t>6961375</t>
  </si>
  <si>
    <t>VOLKSWAGEN JETTA 4Д СД 2005-2011 СТ ВЕТР ЗЛ+ДД+VIN+ИНК+ИЗМ ШЕЛК</t>
  </si>
  <si>
    <t>6961376</t>
  </si>
  <si>
    <t>VOLKSWAGEN JETTA 4D СД 2005-2011  СТ ВЕТР ЗЛ+VIN+ИНК</t>
  </si>
  <si>
    <t>6963076</t>
  </si>
  <si>
    <t>VOLKSWAGEN JETTA 4D СД 2005-2011 СТ ВЕТР ЗЛ+VIN+ИНК+ИЗМ КР</t>
  </si>
  <si>
    <t>6997487</t>
  </si>
  <si>
    <t>VOLKSWAGEN JETTA СД 2005-2011 СТ ЗАДН ТЗЛ+АНТ+СТОП+ИНК</t>
  </si>
  <si>
    <t>6992542</t>
  </si>
  <si>
    <t>VOLKSWAGEN JETTA СД 2005-2011 СТ ПЕР ДВ ОП ЛВ ЗЛ</t>
  </si>
  <si>
    <t>6992544</t>
  </si>
  <si>
    <t>VOLKSWAGEN JETTA СД 2005-2011 СТ ЗАДН ДВ ОП ЛВ ЗЛ+УО</t>
  </si>
  <si>
    <t>6992546</t>
  </si>
  <si>
    <t>VOLKSWAGEN JETTA СД 2005-2011 СТ ФОРТ ЗАДН НЕП ЛВ ЗЛ</t>
  </si>
  <si>
    <t>6992541</t>
  </si>
  <si>
    <t>VOLKSWAGEN JETTA СД 2005-2011 СТ ПЕР ДВ ОП ПР ЗЛ</t>
  </si>
  <si>
    <t>6992543</t>
  </si>
  <si>
    <t>VOLKSWAGEN JETTA СД 2005-2011 СТ ЗАДН ДВ ОП ПР ЗЛ+УО</t>
  </si>
  <si>
    <t>6992545</t>
  </si>
  <si>
    <t>VOLKSWAGEN JETTA СД 2005-2011 СТ ФОРТ ЗАДН НЕП ПР ЗЛ</t>
  </si>
  <si>
    <t>JETTA 4Д СД 2011-</t>
  </si>
  <si>
    <t>6965633</t>
  </si>
  <si>
    <t>VOLKSWAGEN JETTA СД 2011-СТ ВЕТР ЗЛ+ДД+VIN+ИНК</t>
  </si>
  <si>
    <t>6965632</t>
  </si>
  <si>
    <t>VOLKSWAGEN JETTA 2011-СТ ВЕТР ЗЛАК+VIN+ИНК</t>
  </si>
  <si>
    <t>LT 28/31/35/40/45 1975-1996</t>
  </si>
  <si>
    <t>6967403</t>
  </si>
  <si>
    <t>1975-1996</t>
  </si>
  <si>
    <t>VOLKSWAGEN LT 28/31/35/40/45 1975-1996 СТ ВЕТР</t>
  </si>
  <si>
    <t>6963525</t>
  </si>
  <si>
    <t>VOLKSWAGEN LT 28/31/35/40/45 1975-1996 СТ ВЕТР ЗЛ</t>
  </si>
  <si>
    <t>6967398</t>
  </si>
  <si>
    <t>VOLKSWAGEN LT 28/31/35/40/45 1975-1996 СТ ВЕТР ЗЛЗЛ</t>
  </si>
  <si>
    <t>6100230</t>
  </si>
  <si>
    <t>VOLKSWAGEN LT 28/31/35/40/45 1975-1996 РЕЗ ПРОФ ДЛЯ СТ ВЕТР</t>
  </si>
  <si>
    <t>6995507</t>
  </si>
  <si>
    <t>VOLKSWAGEN LT 28/31/35/40/45 1975-1996 СТ ПЕР ДВ ОП</t>
  </si>
  <si>
    <t>LT (HIGH) 1996-2006</t>
  </si>
  <si>
    <t>6968138</t>
  </si>
  <si>
    <t>VOLKSWAGEN LT (HIGH) 1996-2006 СТ ВЕТР/ MERCEDES SPRINTER 1994-1996  СТ ВЕТР БОЛ</t>
  </si>
  <si>
    <t>6968139</t>
  </si>
  <si>
    <t>VOLKSWAGEN LT (HIGH) 1996-2006 СТ ВЕТР ЗЛ/ MERCEDES SPRINTER высок. 1994-2006 СТ ВЕТР ЗЛ</t>
  </si>
  <si>
    <t>6968140</t>
  </si>
  <si>
    <t>VOLKSWAGEN LT (HIGH) 1996-2006 СТ ВЕТР ЗЛЗЛ/ MERCEDES SPRINTER 1994-1996  СТ ВЕТР БОЛ ЗЛЗЛ</t>
  </si>
  <si>
    <t>VOLKSWAGEN LT (HIGH) 1996-2006  МОЛД  ДЛЯ СТ ВЕТР</t>
  </si>
  <si>
    <t>6994272</t>
  </si>
  <si>
    <t>VOLKSWAGEN LT (HIGH) 1996-2006  СТ ПЕР ДВ ОП ЛВ</t>
  </si>
  <si>
    <t>6994273</t>
  </si>
  <si>
    <t>VOLKSWAGEN LT (HIGH) 1996-2006  СТ ФОРТ ПЕР НЕП ЛВ</t>
  </si>
  <si>
    <t>6994274</t>
  </si>
  <si>
    <t>VOLKSWAGEN LT (HIGH) 1996-2006  СТ ПЕР ДВ ОП ПР</t>
  </si>
  <si>
    <t>6994275</t>
  </si>
  <si>
    <t>VOLKSWAGEN LT (HIGH) 1996-2006  СТ ФОРТ ПЕР НЕП ПР</t>
  </si>
  <si>
    <t>LT (SMALL) 1996-2006</t>
  </si>
  <si>
    <t>6968135</t>
  </si>
  <si>
    <t>VOLKSWAGEN LT LOW 1996-2006  СТ ВЕТР</t>
  </si>
  <si>
    <t>6968136</t>
  </si>
  <si>
    <t>VOLKSWAGEN LT LOW 1996-2006  СТ ВЕТР ЗЛ</t>
  </si>
  <si>
    <t>6968137</t>
  </si>
  <si>
    <t>VOLKSWAGEN LT LOW 1996-2006  СТ ВЕТР ЗЛЗЛ</t>
  </si>
  <si>
    <t>VOLKSWAGEN LT LOW 1996-2006  МОЛД  ДЛЯ СТ ВЕТР</t>
  </si>
  <si>
    <t>LT 2006-</t>
  </si>
  <si>
    <t>6190294</t>
  </si>
  <si>
    <t>VOLKSWAGEN CRAFTER 2006- СТ ВЕТР ЗЛ/MERCEDES SPRINTER SWB 2006-  СТ ВЕТР ЗЛ</t>
  </si>
  <si>
    <t>6190749</t>
  </si>
  <si>
    <t>VOLKSWAGEN CRAFTER 2006- СТ ВЕТР ЗЛГЛ/MERCEDES SPRINTER SWB 2006-  СТ ВЕТР ЗЛГЛ</t>
  </si>
  <si>
    <t>6190864</t>
  </si>
  <si>
    <t>VOLKSWAGEN CRAFTER 2006- СТ ВЕТР ЗЛГЛ+ЭО+ДД/MERCEDES SPRINTER SWB 2006-  СТ ВЕТР ЗЛГЛ ЭО+ДД</t>
  </si>
  <si>
    <t>6190295</t>
  </si>
  <si>
    <t>VOLKSWAGEN CRAFTER 2006- СТ ВЕТР ЗЛГЛ+ДД/MERCEDES SPRINTER SWB 2006-  СТ ВЕТР ЗЛГЛ+ДД</t>
  </si>
  <si>
    <t>6900576</t>
  </si>
  <si>
    <t>VOLKSWAGEN CRAFTER 2006- СТ ПЕР ДВ ОП ЛВ</t>
  </si>
  <si>
    <t>6900577</t>
  </si>
  <si>
    <t>VOLKSWAGEN CRAFTER 2006- СТ ПЕР ДВ ОП ПР</t>
  </si>
  <si>
    <t>LUPO (SEAT AROSA) 1998-2004</t>
  </si>
  <si>
    <t>6962391</t>
  </si>
  <si>
    <t>VOLKSWAGEN LUPO (SEAT AROSA) 1998-2004 СТ ВЕТР ЗЛ+VIN+ИНК</t>
  </si>
  <si>
    <t>6190498</t>
  </si>
  <si>
    <t>VOLKSWAGEN LUPO (SEAT AROSA) 1998-2004 СТ ВЕТР ЗЛ+ИНК/SEAT AROSA 1997-  СТ ВЕТР ЗЛ+ИНК</t>
  </si>
  <si>
    <t>6992790</t>
  </si>
  <si>
    <t>VOLKSWAGEN LUPO (SEAT AROSA) ХБ 1998-2004 СТ ЗАДН ДВ ЗЛ+ИНК</t>
  </si>
  <si>
    <t>6190499</t>
  </si>
  <si>
    <t>VOLKSWAGEN LUPO (SEAT AROSA) 1998-2004 СТ ПЕР ДВ ОП ЛВ ЗЛ/SEAT AROSA 97  СТ ПЕР ДВ ОП ЛВ ЗЛ</t>
  </si>
  <si>
    <t>6190501</t>
  </si>
  <si>
    <t>VOLKSWAGEN LUPO (SEAT AROSA) 1998-2004 СТ ПЕР ДВ ОП ПР ЗЛ/SEAT AROSA 97  СТ ПЕР ДВ ОП ПР ЗЛ</t>
  </si>
  <si>
    <t>MULTIVAN 2003-</t>
  </si>
  <si>
    <t>6992095</t>
  </si>
  <si>
    <t>VOLKSWAGEN MULTIVAN 03- СТ ЗАДН НЕП ЛВ ЗЛ СТ ПАК</t>
  </si>
  <si>
    <t>6992096</t>
  </si>
  <si>
    <t>VOLKSWAGEN MULTIVAN 03- СТ ЗАДН НЕП ПР ЗЛ СТ ПАК</t>
  </si>
  <si>
    <t>PASSAT B2 / SANTANA 1981-1988</t>
  </si>
  <si>
    <t>6967511</t>
  </si>
  <si>
    <t>VOLKSWAGEN SANTANA/PASSAT СЕД+УН 1981-1988 СТ ВЕТР</t>
  </si>
  <si>
    <t>6967512</t>
  </si>
  <si>
    <t>VOLKSWAGEN SANTANA/PASSAT СЕД+УН 1981-1988 СТ ВЕТР ЗЛ</t>
  </si>
  <si>
    <t>6967514</t>
  </si>
  <si>
    <t>VOLKSWAGEN SANTANA/PASSAT СЕД+УН 1981-1988 СТ ВЕТР ЗЛГЛ</t>
  </si>
  <si>
    <t>6967515</t>
  </si>
  <si>
    <t>VOLKSWAGEN SANTANA/PASSAT СЕД+УН 1981-1988 СТ ВЕТР ЗЛЗЛ</t>
  </si>
  <si>
    <t>6100343</t>
  </si>
  <si>
    <t>VOLKSWAGEN SANTANA/PASSAT СЕД УН 1981-1988 РЕЗ ПРОФ ДЛЯ СТ ВЕТР</t>
  </si>
  <si>
    <t>6998821</t>
  </si>
  <si>
    <t>VOLKSWAGEN PASSAT УН 1981-1988 СТ ЗАДН</t>
  </si>
  <si>
    <t>PASSAT B3 1988-1996</t>
  </si>
  <si>
    <t>6963350</t>
  </si>
  <si>
    <t>VOLKSWAGEN PASSAT СД+УН 1988-1993 СТ ВЕТР+ИНК+КР</t>
  </si>
  <si>
    <t>6963713</t>
  </si>
  <si>
    <t>VOLKSWAGEN PASSAT СД+УН 1988-1993 СТ ВЕТР ЗЛГЛ+ИНК</t>
  </si>
  <si>
    <t>6963714</t>
  </si>
  <si>
    <t>VOLKSWAGEN PASSAT СД+УН 1993-08/1994 СТ ВЕТ ЗЛГЛ+ИН</t>
  </si>
  <si>
    <t>6963351</t>
  </si>
  <si>
    <t>VOLKSWAGEN PASSAT СД+УН 08/1994-1996 СТ ВЕТ ЗЛГЛ+ИНК</t>
  </si>
  <si>
    <t>6967442</t>
  </si>
  <si>
    <t>VOLKSWAGEN PASSAT СД+УН 1988-1993 СТ ВЕТР ЗЛЗЛ ИНК+КР</t>
  </si>
  <si>
    <t>6963352</t>
  </si>
  <si>
    <t>VOLKSWAGEN PASSAT СД+УН 1993-08/1994 СТ ВЕТ ЗЛЗЛ+ИНК</t>
  </si>
  <si>
    <t>6963353</t>
  </si>
  <si>
    <t>VOLKSWAGEN PASSAT СД+УН 08/1994-1996 СТ ВЕТР ЗЛЗЛ+ИНК+ИЗ КР</t>
  </si>
  <si>
    <t>6967413</t>
  </si>
  <si>
    <t>VOLKSWAGEN PASSAT СД+УН 1988-1993 СТ ВЕТР ЗЛ ИНК</t>
  </si>
  <si>
    <t>6967443</t>
  </si>
  <si>
    <t>VOLKSWAGEN PASSAT СД+УН 1993-08/1994 СТ ВЕТР ЗЛ+ИНК+КР</t>
  </si>
  <si>
    <t>6967445</t>
  </si>
  <si>
    <t>VOLKSWAGEN PASSAT СД+УН 08/1994-1996 СТ ВЕТР ЗЛ+ИНК</t>
  </si>
  <si>
    <t>6100237</t>
  </si>
  <si>
    <t>VOLKSWAGEN PASSAT СД+УН 1988-1993  ПРОФ ДЛЯ ПРИБ ПАН ДЛЯ СТ ВЕТР</t>
  </si>
  <si>
    <t>6102386</t>
  </si>
  <si>
    <t>VOLKSWAGEN PASSAT СД+УН 1988-1993  СЕД МОЛД ДЛЯ СТ ВЕТР</t>
  </si>
  <si>
    <t>6998676</t>
  </si>
  <si>
    <t>1996-1996</t>
  </si>
  <si>
    <t>VOLKSWAGEN PASSAT УН 1996-  СТ ЗАДН ДВ ЗЛ+СТОП+ИНК+АНТ</t>
  </si>
  <si>
    <t>6998827</t>
  </si>
  <si>
    <t>VOLKSWAGEN PASSAT УН 1988-1996  СТ ЗАДН ЭО ЗЛ+АНТ+ИНК</t>
  </si>
  <si>
    <t>6998828</t>
  </si>
  <si>
    <t>VOLKSWAGEN PASSAT УН 1993-1996  СТ ЗАДН ДВ ЗЛ+АНТ+ИНК</t>
  </si>
  <si>
    <t>6998012</t>
  </si>
  <si>
    <t>VOLKSWAGEN PASSAT УН 1993-1996 СТ ЗАДН ДВ  ЗЛ+СТОП+ИНК</t>
  </si>
  <si>
    <t>6999049</t>
  </si>
  <si>
    <t>VOLKSWAGEN PASSAT УН 1993-1996  СТ ЗАДН ДВ ЗЛ+ИНК</t>
  </si>
  <si>
    <t>6998829</t>
  </si>
  <si>
    <t>VOLKSWAGEN PASSAT СД 1988-1996 СТ ЗАДН ЭО ЗЛ+АНТ+ИНК</t>
  </si>
  <si>
    <t>6998677</t>
  </si>
  <si>
    <t>VOLKSWAGEN PASSAT СД 1988-1996  СТ ЗАДН ЗЛ+СТОП+ИНК</t>
  </si>
  <si>
    <t>6996932</t>
  </si>
  <si>
    <t>VOLKSWAGEN PASSAT УН 1988-1996  СТ ЗАДН ДВ ОП ЛВ ЗЛ</t>
  </si>
  <si>
    <t>6998213</t>
  </si>
  <si>
    <t>VOLKSWAGEN PASSAT СД+УН 1988-1996 СТ ПЕР ДВ ОП ЛВ ЗЛ</t>
  </si>
  <si>
    <t>6996933</t>
  </si>
  <si>
    <t>VOLKSWAGEN PASSAT СД 1988-1996 СТ ЗАДН ДВ ОП ЛВ ЗЛ</t>
  </si>
  <si>
    <t>6995876</t>
  </si>
  <si>
    <t>VOLKSWAGEN PASSAT СД 1988-1996 СТ БОК ЛВ ЗЛ ИНК</t>
  </si>
  <si>
    <t>6996934</t>
  </si>
  <si>
    <t>VOLKSWAGEN PASSAT УН 1988-1996  СТ ЗАДН ДВ ОП ПР ЗЛ</t>
  </si>
  <si>
    <t>6998214</t>
  </si>
  <si>
    <t>VOLKSWAGEN PASSAT СД+УН 1988-1996 СТ ПЕР ДВ ОП ПР ЗЛ</t>
  </si>
  <si>
    <t>6996935</t>
  </si>
  <si>
    <t>VOLKSWAGEN PASSAT СД 1988-1996 СТ ЗАДН ДВ ОП ПР ЗЛ</t>
  </si>
  <si>
    <t>6995877</t>
  </si>
  <si>
    <t>VOLKSWAGEN PASSAT СД 1988-1996 СТ БОК ПР ЗЛ ИНК</t>
  </si>
  <si>
    <t>PASSAT B5 1996-2005</t>
  </si>
  <si>
    <t>6963213</t>
  </si>
  <si>
    <t>VOLKSWAGEN PASSAT B5 1996-2005 СТ ВЕТР ЗЛГЛ +ИНК/ SKODA SUPERB 2002-  СТ ВЕТР ЗЛГЛ+ИНК</t>
  </si>
  <si>
    <t>6967447</t>
  </si>
  <si>
    <t>VOLKSWAGEN PASSAT B5 1996-2005 СТ ВЕТР ЗЛЗЛ+ИНК+VIN/ SKODA SUPERB 2002-  СТ ВЕТР ЗЛЗЛ+ИНК+VIN</t>
  </si>
  <si>
    <t>6960923</t>
  </si>
  <si>
    <t>VOLKSWAGEN PASSAT B5 1996-2005 СТ ВЕТР ЗЛЗЛ+ИНК/ SKODA SUPERB 2002-  СТ ВЕТР ЗЛЗЛ+ИНК</t>
  </si>
  <si>
    <t>6960440</t>
  </si>
  <si>
    <t>VOLKSWAGEN PASSAT B5 1996-2005 СТ ВЕТР ЗЛСР+ДД+VIN+ИНК/SKODA SUPERB 2002-  СТ ВЕТР ЗЛСР+ДД+VIN+ИНК</t>
  </si>
  <si>
    <t>6960924</t>
  </si>
  <si>
    <t>VOLKSWAGEN PASSAT B5 1996-2005 СТ ВЕТР ЗЛСР+ДД+ИНК/SKODA SUPERB 2002-  СТ ВЕТР ЗЛСР+ДД+ИНК</t>
  </si>
  <si>
    <t>6967448</t>
  </si>
  <si>
    <t>VOLKSWAGEN PASSAT B5 1996-2005 СТ ВЕТР ЗЛСР КР+ИНК+VIN/SKODA SUPERB 2002-  СТ ВЕТР ЗЛСР+VIN+ИНК</t>
  </si>
  <si>
    <t>6960925</t>
  </si>
  <si>
    <t>VOLKSWAGEN PASSAT B5 1996-2005 СТ ВЕТР ЗЛСР+ИНК</t>
  </si>
  <si>
    <t>6961886</t>
  </si>
  <si>
    <t>VOLKSWAGEN PASSAT B5 1996-2005 СТ ВЕТР ЗЛ+ДД+VIN</t>
  </si>
  <si>
    <t>6967446</t>
  </si>
  <si>
    <t>VOLKSWAGEN PASSAT B5 1996-2005 СТ ВЕТР ЗЛ КР+ИНК+VIN/ SKODA SUPERB 2002-  СТ ВЕТР ЗЛ+ИНК+VIN</t>
  </si>
  <si>
    <t>6960926</t>
  </si>
  <si>
    <t>VOLKSWAGEN PASSAT B5 1996-2005 СТ ВЕТР ЗЛ ИНК/ SKODA SUPERB 2002-  СТ ВЕТР ЗЛ+ИНК</t>
  </si>
  <si>
    <t>6101818</t>
  </si>
  <si>
    <t>VOLKSWAGEN PASSAT B5 1996-2005 УСТ КОМПЛ ДЛЯ СТ ВЕТР В/С</t>
  </si>
  <si>
    <t>6998839</t>
  </si>
  <si>
    <t>VOLKSWAGEN PASSAT B5 УН 1996-2005 СТ ЗАДН ЭО ЗЛ+СТОП+ИНК</t>
  </si>
  <si>
    <t>6994893</t>
  </si>
  <si>
    <t>VOLKSWAGEN PASSAT B5 СД 1996-2005 СТ ЗАДН ЭО ЗЛ СТОП+ИНК/SKODA SUPERB 2002-  СТ ЗАДН ЗЛ+СТОП+ИНК</t>
  </si>
  <si>
    <t>6992993</t>
  </si>
  <si>
    <t>VOLKSWAGEN PASSAT B5 УН 1996-2005 СТ ЗАДН ДВ ОП ЛВ+УО</t>
  </si>
  <si>
    <t>6995898</t>
  </si>
  <si>
    <t>VOLKSWAGEN PASSAT B5 СД 1996-2005 СТ ПЕР ДВ ОП ЛВ ЗЛ/SKODA SUPERB 2002-  СТ ПЕР ДВ ОП ЛВ ЗЛ</t>
  </si>
  <si>
    <t>6994683</t>
  </si>
  <si>
    <t>VOLKSWAGEN PASSAT B5 СД 1996-2005 СТ ЗАДН ДВ ОП ЛВ ЗЛ 1ОТВ+УО</t>
  </si>
  <si>
    <t>6992994</t>
  </si>
  <si>
    <t>VOLKSWAGEN PASSAT B5 УН 1996-2005 СТ ЗАДН ДВ ОП ПР+УО</t>
  </si>
  <si>
    <t>6995899</t>
  </si>
  <si>
    <t>VOLKSWAGEN PASSAT B5 СД 1996-2005 СТ ПЕР ДВ ОП ПР ЗЛ/SKODA SUPERB 2002-  СТ ПЕР ДВ ОП ПР ЗЛ</t>
  </si>
  <si>
    <t>6994684</t>
  </si>
  <si>
    <t>VOLKSWAGEN PASSAT B5 СД 1996-2005 СТ ЗАДН ДВ ОП ПР ЗЛ 1 ОТВ+УО</t>
  </si>
  <si>
    <t>PASSAT B6 2005-</t>
  </si>
  <si>
    <t>6962067</t>
  </si>
  <si>
    <t>VOLKSWAGEN PASSAT B6 2005- СТ ВЕТР ЗЛ ЭО+VIN+УО</t>
  </si>
  <si>
    <t>6963128</t>
  </si>
  <si>
    <t>VOLKSWAGEN PASSAT B6 2006- СТ ВЕТР ЗЛ+ЭО+VIN+УО+ИЗМ КР</t>
  </si>
  <si>
    <t>6960797</t>
  </si>
  <si>
    <t>VOLKSWAGEN PASSAT B6 СД+УН 2005- СТ ВЕТР ЗЛ+ДД+VIN+УО</t>
  </si>
  <si>
    <t>6960609</t>
  </si>
  <si>
    <t>VOLKSWAGEN PASSAT B6 СД+УН 2005- СТ ВЕТР ЗЛ+VIN+УО</t>
  </si>
  <si>
    <t>6961576</t>
  </si>
  <si>
    <t>VOLKSWAGEN PASSAT B6 2006- СТ ВЕТР ЗЛ+VIN+УО</t>
  </si>
  <si>
    <t>6963077</t>
  </si>
  <si>
    <t>VOLKSWAGEN PASSAT B6 СД+УН 2007- СТ ВЕТР ЗЛСР+VIN+УО</t>
  </si>
  <si>
    <t>6961907</t>
  </si>
  <si>
    <t>VOLKSWAGEN PASSAT B6 2005- СТ ВЕТР ЗЛ ЭО+ДД+VIN+УО+ИЗМ ШЕЛК</t>
  </si>
  <si>
    <t>6965290</t>
  </si>
  <si>
    <t>VOLKSWAGEN PASSAT B6 2005-СТ ВЕТР ЗЛ+ЭО+ДД+VIN+ДО</t>
  </si>
  <si>
    <t>6965977</t>
  </si>
  <si>
    <t>VOLKSWAGEN PASSAT B6 2005- СТ ВЕТР ЗЛ+ДД+VIN+ДО</t>
  </si>
  <si>
    <t>6965978</t>
  </si>
  <si>
    <t>VOLKSWAGEN PASSAT B6 2005- СТ ВЕТР ЗЛ+ЭО+ДД+VIN+ДО</t>
  </si>
  <si>
    <t>6966035</t>
  </si>
  <si>
    <t>VOLKSWAGEN PASSAT B7 2010-СТ ВЕТР ЗЛ+ДД+VIN+ДО</t>
  </si>
  <si>
    <t>6996312</t>
  </si>
  <si>
    <t>VOLKSWAGEN PASSAT B6 УН 2005- СТ ЗАДН ДВ ТЗЛ+УО</t>
  </si>
  <si>
    <t>6992887</t>
  </si>
  <si>
    <t>VOLKSWAGEN PASSAT СД 2005- СТ ЗАДН ЭО ТЗЛ+АНТ+УО+СТОП+GPS</t>
  </si>
  <si>
    <t>6992886</t>
  </si>
  <si>
    <t>VOLKSWAGEN PASSAT B6 СД 2005- СТ ЗАДН ТЗЛ+АНТ+СТОП+УО</t>
  </si>
  <si>
    <t>6996126</t>
  </si>
  <si>
    <t>VOLKSWAGEN PASSAT B6 УН 2005- СТ ЗАДН ДВ ЗЛ+УО</t>
  </si>
  <si>
    <t>6992248</t>
  </si>
  <si>
    <t>VOLKSWAGEN PASSAT СД 2005- СТ ЗАДН ЭО ЗЛ+АНТ+УО+СТОП+GPS</t>
  </si>
  <si>
    <t>6997505</t>
  </si>
  <si>
    <t>VOLKSWAGEN PASSAT B6 УН 2005- СТ ЗАДН ДВ ОП ЛВ ЗЛ+УО</t>
  </si>
  <si>
    <t>6992263</t>
  </si>
  <si>
    <t>VOLKSWAGEN PASSAT B6 УН 2005- СТ БОК НЕП ЛВ ЗЛ+АНТ+ИНК</t>
  </si>
  <si>
    <t>6997500</t>
  </si>
  <si>
    <t>6992249</t>
  </si>
  <si>
    <t>VOLKSWAGEN PASSAT B6 2005- СТ ПЕР ДВ ОП ЛВ ЗЛ</t>
  </si>
  <si>
    <t>6997496</t>
  </si>
  <si>
    <t>VOLKSWAGEN PASSAT B6 2006- СТ ПЕР ДВ ОП ЛВ ЗЛ</t>
  </si>
  <si>
    <t>6992251</t>
  </si>
  <si>
    <t>VOLKSWAGEN PASSAT B6 СЕД 2005- СТ ЗАДН ДВ ОП ЛВ ЗЛ+УО</t>
  </si>
  <si>
    <t>6997498</t>
  </si>
  <si>
    <t>VOLKSWAGEN PASSAT B6 СЕД 2005- СТ ФОРТ ЗАДН НЕП ЛВ ЗЛ</t>
  </si>
  <si>
    <t>6997510</t>
  </si>
  <si>
    <t>VOLKSWAGEN PASSAT B6 УН 2005- СТ ЗАДН ДВ ОП ПР ЗЛ+УО</t>
  </si>
  <si>
    <t>6992264</t>
  </si>
  <si>
    <t>VOLKSWAGEN PASSAT B6 УН 2005- СТ БОК НЕП ПР ЗЛ+АНТ</t>
  </si>
  <si>
    <t>6997504</t>
  </si>
  <si>
    <t>VOLKSWAGEN PASSAT B6 УН 2005- СТ БОК НЕП ПР ЗЛ+АНТ+ИНК</t>
  </si>
  <si>
    <t>6992250</t>
  </si>
  <si>
    <t>VOLKSWAGEN PASSAT B6 2005- СТ ПЕР ДВ ОП ПР ЗЛ</t>
  </si>
  <si>
    <t>6997497</t>
  </si>
  <si>
    <t>VOLKSWAGEN PASSAT B6 2006- СТ ПЕР ДВ ОП ПР ЗЛ</t>
  </si>
  <si>
    <t>6992252</t>
  </si>
  <si>
    <t>VOLKSWAGEN PASSAT B6 СЕД 2005- СТ ЗАДН ДВ ОП ПР ЗЛ+УО</t>
  </si>
  <si>
    <t>6997499</t>
  </si>
  <si>
    <t>VOLKSWAGEN PASSAT B6 СЕД 2005- СТ ФОРТ ЗАДН НЕП ПР ЗЛ</t>
  </si>
  <si>
    <t>PASSAT CC 2008-</t>
  </si>
  <si>
    <t>6964911</t>
  </si>
  <si>
    <t>VOLKSWAGEN PASSAT CC 2008-  СТ ВЕСТР ЗЛ+ДД+VIN+УО</t>
  </si>
  <si>
    <t>6964614</t>
  </si>
  <si>
    <t>VOLKSWAGEN PASSAT CC 2008-  СТ ВЕТР ЗЛ АКУСТИК+ДД+VIN+УО</t>
  </si>
  <si>
    <t>6902948</t>
  </si>
  <si>
    <t>VOLKSWAGEN PASSAT CC 2008 СТ ПЕР ДВ ОП ПР ЗЛ</t>
  </si>
  <si>
    <t>6902949</t>
  </si>
  <si>
    <t>VOLKSWAGEN PASSAT CC 2008 СТ ПЕР ДВ ОП ЛВ ЗЛ</t>
  </si>
  <si>
    <t>POLO 1981-1994</t>
  </si>
  <si>
    <t>6967418</t>
  </si>
  <si>
    <t>1981-1994</t>
  </si>
  <si>
    <t>VOLKSWAGEN POLO 1981-1994 СТ ВЕТР</t>
  </si>
  <si>
    <t>6967419</t>
  </si>
  <si>
    <t>VOLKSWAGEN POLO 1981-1994 СТ ВЕТР ЗЛ</t>
  </si>
  <si>
    <t>6967423</t>
  </si>
  <si>
    <t>VOLKSWAGEN POLO 1981-1994 СТ ВЕТР ЗЛГЛ</t>
  </si>
  <si>
    <t>6967424</t>
  </si>
  <si>
    <t>VOLKSWAGEN POLO 1981-1994 СТ ВЕТР ЗЛЗЛ</t>
  </si>
  <si>
    <t>6100232</t>
  </si>
  <si>
    <t>VOLKSWAGEN POLO 1981-1994 РЕЗ ПРОФ ДЛЯ СТ ВЕТР</t>
  </si>
  <si>
    <t>6998822</t>
  </si>
  <si>
    <t>VOLKSWAGEN POLO УН 1981-1994 СТ ЗАДН</t>
  </si>
  <si>
    <t>6998823</t>
  </si>
  <si>
    <t>VOLKSWAGEN POLO УН 1981-1994 СТ ЗАДН ДВ</t>
  </si>
  <si>
    <t>6998825</t>
  </si>
  <si>
    <t>VOLKSWAGEN POLO УН 1981-1994 СТ ЗАДН ДВ ЗЛ</t>
  </si>
  <si>
    <t>6998826</t>
  </si>
  <si>
    <t>VOLKSWAGEN POLO ХБ 1981-1994 СТ ЗАДН ДВ ЗЛ+ИНК</t>
  </si>
  <si>
    <t>6998201</t>
  </si>
  <si>
    <t>VOLKSWAGEN POLO 1981-1994 СТ ПЕР ДВ ОП ЛВ</t>
  </si>
  <si>
    <t>6998531</t>
  </si>
  <si>
    <t>VOLKSWAGEN POLO 1981-1994 СТ ФОРТ ПЕР ДВ ЛВ</t>
  </si>
  <si>
    <t>6998525</t>
  </si>
  <si>
    <t>VOLKSWAGEN POLO 1981-1994 СТ БОК НЕП ЛВ ЗЛ</t>
  </si>
  <si>
    <t>6998203</t>
  </si>
  <si>
    <t>VOLKSWAGEN POLO 1981-1994 СТ ПЕР ДВ ОП ЛВ ЗЛ</t>
  </si>
  <si>
    <t>6996913</t>
  </si>
  <si>
    <t>VOLKSWAGEN POLO 1981-1994 СТ БОК ЛВ ЗЛ</t>
  </si>
  <si>
    <t>6998533</t>
  </si>
  <si>
    <t>VOLKSWAGEN POLO 1981-1994 СТ ФОРТ ПЕР ДВ ЛВ ЗЛ</t>
  </si>
  <si>
    <t>6998202</t>
  </si>
  <si>
    <t>VOLKSWAGEN POLO 1981-1994 СТ ПЕР ДВ ОП ПР</t>
  </si>
  <si>
    <t>6998532</t>
  </si>
  <si>
    <t>VOLKSWAGEN POLO 1981-1994 СТ ФОРТ ПЕР ДВ ПР</t>
  </si>
  <si>
    <t>6998204</t>
  </si>
  <si>
    <t>VOLKSWAGEN POLO 1981-1994 СТ ПЕР ДВ ОП ПР ЗЛ</t>
  </si>
  <si>
    <t>6996914</t>
  </si>
  <si>
    <t>VOLKSWAGEN POLO 1981-1994 СТ БОК ПР ЗЛ</t>
  </si>
  <si>
    <t>6998534</t>
  </si>
  <si>
    <t>VOLKSWAGEN POLO 1981-1994 СТ ФОРТ ПЕР ДВ ПР ЗЛ</t>
  </si>
  <si>
    <t>POLO 1994-10.1999</t>
  </si>
  <si>
    <t>6967450</t>
  </si>
  <si>
    <t>VOLKSWAGEN POLO 1994-1999  СТ ВЕТР+ИНК</t>
  </si>
  <si>
    <t>6967453</t>
  </si>
  <si>
    <t>VOLKSWAGEN POLO 1994-1999  СТ ВЕТР ЗЛГЛ+ИНК</t>
  </si>
  <si>
    <t>6967452</t>
  </si>
  <si>
    <t>VOLKSWAGEN POLO 1994-1999  СТ ВЕТР ЗЛЗЛ+ИНК</t>
  </si>
  <si>
    <t>6967451</t>
  </si>
  <si>
    <t>VOLKSWAGEN POLO 1994-1999  СТ ВЕТР ЗЛ+ИНК</t>
  </si>
  <si>
    <t>6998612</t>
  </si>
  <si>
    <t>VOLKSWAGEN POLO ХБ 1996-1999  СТ ЗАДН ДВ ЗЛ+АНТ+СТОП+ИНК+ИЗМ ЭО</t>
  </si>
  <si>
    <t>6994673</t>
  </si>
  <si>
    <t>VOLKSWAGEN POLO 3Д 1994-1999  СТ ПЕР ДВ ОП ЛВ</t>
  </si>
  <si>
    <t>6994674</t>
  </si>
  <si>
    <t>VOLKSWAGEN POLO 3Д 1994-1999  СТ БОК ЛВ+ИНК</t>
  </si>
  <si>
    <t>6994675</t>
  </si>
  <si>
    <t>VOLKSWAGEN POLO 5Д 1994-1999  СТ ПЕР ДВ ОП ЛВ</t>
  </si>
  <si>
    <t>6994676</t>
  </si>
  <si>
    <t>VOLKSWAGEN POLO 5Д 1994-1999  СТ БОК НЕП ЛВ</t>
  </si>
  <si>
    <t>6995886</t>
  </si>
  <si>
    <t>VOLKSWAGEN POLO 3Д 1994-1999  СТ ПЕР ДВ ОП ЛВ ЗЛ</t>
  </si>
  <si>
    <t>6994681</t>
  </si>
  <si>
    <t>VOLKSWAGEN POLO 3Д 1994-1999  СТ БОК ЛВ ЗЛ+ИНК/POLO 3Д 1999  СТ ЗАДН НЕП ЛВ ЗЛ+ИНК</t>
  </si>
  <si>
    <t>6995887</t>
  </si>
  <si>
    <t>VOLKSWAGEN POLO 5Д 1994-1999  СТ ПЕР ДВ ОП ЛВ ЗЛ</t>
  </si>
  <si>
    <t>6995888</t>
  </si>
  <si>
    <t>VOLKSWAGEN POLO 5Д 1994-1999  СТ ЗАДН ДВ ОП ЛВ ЗЛ</t>
  </si>
  <si>
    <t>6995889</t>
  </si>
  <si>
    <t>VOLKSWAGEN POLO 5Д 1994-1999  СТ БОК НЕП ЛВ ЗЛ</t>
  </si>
  <si>
    <t>6994677</t>
  </si>
  <si>
    <t>VOLKSWAGEN POLO 3Д 1994-1999  СТ ПЕР ДВ ОП ПР</t>
  </si>
  <si>
    <t>6994678</t>
  </si>
  <si>
    <t>VOLKSWAGEN POLO 3Д 1994-1999  СТ БОК ПР+ИНК</t>
  </si>
  <si>
    <t>6994679</t>
  </si>
  <si>
    <t>VOLKSWAGEN POLO 5Д 1994-1999  СТ ПЕР ДВ ОП ПР</t>
  </si>
  <si>
    <t>6994680</t>
  </si>
  <si>
    <t>VOLKSWAGEN POLO 5Д 1994-1999  СТ БОК НЕП ПР</t>
  </si>
  <si>
    <t>6995890</t>
  </si>
  <si>
    <t>VOLKSWAGEN POLO 3Д 1994-1999  СТ ПЕР ДВ ОП ПР ЗЛ</t>
  </si>
  <si>
    <t>6994682</t>
  </si>
  <si>
    <t>VOLKSWAGEN POLO 3Д 1994-1999  СТ БОК ПР ЗЛ+ИНК/POLO 3Д 1999  СТ ЗАДН НЕП ПР ЗЛ+ИНК</t>
  </si>
  <si>
    <t>6995891</t>
  </si>
  <si>
    <t>VOLKSWAGEN POLO 5Д 1994-1999  СТ ПЕР ДВ ОП ПР ЗЛ</t>
  </si>
  <si>
    <t>6995892</t>
  </si>
  <si>
    <t>VOLKSWAGEN POLO 5Д 1994-1999  СТ ЗАДН ДВ ОП ПР ЗЛ</t>
  </si>
  <si>
    <t>6995893</t>
  </si>
  <si>
    <t>VOLKSWAGEN POLO 5Д 1994-1999  СТ БОК НЕП ПР ЗЛ</t>
  </si>
  <si>
    <t>POLO 10.1999-10.2001</t>
  </si>
  <si>
    <t>6961081</t>
  </si>
  <si>
    <t>VOLKSWAGEN POLO 3Д/5Д 1999-2001 СТ ВЕТР ЗЛСР ИНК</t>
  </si>
  <si>
    <t>6960442</t>
  </si>
  <si>
    <t>VOLKSWAGEN POLO 3Д/5Д 1999-2001 СТ ВЕТР ЗЛ ИНК+ШЕЛК ДД</t>
  </si>
  <si>
    <t>6960443</t>
  </si>
  <si>
    <t>VOLKSWAGEN POLO 3Д/5Д 1999-2001 СТ ВЕТР ЗЛ ИНК</t>
  </si>
  <si>
    <t>6980030</t>
  </si>
  <si>
    <t>VOLKSWAGEN POLO 3Д/5Д ХБ 1999-2001 СТ ЗАДН ДВ ЗЛ+ИНК</t>
  </si>
  <si>
    <t>6996314</t>
  </si>
  <si>
    <t>VOLKSWAGEN POLO 3Д/5Д 1999-2001 СТ ЗАДН НЕП ЛВ ЗЛ+ИНК/ VOLKSWAGEN POLO 3Д 1994-  СТ БОК ЛВ ЗЛ+ИНК</t>
  </si>
  <si>
    <t>6996315</t>
  </si>
  <si>
    <t>VOLKSWAGEN POLO 3Д/5Д 1999-2001 СТ ЗАДН НЕП ПР ЗЛ+ИНК/ VOLKSWAGEN POLO 3Д 1994-  СТ БОК ПР ЗЛ+ИНК</t>
  </si>
  <si>
    <t>POLO 10.2001-2009</t>
  </si>
  <si>
    <t>6960742</t>
  </si>
  <si>
    <t>VOLKSWAGEN POLO 10.2001-2009 СТ ВЕТР ЗЛСР+ДД+VIN+ИНК</t>
  </si>
  <si>
    <t>6961771</t>
  </si>
  <si>
    <t>VOLKSWAGEN POLO ХБ 2005-2009 СТ ВЕТР ЗЛСР+ДД+VIN+ИНК</t>
  </si>
  <si>
    <t>6961917</t>
  </si>
  <si>
    <t>VOLKSWAGEN POLO ХБ 10.2001-2009 СТ ВЕТР ЗЛСР+VIN+ИНК</t>
  </si>
  <si>
    <t>6962211</t>
  </si>
  <si>
    <t>VOLKSWAGEN POLO 3Д+5Д ХБ 10.2001-2009 СТ ВЕТР ЗЛ СР</t>
  </si>
  <si>
    <t>6961772</t>
  </si>
  <si>
    <t>VOLKSWAGEN POLO ХБ 2005-2009 СТ ВЕТР ЗЛ+ДД+VIN+ИНК</t>
  </si>
  <si>
    <t>6960743</t>
  </si>
  <si>
    <t>VOLKSWAGEN POLO 3Д+5Д ХБ 10.2001-2009 СТ ВЕТР ЗЛ+VIN+ИНК</t>
  </si>
  <si>
    <t>6961563</t>
  </si>
  <si>
    <t>VOLKSWAGEN POLO ХБ 10.2001-2009 СТ ВЕТР ЗЛ+VIN+ИНК</t>
  </si>
  <si>
    <t>6962069</t>
  </si>
  <si>
    <t>VOLKSWAGEN POLO ХБ 10.2001-2009 СТ ВЕТР ЗЛ+ИНК</t>
  </si>
  <si>
    <t>6993909</t>
  </si>
  <si>
    <t>VOLKSWAGEN POLO 3Д+5Д ХБ 2005-2009 СТ ЗАДН ТЗЛ+УО+ИЗМ РАЗМ</t>
  </si>
  <si>
    <t>6992792</t>
  </si>
  <si>
    <t>VOLKSWAGEN POLO ХБ 10.2001-2009 СТ ЗАДН ДВ ЗЛ+УО</t>
  </si>
  <si>
    <t>6993925</t>
  </si>
  <si>
    <t>VOLKSWAGEN POLO 3Д+5Д ХБ 2005-2009 СТ ЗАДН ДВ ЗЛ+УО+ИЗМ РАЗМ</t>
  </si>
  <si>
    <t>6997578</t>
  </si>
  <si>
    <t>VOLKSWAGEN POLO ХБ 10.2001-2009 СТ ПЕР ДВ ОП ЛВ ЗЛ</t>
  </si>
  <si>
    <t>6993148</t>
  </si>
  <si>
    <t>VOLKSWAGEN POLO 5Д 10.2001-2009 СТ ПЕР ДВ ОП ЛВ ЗЛ</t>
  </si>
  <si>
    <t>6992624</t>
  </si>
  <si>
    <t>VOLKSWAGEN POLO 5Д ХБ 10.2001-2009 СТ ЗАДН ДВ ОП ЛВ ЗЛ+УО</t>
  </si>
  <si>
    <t>6993926</t>
  </si>
  <si>
    <t>VOLKSWAGEN POLO ХБ 10.2001-2009 СТ ПЕР ДВ ОП ПР ЗЛ</t>
  </si>
  <si>
    <t>6993149</t>
  </si>
  <si>
    <t>VOLKSWAGEN POLO 5Д 10.2001-2009 СТ ПЕР ДВ ОП ПР ЗЛ</t>
  </si>
  <si>
    <t>6992625</t>
  </si>
  <si>
    <t>VOLKSWAGEN POLO 5Д ХБ 10.2001-2009 СТ ЗАДН ДВ ОП ПР ЗЛ+УО</t>
  </si>
  <si>
    <t>POLO 5Д ХБ 2009-</t>
  </si>
  <si>
    <t>6964918</t>
  </si>
  <si>
    <t>VOLKSWAGEN POLO FROM 2009-СТ ВЕТР ЗЛ+ДД+VIN+ДД</t>
  </si>
  <si>
    <t>6901110</t>
  </si>
  <si>
    <t>VOLKSWAGEN POLO 5Д ХБ 2009- СТ ПЕР ДВ ОП ЛВ ЗЛ</t>
  </si>
  <si>
    <t>6901109</t>
  </si>
  <si>
    <t>VOLKSWAGEN POLO 5Д ХБ 2009- СТ ПЕР ДВ ОП ПР ЗЛ</t>
  </si>
  <si>
    <t>POLO CLASSIC/CADDY 1995-1999 SEAT IBIZA+CORDOBA+INCA 07.1996-</t>
  </si>
  <si>
    <t>6960509</t>
  </si>
  <si>
    <t>VOLKSWAGEN POLO CLASSIC/CADDY 1995-1999 СТ ВЕТР+УО / SEAT IBIZA/CORDOBA/INCA 96 СТ ВЕТР+УО</t>
  </si>
  <si>
    <t>6963212</t>
  </si>
  <si>
    <t>VOLKSWAGEN POLO CLASSIC/CADDY 1995-1999 СТ ВЕТР ЗЛГЛ+УО / SEAT IBIZA/CORDOBA/INCA 96 СТ ВЕТР ЗЛЗЛ+ИНК</t>
  </si>
  <si>
    <t>6960511</t>
  </si>
  <si>
    <t>VOLKSWAGEN POLO CLASSIC/CADDY 1995-1999 СТ ВЕТР ЗЛЗЛ +ИНК/SEAT IBIZA/CORDOBA/INCA 96 СТ ВЕТР ЗЛЗЛ+ИНК</t>
  </si>
  <si>
    <t>6960966</t>
  </si>
  <si>
    <t>VOLKSWAGEN POLO CLASSIC/CADDY 1995-1999 СТ ВЕТР ЗЛЗЛ ИНК ИЗМ/SEAT IBIZA/CORDOBA/INCA 96 СТ ВЕТР ЗЛЗЛ+ИНК</t>
  </si>
  <si>
    <t>6960510</t>
  </si>
  <si>
    <t>VOLKSWAGEN POLO CLASSIC/CADDY 1995-1999 СТ ВЕТР ЗЛ+ИНК</t>
  </si>
  <si>
    <t>6960965</t>
  </si>
  <si>
    <t>6998836</t>
  </si>
  <si>
    <t>VOLKSWAGEN POLO CLASSIC/CADDY МИН 1995-1999 СТ ЗАДН ЛВ</t>
  </si>
  <si>
    <t>6998837</t>
  </si>
  <si>
    <t>VOLKSWAGEN POLO CLASSIC/CADDY МИН 1995-1999 СТ ЗАДН ПР</t>
  </si>
  <si>
    <t>6996119</t>
  </si>
  <si>
    <t>VOLKSWAGEN POLO CLASSIC/CADDY УН 1995-1999 СТ ЗАДН ЗЛ+УО/ SEAT CORDOBA VARIO 1998- СТ ЗАДН ЗЛ+УО</t>
  </si>
  <si>
    <t>6998838</t>
  </si>
  <si>
    <t>VOLKSWAGEN POLO CLASSIC/CADDY СД 1995-1999 СТ ЗАДН ЭО ЗЛ+ИНК</t>
  </si>
  <si>
    <t>6995894</t>
  </si>
  <si>
    <t>VOLKSWAGEN POLO CLASSIC/CADDY 1995-1999 СТ ПЕР ДВ ОП ЛВ</t>
  </si>
  <si>
    <t>6995896</t>
  </si>
  <si>
    <t>VOLKSWAGEN POLO CLASSIC/CADDY 1995-1999 СТ ПЕР ДВ ОП ЛВ ЗЛ/SEAT CORDOBA СЕД 1993- /VARIO 1998- СТ ПЕР ДВ ОП ЛВ ЗЛ</t>
  </si>
  <si>
    <t>6992995</t>
  </si>
  <si>
    <t>VOLKSWAGEN POLO CLASSIC/CADDY 1995-1999 СТ ЗАДН ДВ ОП ЛВ ЗЛ/ SEAT IBIZA 5Д+CORDOB 1993 СТ ЗАДН ДВ ОП ЛВ ЗЛ</t>
  </si>
  <si>
    <t>6995895</t>
  </si>
  <si>
    <t>VOLKSWAGEN POLO CLASSIC/CADDY 1995-1999 СТ ПЕР ДВ ОП ПР/ SEAT IBIZA 1993- СТ ПЕР ДВ ОП ПР</t>
  </si>
  <si>
    <t>6995897</t>
  </si>
  <si>
    <t>VOLKSWAGEN POLO CLASSIC/CADDY 1995-1999 СТ ПЕР ДВ ОП ПР ЗЛ/ SEAT CORDOBA СЕД 1993 /VARIO 1998 СТ ПЕР ДВ ОП ПР ЗЛ</t>
  </si>
  <si>
    <t>6992996</t>
  </si>
  <si>
    <t>VOLKSWAGEN POLO CLASSIC/CADDY 1995-1999 СТ ЗАДН ДВ ОП ПР ЗЛ/ SEAT IBIZA 5Д+CORDOBA 1993  СТ ЗАДН ДВ ОП ПР ЗЛ</t>
  </si>
  <si>
    <t>POLO CLASSIC 1999-2003</t>
  </si>
  <si>
    <t>6190505</t>
  </si>
  <si>
    <t>VOLKSWAGEN POLO CLIC 1999-2003  СТ ВЕТР ЗЛЗЛ+ДД+ИНК/SEAT IBIZA 3Д+5Д 1999 /CORDOBA 2000 СТ ВЕТР ЗЛЗЛ+ДД+ИНК</t>
  </si>
  <si>
    <t>6190506</t>
  </si>
  <si>
    <t>VOLKSWAGEN POLO CLIC 1999-2003  СТ ВЕТР ЗЛЗЛ+ИНК/SEAT IBIZA 3Д+5Д 1999 /CORDOBA 2000 СТ ВЕТР ЗЛЗЛ+ИНК</t>
  </si>
  <si>
    <t>6190507</t>
  </si>
  <si>
    <t>VOLKSWAGEN POLO CLIC 1999-2003  СТ ВЕТР ЗЛСР+ИНК/SEAT IBIZA 3Д+5Д 1999 /CORDOBA 2000 СТ ВЕТР ЗЛСР+ИНК</t>
  </si>
  <si>
    <t>6190508</t>
  </si>
  <si>
    <t>VOLKSWAGEN POLO CLIC 1999-2003  СТ ВЕТР ЗЛ+ДД+ИНК/SEAT IBIZA 3Д+5Д 1999 /CORDOBA 2000 СТ ВЕТР ЗЛ+ДД+ИНК</t>
  </si>
  <si>
    <t>6961809</t>
  </si>
  <si>
    <t>VOLKSWAGEN POLO CLIC 1999-2003  СТ ВЕТР ЗЛ+ИНК/SEAT IBIZA 3Д+5Д 1999 /CORDOBA 2000 СТ ВЕТР ЗЛ+ИНК</t>
  </si>
  <si>
    <t>SCIROCCO 1981-1992</t>
  </si>
  <si>
    <t>6963598</t>
  </si>
  <si>
    <t>1981-1992</t>
  </si>
  <si>
    <t>VOLKSWAGEN SCIROCCO 1981-1992 СТ ВЕТР</t>
  </si>
  <si>
    <t>6963770</t>
  </si>
  <si>
    <t>VOLKSWAGEN SCIROCCO 1981-1992 СТ ВЕТР ЗЛ</t>
  </si>
  <si>
    <t>6963771</t>
  </si>
  <si>
    <t>VOLKSWAGEN SCIROCCO 1981-1992 СТ ВЕТР ЗЛЗЛ</t>
  </si>
  <si>
    <t>SHARAN 1995-2005/1999/2003/2000</t>
  </si>
  <si>
    <t>6190666</t>
  </si>
  <si>
    <t>VOLKSWAGEN SHARAN 1995-05/1999 СТ ВЕТР ЗЛ/FORD GALAXY I 1995-2006  СТ ВЕТР ЗЛ</t>
  </si>
  <si>
    <t>6190667</t>
  </si>
  <si>
    <t>200-2005</t>
  </si>
  <si>
    <t>VOLKSWAGEN SHARAN 03/2000-2005 СТ ВЕТР ЗЛГЛ/FORD GALAXY I 1995-2006 05/99 СТ ВЕТР ЗЛГЛ</t>
  </si>
  <si>
    <t>6190857</t>
  </si>
  <si>
    <t>VOLKSWAGEN SHARAN 03/2000-2005 СТ ВЕТР ЗЛГЛ+ЭО+VIN/FORD GALAXY I 03/2000-2006  СТ ВЕТР ЗЛГЛ+ЭО+VIN</t>
  </si>
  <si>
    <t>6190142</t>
  </si>
  <si>
    <t>VOLKSWAGEN SHARAN 1995-05/1999 СТ ВЕТР ЗЛЗЛ/FORD GALAXY I 1995-2006  СТ ВЕТР ЗЛЗЛ</t>
  </si>
  <si>
    <t>6190670</t>
  </si>
  <si>
    <t>1999-2000</t>
  </si>
  <si>
    <t>VOLKSWAGEN SHARAN 05/1999-03/2000 СТ ВЕТР ЗЛ+ЭО+VIN/FORD GALAXY I 1995-2006 /00 СТ ВЕТР  ЗЛ ЭО +VIN ИЗМ ШЕЛК</t>
  </si>
  <si>
    <t>6190671</t>
  </si>
  <si>
    <t>VOLKSWAGEN SHARAN 03/2000-2005 СТ ВЕТР ЗЛ+ЭО+VIN/FORD GALAXY I 03/2000-2006  СТ ВЕТР ЗЛ ЭО+VIN</t>
  </si>
  <si>
    <t>6190748</t>
  </si>
  <si>
    <t>VOLKSWAGEN SHARAN 03/2000-2005 СТ ВЕТР ЗЛ+VIN/FORD GALAXY I 03/2000-2006  СТ ВЕТР ЗЛ+VIN</t>
  </si>
  <si>
    <t>6190861</t>
  </si>
  <si>
    <t>VOLKSWAGEN SHARAN 11/2003-2005 СТ ВЕТР ЗЛ+VIN+УО/FORD GALAXY I 11/2003-2006 СТ ВЕТР ЗЛ SOL+VIN+УО</t>
  </si>
  <si>
    <t>6190780</t>
  </si>
  <si>
    <t>VOLKSWAGEN SHARAN 1995-2005 МОЛД ДЛЯ СТ ВЕТР</t>
  </si>
  <si>
    <t>6190673</t>
  </si>
  <si>
    <t>1995-2005</t>
  </si>
  <si>
    <t>VOLKSWAGEN SHARAN МИН 1995-2005 СТ ЗАДН ЗЛ/FORD GALAXY I 1995-2006  СТ ЗАДН ЭО ЗЛ</t>
  </si>
  <si>
    <t>6190674</t>
  </si>
  <si>
    <t>VOLKSWAGEN SHARAN МИН 1995-2005 СТ ЗАДН ЗЛ+СТОП/FORD GALAXY I 1995-2006  СТ ЗАДН ЗЛ+СТОП</t>
  </si>
  <si>
    <t>6190781</t>
  </si>
  <si>
    <t>VOLKSWAGEN SHARAN 1995-2005  МОЛД ДЛЯ СТ ЗАДН</t>
  </si>
  <si>
    <t>6190675</t>
  </si>
  <si>
    <t>VOLKSWAGEN SHARAN 1995-2005  СТ ПЕР ДВ ОП ЛВ ЗЛ/FORD GALAXY I 1995-2006  СТ ПЕР ДВ ОП ЛВ ЗЛ</t>
  </si>
  <si>
    <t>6190677</t>
  </si>
  <si>
    <t>VOLKSWAGEN SHARAN 1995-2005 СТ ЗАДН ОП ЛВ ЗЛ/FORD GALAXY I 1995-2006  СТ ЗАДН ДВ ОП ЛВ ЗЛ</t>
  </si>
  <si>
    <t>6190678</t>
  </si>
  <si>
    <t>VOLKSWAGEN SHARAN 1995-2005  СТ ПЕР ДВ ОП ПР ЗЛ/FORD GALAXY I 1995-2006  СТ ПЕР ДВ ОП ПР ЗЛ</t>
  </si>
  <si>
    <t>6980259</t>
  </si>
  <si>
    <t>VOLKSWAGEN SHARAN 1995-2005  СТ ЗАДН ДВ ОП ПР ЗЛ/FORD GALAXY I 1995-2006  СТ ЗАДН ДВ ОП ПР ЗЛ</t>
  </si>
  <si>
    <t>SHARAN II 2009-</t>
  </si>
  <si>
    <t>6965371</t>
  </si>
  <si>
    <t>VOLKSWAGEN SHARAN II 2009- СТ ВЕТР ЗЛ+ДД+VIN+ДО+И</t>
  </si>
  <si>
    <t>6965447</t>
  </si>
  <si>
    <t>VOLKSWAGEN SHARAN II 2009- СТ ВЕТР ЗЛ+ЭО+ДД+VIN+Д</t>
  </si>
  <si>
    <t>6965267</t>
  </si>
  <si>
    <t>VOLKSWAGEN SHARAN 2008- СТ ВЕТР ЗЛ+ЭО+VIN+ДО+ИНК</t>
  </si>
  <si>
    <t>6965268</t>
  </si>
  <si>
    <t>VOLKSWAGEN SHARAN II 2009-СТ ВЕТР ЗЛ+VIN+ДО+ИНК</t>
  </si>
  <si>
    <t>6965270</t>
  </si>
  <si>
    <t>VOLKSWAGEN SHARAN II 2009-СТ ВЕТР ЗЛ+ДД+VIN+ДО</t>
  </si>
  <si>
    <t>TARRO HIGH</t>
  </si>
  <si>
    <t>6963774</t>
  </si>
  <si>
    <t>VOLKSWAGEN TARRO HIGH СТ ВЕТР/TOYOTA HI LUX YN106/LN105 1989- СТ ВЕТР</t>
  </si>
  <si>
    <t>6102389</t>
  </si>
  <si>
    <t>VOLKSWAGEN TARRO HIGH PICK UP РЕЗ ПРОФ ДЛЯ СТ ВЕТР</t>
  </si>
  <si>
    <t>TIGUAN 2007-</t>
  </si>
  <si>
    <t>6962785</t>
  </si>
  <si>
    <t>VOLKSWAGEN TIGUAN 2007- СТ ВЕТР ЗЛ+ДД+VIN+ИНК+ИЗМ КР</t>
  </si>
  <si>
    <t>6962786</t>
  </si>
  <si>
    <t>VOLKSWAGEN TIGUAN 2007- СТ ВЕТР ЗЛ+VIN+ИНК</t>
  </si>
  <si>
    <t>6900461</t>
  </si>
  <si>
    <t>VOLKSWAGEN TIGUAN 2007- СТ ЗАДН ЗЛ+АНТ</t>
  </si>
  <si>
    <t>6993843</t>
  </si>
  <si>
    <t>VOLKSWAGEN TIGUAN 2007- СТ ФОРТ ЗАДН НЕП ЛВ ТЗЛ+ИНК</t>
  </si>
  <si>
    <t>6900458</t>
  </si>
  <si>
    <t>VOLKSWAGEN TIGUAN 2007- СТ ПЕР ДВ ОП ЛВ ЗЛ</t>
  </si>
  <si>
    <t>6900460</t>
  </si>
  <si>
    <t>VOLKSWAGEN TIGUAN 2007- СТ ЗАДН ДВ ОП ЛВ ЗЛ+УО</t>
  </si>
  <si>
    <t>6993841</t>
  </si>
  <si>
    <t>VOLKSWAGEN TIGUAN 2007- СТ ФОРТ ЗАДН НЕП ЛВ ЗЛ+ИНК</t>
  </si>
  <si>
    <t>6993842</t>
  </si>
  <si>
    <t>VOLKSWAGEN TIGUAN 2007- СТ ФОРТ ЗАДН НЕП ПР ТЗЛ+ИНК</t>
  </si>
  <si>
    <t>6900457</t>
  </si>
  <si>
    <t>VOLKSWAGEN TIGUAN 2007- СТ ПЕР ДВ ОП ПР ЗЛ</t>
  </si>
  <si>
    <t>6900459</t>
  </si>
  <si>
    <t>VOLKSWAGEN TIGUAN 2007- СТ ЗАДН ДВ ОП ПР ЗЛ+УО</t>
  </si>
  <si>
    <t>6993840</t>
  </si>
  <si>
    <t>VOLKSWAGEN TIGUAN 2007- СТ ФОРТ ЗАДН НЕП ПР ЗЛ+ИНК</t>
  </si>
  <si>
    <t>TOURAN MPV 2003-</t>
  </si>
  <si>
    <t>6960993</t>
  </si>
  <si>
    <t>VOLKSWAGEN TOURAN МИН 2003- СТ ВЕТР ЗЛХАМ/СР+УО</t>
  </si>
  <si>
    <t>6961267</t>
  </si>
  <si>
    <t>VOLKSWAGEN TOURAN МИН 2003- СТ ВЕТР ЗЛСР+VIN+УО</t>
  </si>
  <si>
    <t>6962878</t>
  </si>
  <si>
    <t>VOLKSWAGEN TOURAN МИН 2007- СТ ВЕТР ЗЛСР+VIN+УО</t>
  </si>
  <si>
    <t>6961773</t>
  </si>
  <si>
    <t>VOLKSWAGEN TOURAN МИН 12/2005- СТ ВЕТР ЗЛ+ДД+VIN+УО</t>
  </si>
  <si>
    <t>6962729</t>
  </si>
  <si>
    <t>6965230</t>
  </si>
  <si>
    <t>VOLKSWAGEN TOURAN МИН 2009- СТ ВЕТР ЗЛ+ДД+VIN+ИНК</t>
  </si>
  <si>
    <t>6961268</t>
  </si>
  <si>
    <t>VOLKSWAGEN TOURAN МИН 2003- СТ ВЕТР ЗЛ+VIN+УО</t>
  </si>
  <si>
    <t>6962752</t>
  </si>
  <si>
    <t>VOLKSWAGEN TOURAN МИН 2007- СТ ВЕТР ЗЛ+VIN+УО</t>
  </si>
  <si>
    <t>6960992</t>
  </si>
  <si>
    <t>VOLKSWAGEN TOURAN МИН 2003- СТ ВЕТР ЗЛ+УО</t>
  </si>
  <si>
    <t>6991655</t>
  </si>
  <si>
    <t>VOLKSWAGEN TOURAN МИН 2003- СТ ЗАДН ТЗЛ+ИНК</t>
  </si>
  <si>
    <t>6991633</t>
  </si>
  <si>
    <t>VOLKSWAGEN TOURAN МИН 2003- СТ ЗАДН ЗЛ+ИНК</t>
  </si>
  <si>
    <t>6996066</t>
  </si>
  <si>
    <t>VOLKSWAGEN TOURAN МИН 2003- СТ ЗАДН  СР+ИНК</t>
  </si>
  <si>
    <t>6997460</t>
  </si>
  <si>
    <t>VOLKSWAGEN TOURAN MPV 2003- СТ ЗАДН ДВ ОП ЛВ ТЗЛ+УО</t>
  </si>
  <si>
    <t>6996294</t>
  </si>
  <si>
    <t>VOLKSWAGEN TOURAN MPV 2003- СТ ФОРТ ЗАДН НЕП ЛВ ТЗЛ</t>
  </si>
  <si>
    <t>6996124</t>
  </si>
  <si>
    <t>VOLKSWAGEN TOURAN MPV 2003- СТ ПЕР ДВ ОП ЛВ ЗЛ</t>
  </si>
  <si>
    <t>6996292</t>
  </si>
  <si>
    <t>VOLKSWAGEN TOURAN MPV 2003- СТ ЗАДН ДВ ОП ЛВ ЗЛ+УО</t>
  </si>
  <si>
    <t>6996296</t>
  </si>
  <si>
    <t>VOLKSWAGEN TOURAN MPV 2003- СТ ФОРТ ЗАДН НЕП ЛВ ЗЛ</t>
  </si>
  <si>
    <t>6997465</t>
  </si>
  <si>
    <t>VOLKSWAGEN TOURAN MPV 2003- СТ ЗАДН ДВ ОП ПР ТЗЛ+УО</t>
  </si>
  <si>
    <t>6996295</t>
  </si>
  <si>
    <t>VOLKSWAGEN TOURAN MPV 2003- СТ ФОРТ ЗАДН НЕП ПР ТЗЛ</t>
  </si>
  <si>
    <t>6993898</t>
  </si>
  <si>
    <t>VOLKSWAGEN TOURAN MPV 2003- СТ ПЕР ДВ ОП ПР ЗЛ</t>
  </si>
  <si>
    <t>6996293</t>
  </si>
  <si>
    <t>VOLKSWAGEN TOURAN MPV 2003- СТ ЗАДН ДВ ОП ПР ЗЛ+УО</t>
  </si>
  <si>
    <t>6996297</t>
  </si>
  <si>
    <t>VOLKSWAGEN TOURAN MPV 2003- СТ ФОРТ ЗАДН НЕП ПР ЗЛ</t>
  </si>
  <si>
    <t>TRANSPORTER (T3) 1979-1991</t>
  </si>
  <si>
    <t>6967501</t>
  </si>
  <si>
    <t>VOLKSWAGEN COMBI,BULLY,TRANSPORTER 1979-1991 СТ ВЕТР</t>
  </si>
  <si>
    <t>6967502</t>
  </si>
  <si>
    <t>VOLKSWAGEN COMBI,BULLY,TRANSPORTER 1979-1991 СТ ВЕТР ЗЛ</t>
  </si>
  <si>
    <t>6963712</t>
  </si>
  <si>
    <t>VOLKSWAGEN COMBI,BULLY,TRANSPORTER 1979-1991 СТ ВЕТР ЗЛ АНТ</t>
  </si>
  <si>
    <t>6967503</t>
  </si>
  <si>
    <t>VOLKSWAGEN COMBI,BULLY,TRANSPORTER 1979-1991 СТ ВЕТР ЗЛГЛ</t>
  </si>
  <si>
    <t>6967504</t>
  </si>
  <si>
    <t>VOLKSWAGEN COMBI,BULLY,TRANSPORTER 1979-1991 СТ ВЕТР ЗЛЗЛ</t>
  </si>
  <si>
    <t>6100231</t>
  </si>
  <si>
    <t>VOLKSWAGEN COMBI,BULLY,TRANSPORTER 1979-1991 РЕЗ ПРОФ ДЛЯ СТ ВЕТР</t>
  </si>
  <si>
    <t>6998984</t>
  </si>
  <si>
    <t>VOLKSWAGEN COMBI,BULLY,TRANSPORTER МИН 1979-1991 СТ ЗАДН ЭО</t>
  </si>
  <si>
    <t>6101176</t>
  </si>
  <si>
    <t>VOLKSWAGEN COMBI,BULLY,TRANSPORTER 1979-1991 РЕЗ ПРОФ ДЛЯ СТ ЗАДН</t>
  </si>
  <si>
    <t>6996907</t>
  </si>
  <si>
    <t>VOLKSWAGEN COMBI,BULLY,TRANSPORTER 1979-1991 СТ ПЕР ДВ ОП ЛВ</t>
  </si>
  <si>
    <t>6996908</t>
  </si>
  <si>
    <t>VOLKSWAGEN COMBI,BULLY,TRANSPORTER 1979-1991 СТ ПЕР НЕП ЛВ</t>
  </si>
  <si>
    <t>6996909</t>
  </si>
  <si>
    <t>VOLKSWAGEN COMBI,BULLY,TRANSPORTER 1979-1991 СТ ПЕР ДВ ОП ПР</t>
  </si>
  <si>
    <t>6996910</t>
  </si>
  <si>
    <t>VOLKSWAGEN COMBI,BULLY,TRANSPORTER 1979-1991 СТ ПЕР НЕП ПР</t>
  </si>
  <si>
    <t>TRANSPORTER/CARAVELLE (T4) 1990-2003</t>
  </si>
  <si>
    <t>6967505</t>
  </si>
  <si>
    <t>1990-2003</t>
  </si>
  <si>
    <t>VOLKSWAGEN TRANSPORTER/CARAVELLE (T4) 1990-2003 СТ ВЕТР</t>
  </si>
  <si>
    <t>6961626</t>
  </si>
  <si>
    <t>VOLKSWAGEN TRANSPORTER/CARAVELLE (T4) 1998-2003 СТ ВЕТР+ИЗМ КР</t>
  </si>
  <si>
    <t>6963715</t>
  </si>
  <si>
    <t>VOLKSWAGEN TRANSPORTER/CARAVELLE (T4) 1990-2003 СТ ВЕТР АНТ</t>
  </si>
  <si>
    <t>6961651</t>
  </si>
  <si>
    <t>VOLKSWAGEN TRANSPORTER/CARAVELLE (T4) 1998-2003 СТ ВЕТ ЗП СЕР+ИЗМ КР</t>
  </si>
  <si>
    <t>6961710</t>
  </si>
  <si>
    <t>VOLKSWAGEN TRANSPORTER/CARAVELLE (T4) 1998-2003  СТ ВЕТР ПРСР+АНТ</t>
  </si>
  <si>
    <t>6967506</t>
  </si>
  <si>
    <t>VOLKSWAGEN TRANSPORTER/CARAVELLE (T4) 1990-2003 СТ ВЕТР ЗЛ</t>
  </si>
  <si>
    <t>6961627</t>
  </si>
  <si>
    <t>VOLKSWAGEN TRANSPORTER/CARAVELLE (T4) 1998-2003 СТ ВЕТР ЗЛ+ИЗМ КР</t>
  </si>
  <si>
    <t>6963716</t>
  </si>
  <si>
    <t>VOLKSWAGEN TRANSPORTER/CARAVELLE (T4) 1990-2003 СТ ВЕТР ЗЛ АНТ</t>
  </si>
  <si>
    <t>6967508</t>
  </si>
  <si>
    <t>VOLKSWAGEN TRANSPORTER/CARAVELLE (T4) 1990-2003 СТ ВЕТР ЗЛГЛ</t>
  </si>
  <si>
    <t>6961629</t>
  </si>
  <si>
    <t>VOLKSWAGEN TRANSPORTER/CARAVELLE (T4) 1998-2003 СТ ВЕТР ЗЛГЛ+ИЗМ КР</t>
  </si>
  <si>
    <t>6963717</t>
  </si>
  <si>
    <t>VOLKSWAGEN TRANSPORTER/CARAVELLE (T4) 1990-2003 СТ ВЕТР ЗЛГЛ+АНТ</t>
  </si>
  <si>
    <t>6967507</t>
  </si>
  <si>
    <t>VOLKSWAGEN TRANSPORTER/CARAVELLE (T4) 1990-2003 СТ ВЕТР ЗЛЗЛ</t>
  </si>
  <si>
    <t>6961628</t>
  </si>
  <si>
    <t>VOLKSWAGEN TRANSPORTER/CARAVELLE (T4) 1998-2003 СТ ВЕТР ЗЛЗЛ+ИЗМ КР</t>
  </si>
  <si>
    <t>6963718</t>
  </si>
  <si>
    <t>VOLKSWAGEN TRANSPORTER/CARAVELLE (T4) 1990-2003 СТ ВЕТР ЗЛЗЛ+АНТ</t>
  </si>
  <si>
    <t>6960756</t>
  </si>
  <si>
    <t>VOLKSWAGEN TRANSPORTER/CARAVELLE (T4) 1998-2003 СТ ВЕТР ЗЛСР</t>
  </si>
  <si>
    <t>6960755</t>
  </si>
  <si>
    <t>VOLKSWAGEN TRANSPORTER/CARAVELLE (T4) 1990-2003 СТ ВЕТР ЗЛСР+АНТ+ИЗ КР</t>
  </si>
  <si>
    <t>6100238</t>
  </si>
  <si>
    <t>VOLKSWAGEN TRANSPORTER/CARAVELLE (T4) 1990-2003  МОЛД  ДЛЯ СТ ВЕТР</t>
  </si>
  <si>
    <t>6998014</t>
  </si>
  <si>
    <t>VOLKSWAGEN TRANSPORTER/CARAVELLE (T4) ПИКАП 1990-2003 СТ ЗАДН ЭО</t>
  </si>
  <si>
    <t>6998678</t>
  </si>
  <si>
    <t>VOLKSWAGEN TRANSPORTER/CARAVELLE (T4) МИН 1990-2003 СТ ЗАДН ЭО</t>
  </si>
  <si>
    <t>6993913</t>
  </si>
  <si>
    <t>VOLKSWAGEN TRANSPORTER/CARAVELLE (T4) МИН 1990-2003 СТ ЗАДН ЛВ+СТОП</t>
  </si>
  <si>
    <t>6993914</t>
  </si>
  <si>
    <t>VOLKSWAGEN TRANSPORTER/CARAVELLE (T4) МИН 1990-2003  СТ ЗАДН ЛВ</t>
  </si>
  <si>
    <t>6991693</t>
  </si>
  <si>
    <t>VOLKSWAGEN TRANSPORTER/CARAVELLE (T4) МИН 1990-2003 СТ ЗАДН ЛВ+ВЫС КРЫША</t>
  </si>
  <si>
    <t>6998068</t>
  </si>
  <si>
    <t>6998540</t>
  </si>
  <si>
    <t>VOLKSWAGEN TRANSPORTER/CARAVELLE (T4) МИН 1990-2003 СТ ЗАДН ПР</t>
  </si>
  <si>
    <t>6991696</t>
  </si>
  <si>
    <t>VOLKSWAGEN TRANSPORTER/CARAVELLE (T4) МИН 1990-2003 СТ ЗАДН ПР+ВЫС КРЫША</t>
  </si>
  <si>
    <t>6998069</t>
  </si>
  <si>
    <t>VOLKSWAGEN TRANSPORTER/CARAVELLE (T4) МИН 1990-2003  СТ ЗАДН ПР</t>
  </si>
  <si>
    <t>6990714</t>
  </si>
  <si>
    <t>VOLKSWAGEN TRANSPORTER/CARAVELLE (T4) МИН 1990-2003  СТ ЗАДН Б/ЭО</t>
  </si>
  <si>
    <t>6998875</t>
  </si>
  <si>
    <t>VOLKSWAGEN TRANSPORTER/CARAVELLE (T4) МИН 1990-2003  СТ ЗАДН ЗЛ</t>
  </si>
  <si>
    <t>6993916</t>
  </si>
  <si>
    <t>VOLKSWAGEN TRANSPORTER/CARAVELLE (T4) МИН 1990-2003 СТ ЗАДН ЗЛ ЛВ+СТОП</t>
  </si>
  <si>
    <t>6998015</t>
  </si>
  <si>
    <t>VOLKSWAGEN TRANSPORTER/CARAVELLE (T4) МИН 1990-2003 СТ ЗАДН ЭО ЗЛ ЛВ</t>
  </si>
  <si>
    <t>6998070</t>
  </si>
  <si>
    <t>VOLKSWAGEN TRANSPORTER/CARAVELLE (T4) МИН 1990-2003 СТ ЗАДН ЭО ЗЛ ПР</t>
  </si>
  <si>
    <t>6101270</t>
  </si>
  <si>
    <t>VOLKSWAGEN TRANSPORTER/CARAVELLE (T4) 1990-2003  МОЛД  ДЛЯ СТ ЗАДН</t>
  </si>
  <si>
    <t>6998542</t>
  </si>
  <si>
    <t>VOLKSWAGEN TRANSPORTER/CARAVELLE (T4) 1990-2003 СТ ПЕР НЕП</t>
  </si>
  <si>
    <t>6993917</t>
  </si>
  <si>
    <t>VOLKSWAGEN TRANSPORTER/CARAVELLE (T4) 1990-2003 СТ ПЕР ДВ ОП УО</t>
  </si>
  <si>
    <t>6993918</t>
  </si>
  <si>
    <t>VOLKSWAGEN TRANSPORTER/CARAVELLE (T4) 1990-2003 СТ ПЕР НЕП ЗЛ</t>
  </si>
  <si>
    <t>6998541</t>
  </si>
  <si>
    <t>VOLKSWAGEN TRANSPORTER/CARAVELLE (T4) 1990-2003 СТ ПЕР ДВ ОП ЗЛ УО</t>
  </si>
  <si>
    <t>6998520</t>
  </si>
  <si>
    <t>VOLKSWAGEN TRANSPORTER/CARAVELLE (T4) 1990-2003 СТ ПЕР ДВ ОП ЛВ</t>
  </si>
  <si>
    <t>6993920</t>
  </si>
  <si>
    <t>VOLKSWAGEN TRANSPORTER/CARAVELLE (T4) 1990-2003 СТ БОК НЕП ЛВ</t>
  </si>
  <si>
    <t>6990968</t>
  </si>
  <si>
    <t>VOLKSWAGEN TRANSPORTER/CARAVELLE (T4) 1990-2003 СТ БОК ЛВ</t>
  </si>
  <si>
    <t>6994270</t>
  </si>
  <si>
    <t>VOLKSWAGEN TRANSPORTER/CARAVELLE (T4) 1990-2003 СТ СР ЛВ</t>
  </si>
  <si>
    <t>6998518</t>
  </si>
  <si>
    <t>VOLKSWAGEN TRANSPORTER/CARAVELLE (T4) 1990-2003 СТ ПЕР ДВ ОП ЛВ ЗЛ</t>
  </si>
  <si>
    <t>6999227</t>
  </si>
  <si>
    <t>VOLKSWAGEN TRANSPORTER/CARAVELLE (T4) 1990-2003 СТ БОК НЕП ЛВ ЗЛ</t>
  </si>
  <si>
    <t>6990723</t>
  </si>
  <si>
    <t>VOLKSWAGEN TRANSPORTER/CARAVELLE (T4) 1990-2003 СТ БОК ЛВ ЗЛ</t>
  </si>
  <si>
    <t>6998521</t>
  </si>
  <si>
    <t>VOLKSWAGEN TRANSPORTER/CARAVELLE (T4) 1990-2003 СТ ПЕР ДВ ОП ПР</t>
  </si>
  <si>
    <t>6993921</t>
  </si>
  <si>
    <t>VOLKSWAGEN TRANSPORTER/CARAVELLE (T4) 1990-2003 СТ БОК ПР</t>
  </si>
  <si>
    <t>6990963</t>
  </si>
  <si>
    <t>6998519</t>
  </si>
  <si>
    <t>VOLKSWAGEN TRANSPORTER/CARAVELLE (T4) 1990-2003 СТ ПЕР ДВ ОП ПР ЗЛ</t>
  </si>
  <si>
    <t>6999228</t>
  </si>
  <si>
    <t>VOLKSWAGEN TRANSPORTER/CARAVELLE (T4) 1990-2003 СТ БОК НЕП ПР ЗЛ</t>
  </si>
  <si>
    <t>6990964</t>
  </si>
  <si>
    <t>VOLKSWAGEN TRANSPORTER/CARAVELLE (T4) 1990-2003 СТ БОК ПР ЗЛ</t>
  </si>
  <si>
    <t>TRANSPORTER/MULTIVAN (T5) 2003-</t>
  </si>
  <si>
    <t>6962375</t>
  </si>
  <si>
    <t>VOLKSWAGEN TRANSPORTER 2003- СТ ВЕТР ЗЛ+АНТ+VIN+ИНК</t>
  </si>
  <si>
    <t>6962733</t>
  </si>
  <si>
    <t>VOLKSWAGEN TRANSPORTER/MULTIVAN (T5) 2003- СТ ВЕТР ЗЛ+ДД+VIN+ИНК</t>
  </si>
  <si>
    <t>6962842</t>
  </si>
  <si>
    <t>VOLKSWAGEN TRANSPORTER/MULTIVAN (T5) 2003- СТ ВЕТР ЗЛ+АНТ+ДД+VIN+ИНК</t>
  </si>
  <si>
    <t>6960973</t>
  </si>
  <si>
    <t>VOLKSWAGEN TRANSPORTER/MULTIVAN (T5) 2003- СТ ВЕТР ЗЛСР+АНТ+ДД+VIN+ИНК</t>
  </si>
  <si>
    <t>6961712</t>
  </si>
  <si>
    <t>VOLKSWAGEN TRANSPORTER/MULTIVAN (T5) 2003- СТ ВЕТР ЗЛСР+АНТ+VIN+ИНК</t>
  </si>
  <si>
    <t>6960972</t>
  </si>
  <si>
    <t>VOLKSWAGEN TRANSPORTER/MULTIVAN (T5) 2003- СТ ВЕТР ЗЛ СР+АНТ+VIN+ИНК</t>
  </si>
  <si>
    <t>6960971</t>
  </si>
  <si>
    <t>VOLKSWAGEN TRANSPORTER/MULTIVAN (T5) 2003- СТ ВЕТР ЗЛСР+ДД+VIN+ИНК</t>
  </si>
  <si>
    <t>6960970</t>
  </si>
  <si>
    <t>VOLKSWAGEN TRANSPORTER/MULTIVAN (T5) 2003- СТ ВЕТР ЗЛСР+VIN+ИНК</t>
  </si>
  <si>
    <t>6995967</t>
  </si>
  <si>
    <t>VOLKSWAGEN TRANSPORTER/MULTIVAN (T5) МИН 2003- СТ ЗАДН ЗЛ ЛВ ЗЛ</t>
  </si>
  <si>
    <t>6995968</t>
  </si>
  <si>
    <t>VOLKSWAGEN TRANSPORTER/MULTIVAN (T5) МИН 2003- СТ ЗАДН ЗЛ ПР ЗЛ</t>
  </si>
  <si>
    <t>6996130</t>
  </si>
  <si>
    <t>VOLKSWAGEN TRANSPORTER/MULTIVAN (T5) МИН 2003- СТ ЗАДН ЗЛ+УО</t>
  </si>
  <si>
    <t>6996125</t>
  </si>
  <si>
    <t>6995969</t>
  </si>
  <si>
    <t>VOLKSWAGEN TRANSPORTER/MULTIVAN (T5) 2003- СТ ПЕР ДВ ОП ЛВ ЗЛ</t>
  </si>
  <si>
    <t>6900112</t>
  </si>
  <si>
    <t>VOLKSWAGEN TRANSPORTER/MULTIVAN (T5) 2003- СТ СР ЗЛ ЛВ</t>
  </si>
  <si>
    <t>6997644</t>
  </si>
  <si>
    <t>VOLKSWAGEN TRANSPORTER/MULTIVAN (T5) 2003- СТ ЗАДН ДВ ОП ЛВ ЗЛ</t>
  </si>
  <si>
    <t>6900340</t>
  </si>
  <si>
    <t>VOLKSWAGEN TRANSPORTER/MULTIVAN (T5) 2003- СТ БОК НЕП ЛВ ЗЛ</t>
  </si>
  <si>
    <t>6992067</t>
  </si>
  <si>
    <t>VOLKSWAGEN TRANSPORTER/MULTIVAN (T5) 2003- СТ БОК ПОД ЛВ ЗЛ УО</t>
  </si>
  <si>
    <t>6993172</t>
  </si>
  <si>
    <t>VOLKSWAGEN TRANSPORTER/MULTIVAN (T5) 2003- СТ ЗАДН НЕП ЛВ ЗЛ+УО</t>
  </si>
  <si>
    <t>6993927</t>
  </si>
  <si>
    <t>VOLKSWAGEN TRANSPORTER/MULTIVAN (T5) 2003- СТ ПЕР ДВ ОП ПР ЗЛ</t>
  </si>
  <si>
    <t>6900120</t>
  </si>
  <si>
    <t>VOLKSWAGEN TRANSPORTER/MULTIVAN (T5) 2003- СТ СР ЗЛ ПР</t>
  </si>
  <si>
    <t>6993997</t>
  </si>
  <si>
    <t>VOLKSWAGEN TRANSPORTER/MULTIVAN (T5) 2003- СТ ЗАДН ДВ ОП ПР ЗЛ</t>
  </si>
  <si>
    <t>6900353</t>
  </si>
  <si>
    <t>VOLKSWAGEN TRANSPORTER/MULTIVAN (T5) 2003- СТ БОК НЕП ПР ЗЛ</t>
  </si>
  <si>
    <t>6992066</t>
  </si>
  <si>
    <t>VOLKSWAGEN TRANSPORTER/MULTIVAN (T5) 2003- СТ БОК ПР ЗЛ УО</t>
  </si>
  <si>
    <t>6993171</t>
  </si>
  <si>
    <t>VOLKSWAGEN TRANSPORTER/MULTIVAN (T5) 2003- СТ ЗАДН НЕП ПР ЗЛ+УО</t>
  </si>
  <si>
    <t>TOUAREG 2002-2010</t>
  </si>
  <si>
    <t>6962904</t>
  </si>
  <si>
    <t>VOLKSWAGEN TOUAREG 2002-2010 СТ ВЕТР ЗЛСР+ДД+ИНК+VIN+ЭО</t>
  </si>
  <si>
    <t>6962903</t>
  </si>
  <si>
    <t>VOLKSWAGEN TOUAREG 2002-2010 СТ ВЕТР ЗЛСР+VIN+ИНК+ЭО</t>
  </si>
  <si>
    <t>6950161</t>
  </si>
  <si>
    <t>VOLKSWAGEN TOUAREG 2002-2010 СТ ВЕТР ЗЛСР+ДД+VIN</t>
  </si>
  <si>
    <t>6961353</t>
  </si>
  <si>
    <t>VOLKSWAGEN TOUAREG 2002-2010 СТ ВЕТР ЗЛСР+ДД+VIN+ИНК+ИЗМ ШЕЛК</t>
  </si>
  <si>
    <t>6961354</t>
  </si>
  <si>
    <t>VOLKSWAGEN TOUAREG 2002-2010 СТ ВЕТР ЗЛСР+VIN+ИНК/PORSCHE CAYENNE 2002- СТ ВЕТР ЗЛСР</t>
  </si>
  <si>
    <t>6997488</t>
  </si>
  <si>
    <t>VOLKSWAGEN TOUAREG ВН 2002-2010 СТ ЗАДН ТЗЛ+УО+АНТ</t>
  </si>
  <si>
    <t>6997489</t>
  </si>
  <si>
    <t>VOLKSWAGEN TOUAREG ВН 2002-2010 СТ ЗАДН ЗЛ+АНТ+УО</t>
  </si>
  <si>
    <t>6995970</t>
  </si>
  <si>
    <t>VOLKSWAGEN TOUAREG 2002-2010 СТ ПЕР ДВ ОП ЛВ ЗЛ/PORSCHE CAYENNE 2002- СТ ПЕР ДВ ОП ЛВ ЗЛ</t>
  </si>
  <si>
    <t>6997527</t>
  </si>
  <si>
    <t>VOLKSWAGEN TOUAREG 2002-2010 СТ ЗАДН ДВ ОП ЛВ ЗЛ/PORSCHE CAYENNE 2002- СТ ЗАДН ДВ ОП ЛВ ЗЛ</t>
  </si>
  <si>
    <t>6997512</t>
  </si>
  <si>
    <t>VOLKSWAGEN TOUAREG 2002-2010 СТ БОК НЕП ЛВ ЗЛ+АНТ+ИНК</t>
  </si>
  <si>
    <t>6997511</t>
  </si>
  <si>
    <t>VOLKSWAGEN TOUAREG 2002-2010 СТ БОК НЕП ЛВ ЗЛ+АНТ+ИНК+ИЗМ ИНК</t>
  </si>
  <si>
    <t>6993928</t>
  </si>
  <si>
    <t>VOLKSWAGEN TOUAREG 2002-2010 СТ ПЕР ДВ ОП ПР ЗЛ/PORSCHE CAYENNE 2002- СТ ПЕР ДВ ОП ПР ЗЛ</t>
  </si>
  <si>
    <t>6993929</t>
  </si>
  <si>
    <t>VOLKSWAGEN TOUAREG 2002-2010 СТ ЗАДН ДВ ОП ПР ЗЛ/PORSCHE CAYENNE 2002- СТ ЗАДН ДВ ОП ПР</t>
  </si>
  <si>
    <t>6997514</t>
  </si>
  <si>
    <t>VOLKSWAGEN TOUAREG 2002-2010 СТ БОК НЕП ПР ЗЛ+АНТ+ИНК</t>
  </si>
  <si>
    <t>6997513</t>
  </si>
  <si>
    <t>VOLKSWAGEN TOUAREG 2002-2010 СТ БОК НЕП ПР ЗЛ+АНТ+ИНК+ИЗМ ИНК</t>
  </si>
  <si>
    <t>TOUAREG 2010-</t>
  </si>
  <si>
    <t>6965258</t>
  </si>
  <si>
    <t>VOLKSWAGEN TOUAREG 10 СТ ВЕТР ЗЛ+ДД+VIN+ДО+ИНК</t>
  </si>
  <si>
    <t>6965256</t>
  </si>
  <si>
    <t>VOLKSWAGEN TOUAREG 10 СТ ВЕТР ЗЛ+ЭО+ДД+VIN+ДО+ИНК</t>
  </si>
  <si>
    <t>6965259</t>
  </si>
  <si>
    <t>VOLKSWAGEN TOUAREG 2010-СТ ВЕТР ЗЛАК+КАМ+ДД+VIN</t>
  </si>
  <si>
    <t>6965257</t>
  </si>
  <si>
    <t>VOLKSWAGEN TOUAREG 2010-СТ ВЕТР ЗЛАК+ДД+VIN+ДО</t>
  </si>
  <si>
    <t>6998218</t>
  </si>
  <si>
    <t>VOLKSWAGEN TOUAREG 2010- СТ ПЕР ДВ ОП ЗЛ ЛВ</t>
  </si>
  <si>
    <t>6998217</t>
  </si>
  <si>
    <t>VOLKSWAGEN TOUAREG 2010- СТ ПЕР ДВ ОП ЗЛ ПР</t>
  </si>
  <si>
    <t>VOLVO</t>
  </si>
  <si>
    <t>240/265 СД+УН 1979-1993</t>
  </si>
  <si>
    <t>6969126</t>
  </si>
  <si>
    <t>VOLVO 240/265 СД+УН 1979-1993 СТ ВЕТР</t>
  </si>
  <si>
    <t>6969127</t>
  </si>
  <si>
    <t>VOLVO 240/265 СД+УН 1979-1993 СТ ВЕТР ЗЛ</t>
  </si>
  <si>
    <t>6969128</t>
  </si>
  <si>
    <t>VOLVO 240/265 СД+УН 1979-1993 СТ ВЕТР ЗЛГЛ</t>
  </si>
  <si>
    <t>6100543</t>
  </si>
  <si>
    <t>VOLVO 240/265 СД+УН 1979-1993 НАБ КЛИПС ДЛЯ СТ ВЕТР</t>
  </si>
  <si>
    <t>6998614</t>
  </si>
  <si>
    <t>VOLVO 240/260 УН 1979-1993 СТ ЗАДН ЗЛ+СТОП</t>
  </si>
  <si>
    <t>6998684</t>
  </si>
  <si>
    <t>VOLVO 240/260 УН 1990-1994 СТ ЗАДН ДВ ЗЛ+ИНК</t>
  </si>
  <si>
    <t>6996953</t>
  </si>
  <si>
    <t>VOLVO 240/260 СД+УН 1979-1993 СТ ПЕД ДВ ОП ЛВ ЗЛ</t>
  </si>
  <si>
    <t>6996954</t>
  </si>
  <si>
    <t>VOLVO 240/260 СД+УН 1979-1993 СТ ПЕР ДВ ОП ПР ЗЛ</t>
  </si>
  <si>
    <t>340/360 1975-1991</t>
  </si>
  <si>
    <t>6969104</t>
  </si>
  <si>
    <t>1975-1991</t>
  </si>
  <si>
    <t>VOLVO 340/360 1975-1991 СТ ВЕТР</t>
  </si>
  <si>
    <t>6969106</t>
  </si>
  <si>
    <t>VOLVO 340/360 1975-1991 СТ ВЕТР ЗЛГЛ</t>
  </si>
  <si>
    <t>6998019</t>
  </si>
  <si>
    <t>1976-1991</t>
  </si>
  <si>
    <t>VOLVO 340/360 СД 1976-1991 СТ ЗАДН ЗЛ</t>
  </si>
  <si>
    <t>6996936</t>
  </si>
  <si>
    <t>VOLVO 340/360 ХБ 5Д 1976-1991 СТ ПЕР ДВ ОП ЛВ</t>
  </si>
  <si>
    <t>6996016</t>
  </si>
  <si>
    <t>VOLVO 340/360 ХБ 5Д 1976-1991 СТ ЗАДН ДВ НЕП ЛВ</t>
  </si>
  <si>
    <t>6996938</t>
  </si>
  <si>
    <t>VOLVO 340/360 ХБ 5Д 1976-1991 СТ ПЕР ДВ ОП ЛВ ЗЛ</t>
  </si>
  <si>
    <t>6996005</t>
  </si>
  <si>
    <t>VOLVO 340/360 ХБ 5Д 1976-1991 СТ БОК НЕП ЛВ ЗЛ</t>
  </si>
  <si>
    <t>6996017</t>
  </si>
  <si>
    <t>VOLVO 340/360 ХБ 5Д 1976-1991 СТ ФОРТ ЗАДН НЕП ПР</t>
  </si>
  <si>
    <t>6996940</t>
  </si>
  <si>
    <t>VOLVO 340/360 ХБ 5Д 1976-1991 СТ ПЕР ДВ ОП ПР ЗЛ</t>
  </si>
  <si>
    <t>6996004</t>
  </si>
  <si>
    <t>VOLVO 340/360 ХБ 5Д 1976-1991 СТ БОК НЕП ПР ЗЛ</t>
  </si>
  <si>
    <t>440/460 1988-1996</t>
  </si>
  <si>
    <t>6969109</t>
  </si>
  <si>
    <t>VOLVO 440/460 1988-1996 СТ ВЕТР</t>
  </si>
  <si>
    <t>6969141</t>
  </si>
  <si>
    <t>VOLVO 440/460 1988-1996 СТ ВЕТР +VIN</t>
  </si>
  <si>
    <t>6969140</t>
  </si>
  <si>
    <t>VOLVO 440/460 1988-1996 СТ ВЕТР ЗЛГЛ+VIN</t>
  </si>
  <si>
    <t>6100545</t>
  </si>
  <si>
    <t>VOLVO 440/460 1988-1996 МОЛД  ДЛЯ СТ ВЕТР  ВЕРХ</t>
  </si>
  <si>
    <t>6998686</t>
  </si>
  <si>
    <t>VOLVO 440/460 ХБ 1988-1996 СТ ЗАДН ЭО ЗЛ+СТОП</t>
  </si>
  <si>
    <t>6998932</t>
  </si>
  <si>
    <t>VOLVO 440/460 СД 1988-1996 СТ ЗАДН ЗЛ+СТОП</t>
  </si>
  <si>
    <t>6996945</t>
  </si>
  <si>
    <t>VOLVO 440/460 1988-1996 СТ ПЕР ДВ ОП ЛВ ЗЛ</t>
  </si>
  <si>
    <t>6996946</t>
  </si>
  <si>
    <t>VOLVO 440/460 1988-1996 СТ ЗАДН ДВ ОП ЛВ ЗЛ</t>
  </si>
  <si>
    <t>6996947</t>
  </si>
  <si>
    <t>VOLVO 440/460 1988-1996 СТ ПЕР ДВ ОП ПР ЗЛ</t>
  </si>
  <si>
    <t>6996948</t>
  </si>
  <si>
    <t>VOLVO 440/460 1988-1996 СТ ЗАДН ДВ ОП ПР ЗЛ</t>
  </si>
  <si>
    <t>480 КП 1986-1995</t>
  </si>
  <si>
    <t>6963725</t>
  </si>
  <si>
    <t>VOLVO 480 КП 1986-1995 СТ ВЕТР ЗЛГЛ</t>
  </si>
  <si>
    <t>6998223</t>
  </si>
  <si>
    <t>VOLVO 480 КП 1986-1995 СТ ПЕР ДВ ОП ЛВ ЗЛ</t>
  </si>
  <si>
    <t>F406/407/609/613 1991-</t>
  </si>
  <si>
    <t>6190684</t>
  </si>
  <si>
    <t>VOLVO F406/407/609/613 1991- СТ ВЕТР/DAF F500 700 900 1100 TRUCK 1976-  СТ ВЕТР</t>
  </si>
  <si>
    <t>740/760/940 I 1983-1990</t>
  </si>
  <si>
    <t>6950148</t>
  </si>
  <si>
    <t>VOLVO 740/760/940 I СД+УН 1983-1990 СТ ВЕТР ЗЛГЛ/VOLVO 940 96  СТ ВЕТР ЗЛГЛ ИЗМ ШЕЛК</t>
  </si>
  <si>
    <t>6100246</t>
  </si>
  <si>
    <t>VOLVO 740/760/940 I СД+УН 1983-1990 НАБ КЛИПС ДЛЯ СТ ВЕТР</t>
  </si>
  <si>
    <t>6998841</t>
  </si>
  <si>
    <t>VOLVO 740/760/940 I УН 1983-1990 СТ ЗАДН ЭО ЗЛ</t>
  </si>
  <si>
    <t>6996941</t>
  </si>
  <si>
    <t>VOLVO 740/760/940 I УН 1983-1990 СТ БОК ЛВ ЗЛ</t>
  </si>
  <si>
    <t>6996942</t>
  </si>
  <si>
    <t>VOLVO 740/760/940 I СД+УН 1983-1990 СТ ПЕР ДВ ОП ЛВ ЗЛ/VOLVO 760+960 СД+УН 1987- СТ ПЕР ДВ ОП ЛВ ЗЛ</t>
  </si>
  <si>
    <t>6995510</t>
  </si>
  <si>
    <t>VOLVO 740/760/940 I СД+УН 1983-1990 СТ ЗАДН ДВ ОП ЛВ ЗЛ/VOLVO 760+960 СД+УН 1987- СТ ЗАДН ОП ЛВ ЗЛ</t>
  </si>
  <si>
    <t>6999105</t>
  </si>
  <si>
    <t>VOLVO 740/760/940 I СД+УН 1983-1990 СТ БОК НЕП ЛВ ЗЛ/VOLVO 760+960 СД+УН 1987- СТ ФОРТ ЗАДН ЛВ ЗЛ</t>
  </si>
  <si>
    <t>6996943</t>
  </si>
  <si>
    <t>VOLVO 740/760/940 I УН 1983-1990 СТ БОК ПР ЗЛ</t>
  </si>
  <si>
    <t>6996944</t>
  </si>
  <si>
    <t>VOLVO 740/760/940 I СД+УН 1983-1990 СТ ПЕР ДВ ОП ПР ЗЛ/VOLVO 760+960 СД+УН 1987- СТ ПЕР ДВ ОП ПР ЗЛ</t>
  </si>
  <si>
    <t>6995512</t>
  </si>
  <si>
    <t>VOLVO 740/760/940 I СД+УН 1983-1990 СТ ЗАДН ДВ ОП ПР ЗЛ/VOLVO 760+960 СД+УН 1987- СТ ЗАДН ОП ПР ЗЛ</t>
  </si>
  <si>
    <t>6999104</t>
  </si>
  <si>
    <t>VOLVO 740/760/940 I СД+УН 1983-1990 СТ БОК НЕП ПР ЗЛ/VOLVO 760+960 СД+УН 1987- СТ ФОРТ ЗАДН НЕП ПР ЗЛ</t>
  </si>
  <si>
    <t>760 II/960/S90 1987-2000</t>
  </si>
  <si>
    <t>6963724</t>
  </si>
  <si>
    <t>VOLVO 760 II/960/S90 СД+УН 1987-1995 СТ ВЕТР ЗЛГЛ</t>
  </si>
  <si>
    <t>6190594</t>
  </si>
  <si>
    <t>VOLVO 760 II/960/S90 СД+УН 1987-2000  СТ ПЕР ДВ ОП ЛВ ЗЛ/VOLVO 740+940 СД+УН 1983-1990 СТ ПЕР ДВ ОП ЛВ ЗЛ</t>
  </si>
  <si>
    <t>6190595</t>
  </si>
  <si>
    <t>VOLVO 760 II/960/S90 СД+УН 1987-2000  СТ ЗАДН ОП ЛВ ЗЛ/VOLVO 740+940 СД+УН 1983-1990 СТ ЗАДН ДВ ОП ЛВ ЗЛ</t>
  </si>
  <si>
    <t>6190596</t>
  </si>
  <si>
    <t>VOLVO 760 II/960/S90 СД+УН 1987-2000  СТ ФОРТ ЗАДН ЛВ ЗЛ/VOLVO 740+940 СД+УН 1983-1990 СТ БОК НЕП ЛВ ЗЛ</t>
  </si>
  <si>
    <t>6190597</t>
  </si>
  <si>
    <t>VOLVO 760 II/960/S90 СД+УН 1987-2000  СТ ПЕР ДВ ОП ПР ЗЛ/VOLVO 740+940 СД+УН 1983-1990 СТ ПЕР ДВ ОП ПР ЗЛ</t>
  </si>
  <si>
    <t>6190598</t>
  </si>
  <si>
    <t>VOLVO 760 II/960/S90 СД+УН 1987-2000  СТ ЗАДН ОП ПР ЗЛ/VOLVO 740+940 СД+УН 1983-1990 СТ ЗАДН ДВ ОП ПР ЗЛ</t>
  </si>
  <si>
    <t>6190599</t>
  </si>
  <si>
    <t>VOLVO 760 II/960/S90 СД+УН 1987-2000  СТ ФОРТ ЗАДН НЕП ПР ЗЛ/VOLVO 740+940 СД+УН 1983-1990 СТ БОК НЕП ПР ЗЛ</t>
  </si>
  <si>
    <t>850 СД+УН 1991-1996</t>
  </si>
  <si>
    <t>6969144</t>
  </si>
  <si>
    <t>VOLVO 850 СД+УН 1991-1996 СТ ВЕТР ЗЛГЛ</t>
  </si>
  <si>
    <t>6969143</t>
  </si>
  <si>
    <t>VOLVO 850 СД+УН 1991-1996 СТ ВЕТР ЗЛЗЛ</t>
  </si>
  <si>
    <t>6100546</t>
  </si>
  <si>
    <t>VOLVO 850 СД+УН 1991-1996 МОЛД ДЛЯ СТ ВЕТР</t>
  </si>
  <si>
    <t>6996135</t>
  </si>
  <si>
    <t>VOLVO 850 УН 1991-1996  СТ ЗАДН ДВ ЗЛ+2ОТВ+ФИТ/ VOLVO V70 1997-  СТ ЗАДН ЗЛ+СТОП+УО</t>
  </si>
  <si>
    <t>6994691</t>
  </si>
  <si>
    <t>VOLVO 850 СД+УН 1991-1996  СТ ПЕР ДВ ОП ЛВ ЗЛ+УО/ VOLVO S70/ V70 1997- СТ ПЕР ДВ ОП ЛВ ЗЛ+ФИТ</t>
  </si>
  <si>
    <t>6994692</t>
  </si>
  <si>
    <t>VOLVO 850 СД+УН 1991-1996 СТ ЗАДН ДВ ОП ЛВ ЗЛ ФИТ/ VOLVO S70/V70 1997- СТ ЗАДН ДВ ОП ЛВ ЗЛ</t>
  </si>
  <si>
    <t>6994693</t>
  </si>
  <si>
    <t>VOLVO 850 СД+УН 1991-1996  СТ ПЕР ДВ ОП ПР ЗЛ+УО/ VOLVO S70/V70 1997- СТ ПЕР ДВ ОП ПР ЗЛ+ФИТ</t>
  </si>
  <si>
    <t>6994694</t>
  </si>
  <si>
    <t>VOLVO 850 СД+УН 1991-1996 СТ ЗАДН ДВ ОП ПР ЗЛ ФИТ/ VOLVO S70/V70 1997- СТ ЗАДН ДВ ОП ПР ЗЛ</t>
  </si>
  <si>
    <t>6995516</t>
  </si>
  <si>
    <t>VOLVO 850 СД 1991-1996  СТ БОК НЕП ПР ЗЛ</t>
  </si>
  <si>
    <t>940 СД+УН 1991-1995</t>
  </si>
  <si>
    <t>6969150</t>
  </si>
  <si>
    <t>VOLVO 940 СД+УН 1991-1995 СТ ВЕТР ЗЛГЛ</t>
  </si>
  <si>
    <t>6969152</t>
  </si>
  <si>
    <t>VOLVO 940 СД+УН 1991-1995 СТ ВЕТР ЗЛГЛ ИЗМ ШЕЛК/VOLVO 740/760/940 I СД+УН 1983-1990 СТ ВЕТР ЗЛГЛ</t>
  </si>
  <si>
    <t>C70 КП/КБ 2006-</t>
  </si>
  <si>
    <t>6962839</t>
  </si>
  <si>
    <t>VOLVO C70 КП 2006-  СТ ВЕТР ЗЛ+ДД+VIN+ИНК</t>
  </si>
  <si>
    <t>6962841</t>
  </si>
  <si>
    <t>VOLVO C70 КП 2006-  СТ ВЕТР ЗЛ+VIN+ИНК</t>
  </si>
  <si>
    <t>6900800</t>
  </si>
  <si>
    <t>VOLVO C70 КП 2006- СТ ПЕР ДВ ОП ЛВ ЗЛ</t>
  </si>
  <si>
    <t>6900799</t>
  </si>
  <si>
    <t>VOLVO C70 КП 2006- СТ ПЕР ДВ ОП ПР ЗЛ</t>
  </si>
  <si>
    <t>F10/F12 1977-1983</t>
  </si>
  <si>
    <t>6964440</t>
  </si>
  <si>
    <t>1977-1983</t>
  </si>
  <si>
    <t>VOLVO F10/F12 1977-1983 СТ ВЕТР</t>
  </si>
  <si>
    <t>S40/V40 1996-2003</t>
  </si>
  <si>
    <t>6969805</t>
  </si>
  <si>
    <t>VOLVO S40/V40 1996-2003 СТ ВЕТР ЗЛ</t>
  </si>
  <si>
    <t>6963239</t>
  </si>
  <si>
    <t>VOLVO S40/V40 1996-2003 СТ ВЕТР ЗЛГЛ</t>
  </si>
  <si>
    <t>6960104</t>
  </si>
  <si>
    <t>VOLVO S40/V40 1999-2003 СТ ВЕТР ЗЛГЛ+VIN</t>
  </si>
  <si>
    <t>6960929</t>
  </si>
  <si>
    <t>VOLVO S40/V40 2000-2003 СТ ВЕТР ЗЛГЛ+VIN</t>
  </si>
  <si>
    <t>6960036</t>
  </si>
  <si>
    <t>VOLVO S40/V40 1999-2003 СТ ВЕТР ЗЛ+VIN</t>
  </si>
  <si>
    <t>6960930</t>
  </si>
  <si>
    <t>VOLVO S40/V40 1997-2003 СТ ВЕТР ЗЛ+КР+VIN</t>
  </si>
  <si>
    <t>6102385</t>
  </si>
  <si>
    <t>VOLVO S40/V40 1997-2003 НАБ КЛИПС ДЛЯ СТ ВЕТР</t>
  </si>
  <si>
    <t>6101129</t>
  </si>
  <si>
    <t>VOLVO S40/V40 1996-2003  УСТ КОМПЛ ДЛЯ СТ ВЕТР+КЛИПС</t>
  </si>
  <si>
    <t>6100249</t>
  </si>
  <si>
    <t>VOLVO S40/V40 1996-2003  НАКР МОЛД ДЛЯ СТ ВЕТР ВЕРХ МЯГК</t>
  </si>
  <si>
    <t>6998988</t>
  </si>
  <si>
    <t>VOLVO S40/V40 СД 1996-2003 СТ ЗАДН ЭО ЗЛ СТОП</t>
  </si>
  <si>
    <t>6996601</t>
  </si>
  <si>
    <t>VOLVO S40/V40 1996-2003 СТ ПЕР ДВ ОП ЛВ ЗЛ 2ОТВ</t>
  </si>
  <si>
    <t>6996602</t>
  </si>
  <si>
    <t>VOLVO S40/V40 1996-2003 СТ ЗАДН ДВ ОП ЛВ ЗЛ</t>
  </si>
  <si>
    <t>6996604</t>
  </si>
  <si>
    <t>VOLVO S40/V40 1996-2003 СТ ПЕР ДВ ОП ПР ЗЛ 2ОТВ</t>
  </si>
  <si>
    <t>6996605</t>
  </si>
  <si>
    <t>VOLVO S40/V40 1996-2003 СТ ЗАДН ДВ ОП ПР ЗЛ</t>
  </si>
  <si>
    <t>S40/V50/C30 2003-</t>
  </si>
  <si>
    <t>6961113</t>
  </si>
  <si>
    <t>VOLVO S40/V50/C30 2003- СТ ВЕТР ЗЛ+ДД+VIN+ИНК+ИЗМ ШЕЛК</t>
  </si>
  <si>
    <t>6962320</t>
  </si>
  <si>
    <t>VOLVO S40/V50/C30 2007-  СТ ВЕТР ЗЛ+ДД+VIN+ИНК+ИЗМ ШЕЛК</t>
  </si>
  <si>
    <t>6961112</t>
  </si>
  <si>
    <t>VOLVO S40/V50/C30 2003-2006  СТ ВЕТР ЗЛ+VIN+ИНК</t>
  </si>
  <si>
    <t>6962723</t>
  </si>
  <si>
    <t>VOLVO S40/V50/C30 2003- СТ ВЕТР ЗЛГЛ+ДД+VIN+ИНК</t>
  </si>
  <si>
    <t>6997568</t>
  </si>
  <si>
    <t>VOLVO S40/V50/C30 УН 2003- СТ ЗАДН ЗЛ+АНТ+СТОП+УО</t>
  </si>
  <si>
    <t>6997567</t>
  </si>
  <si>
    <t>VOLVO S40/V50/C30 СД 2003- СТ ЗАДН ЗЛ+АНТ+СТОП+ИНК</t>
  </si>
  <si>
    <t>6997626</t>
  </si>
  <si>
    <t>VOLVO S40/V50/C30 2003- СТ ЗАДН ДВ ОП ЛВ ЗЛ</t>
  </si>
  <si>
    <t>6993710</t>
  </si>
  <si>
    <t>VOLVO S40/V50/C30 2007- СТ ПЕР ДВ ОП ЗЛ ЛВ</t>
  </si>
  <si>
    <t>6961197</t>
  </si>
  <si>
    <t>VOLVO S40/V50/C30 2007- СТ ПЕР ДВ ОП ЛВ ЗЛ+ТРИПЛ+УО</t>
  </si>
  <si>
    <t>6997577</t>
  </si>
  <si>
    <t>VOLVO S40/V50/C30 2003- СТ ПЕР ДВ ОП ЛВ ЗЛ</t>
  </si>
  <si>
    <t>6997625</t>
  </si>
  <si>
    <t>6993897</t>
  </si>
  <si>
    <t>VOLVO S40/V50/C30 2003- СТ ЗАДН ДВ ОП ПР ЗЛ</t>
  </si>
  <si>
    <t>6993709</t>
  </si>
  <si>
    <t>VOLVO S40/V50/C30 2007- СТ ПЕР ДВ ОП ЗЛ ПР</t>
  </si>
  <si>
    <t>6961196</t>
  </si>
  <si>
    <t>VOLVO S40/V50/C30 2007- СТ ПЕР ДВ ОП ПР ЗЛ+ТРИПЛ+УО</t>
  </si>
  <si>
    <t>6993895</t>
  </si>
  <si>
    <t>VOLVO S40/V50/C30 2003- СТ ПЕР ДВ ОП ПР ЗЛ</t>
  </si>
  <si>
    <t>6993896</t>
  </si>
  <si>
    <t>S60/V70 2000-</t>
  </si>
  <si>
    <t>6960554</t>
  </si>
  <si>
    <t>VOLVO S60/V70 2000- СТ ВЕТР ЗЛГЛ ДД+УО+ИЗМ ШЕЛК</t>
  </si>
  <si>
    <t>6960532</t>
  </si>
  <si>
    <t>VOLVO S60/V70 2000- СТ ВЕТР ЗЛГЛ+УО</t>
  </si>
  <si>
    <t>6101700</t>
  </si>
  <si>
    <t>VOLVO S60/V70 2000- МОЛД  ДЛЯ СТ ВЕТР ВЕРХ</t>
  </si>
  <si>
    <t>6980027</t>
  </si>
  <si>
    <t>VOLVO S60/V70 УН 2000- СТ ЗАДН ЗЛ+СТОП+GPS+УО</t>
  </si>
  <si>
    <t>6992089</t>
  </si>
  <si>
    <t>VOLVO S60/V70 СД 2000- СТ ЗАДН ЭО ЗЛ+АНТ+СТОП+GPS+УО</t>
  </si>
  <si>
    <t>6992088</t>
  </si>
  <si>
    <t>VOLVO S60/V70 СД 2000- СТ ЗАДН ЭО ЗЛ+АНТ+СТОП+УО</t>
  </si>
  <si>
    <t>6900016</t>
  </si>
  <si>
    <t>VOLVO S60/V70 2000- СТ ПЕР ДВ ОП ЛВ ЗЛ+УО</t>
  </si>
  <si>
    <t>6900203</t>
  </si>
  <si>
    <t>VOLVO S60/V70 2000- СТ ЗАДН ДВ ОП ЛВ ЗЛ+УО</t>
  </si>
  <si>
    <t>6900355</t>
  </si>
  <si>
    <t>6900102</t>
  </si>
  <si>
    <t>VOLVO S60/V70 2000- СТ ПЕР ДВ ОП ПР ЗЛ+УО</t>
  </si>
  <si>
    <t>6900287</t>
  </si>
  <si>
    <t>VOLVO S60/V70 2000- СТ ЗАДН ДВ ОП ПР ЗЛ+УО</t>
  </si>
  <si>
    <t>6900285</t>
  </si>
  <si>
    <t>S70/V70 1997-2000</t>
  </si>
  <si>
    <t>6963204</t>
  </si>
  <si>
    <t>VOLVO S70/V70 1997-2000 СТ ВЕТР ЗЛГЛ+ФИТ</t>
  </si>
  <si>
    <t>6101238</t>
  </si>
  <si>
    <t>VOLVO S70/V70 1997-2000 МОЛД  ДЛЯ СТ ВЕТР ВЕРХ</t>
  </si>
  <si>
    <t>6998844</t>
  </si>
  <si>
    <t>VOLVO S70/V70 УН 1997-2000 СТ ЗАДН ЗЛ+СТОП+УО/VOLVO 850 УН 1992- СТ ЗАДН ДВ ЗЛ+2ОТВ+ФИТ</t>
  </si>
  <si>
    <t>6998845</t>
  </si>
  <si>
    <t>VOLVO S70/V70 УН 1997-2000 СТ ЗАДН ДВ ЗЛ+СТОП+УО+КЛЕММЫ</t>
  </si>
  <si>
    <t>6190602</t>
  </si>
  <si>
    <t>VOLVO S70/V70 1997-2000 СТ ПЕР ДВ ОП ЛВ ЗЛ+ФИТ/VOLVO 850 СЕД+УН 1992- СТ ПЕР ДВ ОП ЛВ ЗЛ+УО</t>
  </si>
  <si>
    <t>6190603</t>
  </si>
  <si>
    <t>VOLVO S70/V70 1997-2000 СТ ЗАДН ДВ ОП ЛВ ЗЛ/VOLVO 850 СД+УН 1992- СТ ЗАДН ДВ ОП ЛВ ЗЛ ФИТ</t>
  </si>
  <si>
    <t>6190604</t>
  </si>
  <si>
    <t>VOLVO S70/V70 1997-2000 СТ ПЕР ДВ ОП ПР ЗЛ+ФИТ/VOLVO 850 СД+УН 1992- СТ ПЕР ДВ ОП ПР ЗЛ+УО</t>
  </si>
  <si>
    <t>6190605</t>
  </si>
  <si>
    <t>VOLVO S70/V70 1997-2000 СТ ЗАДН ДВ ОП ПР ЗЛ/VOLVO 850 СД+УН 1992- СТ ЗАДН ДВ ОП ПР ЗЛ ФИТ</t>
  </si>
  <si>
    <t>S80 СД 1998-2006</t>
  </si>
  <si>
    <t>6963205</t>
  </si>
  <si>
    <t>VOLVO S80 СД 1998-2006 СТ ВЕТР ЗЛГЛ+ФИТ</t>
  </si>
  <si>
    <t>6962063</t>
  </si>
  <si>
    <t>VOLVO S80 СД 1998-2006 СТ ВЕТР ЗЛГЛ+ДД+УО</t>
  </si>
  <si>
    <t>6950349</t>
  </si>
  <si>
    <t>VOLVO S80 СД 1998-2006 СТ ВЕТР ЗЛГЛ+УО</t>
  </si>
  <si>
    <t>6100626</t>
  </si>
  <si>
    <t>VOLVO S80 СД 1998-2006 МОЛД  ДЛЯ СТ ВЕТР ВЕРХ</t>
  </si>
  <si>
    <t>6900015</t>
  </si>
  <si>
    <t>VOLVO S80 СД 1998-2006 СТ ПЕР ДВ ОП ЛВ ЗЛ+УО</t>
  </si>
  <si>
    <t>6900354</t>
  </si>
  <si>
    <t>VOLVO S80 СД 1998-2006 СТ ЗАДН ДВ ОП ЛВ ЗЛ+УО</t>
  </si>
  <si>
    <t>6900100</t>
  </si>
  <si>
    <t>VOLVO S80 СД 1998-2006 СТ ПЕР ДВ ОП ПР ЗЛ+УО</t>
  </si>
  <si>
    <t>6900286</t>
  </si>
  <si>
    <t>VOLVO S80 СД 1998-2006 СТ ЗАДН ДВ ОП ПР ЗЛ+УО</t>
  </si>
  <si>
    <t>S80 2006- V70/XC70 2007-</t>
  </si>
  <si>
    <t>6962726</t>
  </si>
  <si>
    <t>VOLVO S80 2006- V70/XC70 2007- СТ ВЕТР ЗЛ ДД+VIN+ИНК+ИЗМ ШЕЛК</t>
  </si>
  <si>
    <t>6962725</t>
  </si>
  <si>
    <t>VOLVO S80 2006- V70/XC70 2007- СТ ВЕТР ЗЛ+VIN+ИНК</t>
  </si>
  <si>
    <t>6966033</t>
  </si>
  <si>
    <t>VOLVO S80 2006 + V70 2007 + XC70 2009-</t>
  </si>
  <si>
    <t>6900542</t>
  </si>
  <si>
    <t>VOLVO S80 2006- V70/XC70 2007 СД- СТ ПЕР ДВ ОП ЛВ ЗЛ</t>
  </si>
  <si>
    <t>6900550</t>
  </si>
  <si>
    <t>VOLVO S80 2006- V70/XC70 2007 СД- СТ ЗАДН ДВ ОП ЛВ ЗЛ</t>
  </si>
  <si>
    <t>6900960</t>
  </si>
  <si>
    <t>VOLVO S80 2006- V70/XC70 2007 УН- СТ ЗАДН ДВ ОП ЛВ ЗЛ</t>
  </si>
  <si>
    <t>6900101</t>
  </si>
  <si>
    <t>VOLVO S80 2006- V70/XC70 2007 СД- СТ ПЕР ДВ ОП ПР ЗЛ</t>
  </si>
  <si>
    <t>6900551</t>
  </si>
  <si>
    <t>VOLVO S80 2006- V70/XC70 2007 СД- СТ ЗАДН ДВ ОП ПР ЗЛ</t>
  </si>
  <si>
    <t>XC 60  2008-</t>
  </si>
  <si>
    <t>6964738</t>
  </si>
  <si>
    <t>VOLVO XC60 08-СТ ВЕТР ЗЛ+ДД+VIN+УО</t>
  </si>
  <si>
    <t>6965058</t>
  </si>
  <si>
    <t>VOLVO XC60 08-СТ ВЕТР ЗЛ+VIN+УО+ШЕЛК Д/Д</t>
  </si>
  <si>
    <t>6964737</t>
  </si>
  <si>
    <t>VOLVO XC60 08-СТ ВЕТР ЗЛ+СИСТ.НОЧН.ВИД.+ДД+VIN+УО</t>
  </si>
  <si>
    <t>6966034</t>
  </si>
  <si>
    <t>VOLVO XC 60 2008- СТ ВЕТР ЗЛГЛ+ДД+VIN+ДО</t>
  </si>
  <si>
    <t>6901472</t>
  </si>
  <si>
    <t>VOLVO XC 60  2008 СТ ЗАДН ЗЛ</t>
  </si>
  <si>
    <t>6901475</t>
  </si>
  <si>
    <t>VOLVO XC 60  2008- СТ ПЕР ДВ ОП ЛВ ЗЛ</t>
  </si>
  <si>
    <t>6901477</t>
  </si>
  <si>
    <t>VOLVO XC 60  2008- СТ ЗАДН ДВ ЛВ ЗЛ</t>
  </si>
  <si>
    <t>6901474</t>
  </si>
  <si>
    <t>VOLVO XC 60  2008- СТ ПЕР ДВ ОП ПР ЗЛ</t>
  </si>
  <si>
    <t>6901476</t>
  </si>
  <si>
    <t>VOLVO XC 60  2008- СТ ЗАДН ДВ ОП ПР ЗЛ</t>
  </si>
  <si>
    <t>XC90 2002-</t>
  </si>
  <si>
    <t>6961271</t>
  </si>
  <si>
    <t>VOLVO XC90 2002- СТ ВЕТР ЗЛГЛ+ДД+VIN+УО</t>
  </si>
  <si>
    <t>6961272</t>
  </si>
  <si>
    <t>VOLVO XC90 2002- СТ ВЕТР ЗЛГЛ+VIN+УО</t>
  </si>
  <si>
    <t>6900531</t>
  </si>
  <si>
    <t>VOLVO XC90 2002 УН- СТ ЗАДН ЗЛ</t>
  </si>
  <si>
    <t>6900773</t>
  </si>
  <si>
    <t>F10/F12/F16 1984-1993</t>
  </si>
  <si>
    <t>6963775</t>
  </si>
  <si>
    <t>VOLVO F10/F12/F16 1984-1993 СТ ВЕТР</t>
  </si>
  <si>
    <t>6963731</t>
  </si>
  <si>
    <t>VOLVO F10/F12/F16 1984-1993 СТ ВЕТР ЗЛ</t>
  </si>
  <si>
    <t>6963529</t>
  </si>
  <si>
    <t>VOLVO F10/F12/F16 1984-1993 СТ ВЕТР ЗЛ+6,8ММ</t>
  </si>
  <si>
    <t>6964571</t>
  </si>
  <si>
    <t>VOLVO F10/F12/F16 1984-1993 СТ ВЕТР ЗЛЗЛ+6,8MM</t>
  </si>
  <si>
    <t>6100336</t>
  </si>
  <si>
    <t>VOLVO F10/F12/F16 1984-1993 РЕЗ ПРОФ ДЛЯ СТ ВЕТР</t>
  </si>
  <si>
    <t>6995514</t>
  </si>
  <si>
    <t>VOLVO F10/F12/F16 1984-1993 СТ ПЕР ДВ ОП</t>
  </si>
  <si>
    <t>FH12/FH16 1993-/FM 1998-</t>
  </si>
  <si>
    <t>6963532</t>
  </si>
  <si>
    <t>VOLVO FH12/FH16 1993-/FM 1998-  СТ ВЕТР</t>
  </si>
  <si>
    <t>6963533</t>
  </si>
  <si>
    <t>VOLVO FH12/FH16 1993-/FM 1998-  СТ ВЕТР ЗЛ</t>
  </si>
  <si>
    <t>6961887</t>
  </si>
  <si>
    <t>VOLVO FH12/FH16 2000- СТ ВЕТР ЗЛ</t>
  </si>
  <si>
    <t>6962060</t>
  </si>
  <si>
    <t>VOLVO FH12/FH16 1993-/FM 1998- СТ ВЕТР ЗЛ ГЛ</t>
  </si>
  <si>
    <t>6100548</t>
  </si>
  <si>
    <t>VOLVO FH12/FH16 1993-/FM 1998-  РЕЗ ПРОФ ДЛЯ СТ ВЕТР</t>
  </si>
  <si>
    <t>6900011</t>
  </si>
  <si>
    <t>VOLVO FH12/FH16 1993-/FM 1998- СТ ПЕР ДВ ОП ЛВ</t>
  </si>
  <si>
    <t>6900012</t>
  </si>
  <si>
    <t>VOLVO FH12/FH16 1993-/FM 1998- СТ ПЕР ДВ ОП ЛВ ЗЛ</t>
  </si>
  <si>
    <t>6996291</t>
  </si>
  <si>
    <t>VOLVO FH12/FH16 1993-/FM 1998- СТ ПЕР ДВ ОП ПР+ФИТ</t>
  </si>
  <si>
    <t>6900098</t>
  </si>
  <si>
    <t>VOLVO FH12/FH16 1993-/FM 1998- СТ ПЕР ДВ ОП ПР ЗЛ</t>
  </si>
  <si>
    <t>FL6 1986-</t>
  </si>
  <si>
    <t>6963531</t>
  </si>
  <si>
    <t>VOLVO FL6 1986- СТ ВЕТР</t>
  </si>
  <si>
    <t>6900013</t>
  </si>
  <si>
    <t>VOLVO FL6 1986- СТ ПЕР ДВ ОП ЛВ</t>
  </si>
  <si>
    <t>6900099</t>
  </si>
  <si>
    <t>VOLVO FL6 1986- СТ ПЕР ДВ ОП ПР</t>
  </si>
  <si>
    <t>FL7/FL10 1985-1992</t>
  </si>
  <si>
    <t>6967394</t>
  </si>
  <si>
    <t>VOLVO FL7/FL10 1985-1992 СТ ВЕТР</t>
  </si>
  <si>
    <t>6967395</t>
  </si>
  <si>
    <t>VOLVO FL7/FL10 1985-1992 СТ ВЕТР ЗЛ</t>
  </si>
  <si>
    <t>6900014</t>
  </si>
  <si>
    <t>VOLVO FL7/FL10 1985-1992 СТ ПЕР ДВ ОП ЛВ</t>
  </si>
  <si>
    <t>6999478</t>
  </si>
  <si>
    <t>VOLVO FL7/FL10 1985-1992 СТ ПЕР ДВ ОП ПР</t>
  </si>
  <si>
    <t>6170625</t>
  </si>
  <si>
    <t>MERCEDES 303 1976- СТ ВЕТР ПРЗЛ</t>
  </si>
  <si>
    <t>6965204</t>
  </si>
  <si>
    <t>MERCEDES O 345 CONNECTO СТ ВЕТР</t>
  </si>
  <si>
    <t>6170433</t>
  </si>
  <si>
    <t>Neoplan City/Skyliner СТ ВЕТР НИЗ БР+АНТ</t>
  </si>
  <si>
    <t>6170638</t>
  </si>
  <si>
    <t>SETRA S228 DT/87 СТ ВЕТР ВЕРХ ЗЛ</t>
  </si>
  <si>
    <t>6101339</t>
  </si>
  <si>
    <t>MERCEDES BENZ СТ ВЕТР ПР ЗЛ</t>
  </si>
  <si>
    <t>Сокращение</t>
  </si>
  <si>
    <t>Что обозначает</t>
  </si>
  <si>
    <t>Модель автомобиля</t>
  </si>
  <si>
    <t>DAEWOO LANOS 97-СТ ВЕТР ПРГЛ</t>
  </si>
  <si>
    <t>СД</t>
  </si>
  <si>
    <t>седан</t>
  </si>
  <si>
    <t>DAEWOO LANOS 97-СТЕКЛО ВЕТРОВОЕ ПРОЗРАЧНОЕ С ГОЛУБОЙ ПОЛОСОЙ</t>
  </si>
  <si>
    <t>ХБ</t>
  </si>
  <si>
    <t>хетчбэк</t>
  </si>
  <si>
    <t>BMW X5 2000-10/2001- СТ ВЕТР ЗЛ+ДД+VIN</t>
  </si>
  <si>
    <t>УН</t>
  </si>
  <si>
    <t>универсал</t>
  </si>
  <si>
    <t>BMW X5 2000-10/2001- СТЕКЛО ВЕТРОВОЙ ЗЛЕНОЕ С ДАЧИКОМ ДОЖДЯ С VIN ОКНОМ</t>
  </si>
  <si>
    <t>КП</t>
  </si>
  <si>
    <t>купе</t>
  </si>
  <si>
    <t>DAEWOO LANOS СТ ЗАДН ЭО</t>
  </si>
  <si>
    <t>КБ</t>
  </si>
  <si>
    <t>кабриолет</t>
  </si>
  <si>
    <t>DAEWOO LANOS СТЕКЛО ЗАДНЕЕ С ЭЛЕКТРО ОБОГРЕВОМ</t>
  </si>
  <si>
    <t>ВН</t>
  </si>
  <si>
    <t>внедорожник</t>
  </si>
  <si>
    <t>FIAT ALBEA СЕД 2003 СТ ПЕР ДВ ОП ПР ЗЛ</t>
  </si>
  <si>
    <t>ГР</t>
  </si>
  <si>
    <t>грузовик</t>
  </si>
  <si>
    <t>FIAT ALBEA СЕД 2003 СТЕКЛО ПЕРЕДНЕЙ ДВЕРИ ОПУСКНОЕ ПРАВОЕ ЗЕЛЕНОЕ</t>
  </si>
  <si>
    <t>МИН</t>
  </si>
  <si>
    <t>минивен</t>
  </si>
  <si>
    <t>ПИК</t>
  </si>
  <si>
    <t>пикап</t>
  </si>
  <si>
    <t>5Д</t>
  </si>
  <si>
    <t>кол-во дверей</t>
  </si>
  <si>
    <t>SER</t>
  </si>
  <si>
    <t>серия</t>
  </si>
  <si>
    <t>ЛВРУЛЬ</t>
  </si>
  <si>
    <t>левый руль</t>
  </si>
  <si>
    <t>ПРРУЛЬ</t>
  </si>
  <si>
    <t>правый руль</t>
  </si>
  <si>
    <t>Вид стекла</t>
  </si>
  <si>
    <t>СТ ВЕТР</t>
  </si>
  <si>
    <t>СТЕКЛО ВЕТРОВОЕ</t>
  </si>
  <si>
    <t>СТ БОК</t>
  </si>
  <si>
    <t>СТЕКЛО БОКОВОЕ</t>
  </si>
  <si>
    <t>СТ БОК НЕП</t>
  </si>
  <si>
    <t>СТЕКЛО БОКОВОЕ НЕПОДВИЖНОЕ</t>
  </si>
  <si>
    <t>СТ ЗАДН</t>
  </si>
  <si>
    <t>СТЕКЛО ЗАДНЕЕ</t>
  </si>
  <si>
    <t>СТ ЗАДН ДВ НЕП</t>
  </si>
  <si>
    <t>СТЕКЛО ЗАДНЕЙ ДВЕРИ НЕПОДВИЖНОЕ</t>
  </si>
  <si>
    <t>СТ ЗАДН ДВ ОП</t>
  </si>
  <si>
    <t>СТЕКЛО ЗАДНЕЙ ДВЕРИ ОПУСКНОЕ</t>
  </si>
  <si>
    <t>СТ ПЕР ДВ НЕП</t>
  </si>
  <si>
    <t>СТЕКЛО ПЕРЕДНЕЙ ДВЕРИ НЕПОДВИЖНОЕ</t>
  </si>
  <si>
    <t>СТ ПЕР ДВ ОП</t>
  </si>
  <si>
    <t>СТЕКЛО ПЕРЕДНЕЙ ДВЕРИ ОПУСКНОЕ</t>
  </si>
  <si>
    <t>СТ ПЕР НЕП</t>
  </si>
  <si>
    <t>СТЕКЛО ПЕРЕДНЕЙ НЕПОДВИЖНОЕ</t>
  </si>
  <si>
    <t>СТ ФОРТ ПЕР ДВ</t>
  </si>
  <si>
    <t>СТЕКЛО ФОРТОЧКА ПЕРЕДНЕЙ ДВЕРИ</t>
  </si>
  <si>
    <t>ЛВ</t>
  </si>
  <si>
    <t>левое</t>
  </si>
  <si>
    <t>ПЛ</t>
  </si>
  <si>
    <t>плоское</t>
  </si>
  <si>
    <t>ПР</t>
  </si>
  <si>
    <t>правое</t>
  </si>
  <si>
    <t>Цвет стекла/солнцезащитной полосы</t>
  </si>
  <si>
    <t>прозрачное</t>
  </si>
  <si>
    <t>ЗЛ</t>
  </si>
  <si>
    <t>зеленое</t>
  </si>
  <si>
    <t>ГЛ</t>
  </si>
  <si>
    <t>голубое</t>
  </si>
  <si>
    <t>БР</t>
  </si>
  <si>
    <t>бронзовое</t>
  </si>
  <si>
    <t>СР</t>
  </si>
  <si>
    <t>серое</t>
  </si>
  <si>
    <t>ЗЛЗЛ</t>
  </si>
  <si>
    <t>зеленое стекло с зеленой полосой</t>
  </si>
  <si>
    <t>ЗЛГЛ</t>
  </si>
  <si>
    <t>зеленое стекло с голубой полосой</t>
  </si>
  <si>
    <t>ПРГЛ</t>
  </si>
  <si>
    <t>прозрачное с голубой полосой</t>
  </si>
  <si>
    <t>ПРЗЛ</t>
  </si>
  <si>
    <t>прозрачное с зеленой полосой</t>
  </si>
  <si>
    <t>PR</t>
  </si>
  <si>
    <t>темное стекло</t>
  </si>
  <si>
    <t>Опции</t>
  </si>
  <si>
    <t>ТЕПЛООТР</t>
  </si>
  <si>
    <t>теплоотражающее</t>
  </si>
  <si>
    <t>АКУСТИК</t>
  </si>
  <si>
    <t>шумоизоляция</t>
  </si>
  <si>
    <t>ИНК</t>
  </si>
  <si>
    <t>инкапсулированное</t>
  </si>
  <si>
    <t>ФИТ</t>
  </si>
  <si>
    <t>фиттинг</t>
  </si>
  <si>
    <t>АНТ</t>
  </si>
  <si>
    <t>антенна</t>
  </si>
  <si>
    <t>2 ОТВ</t>
  </si>
  <si>
    <t>наличие и кол-во отверстий</t>
  </si>
  <si>
    <t>ДО</t>
  </si>
  <si>
    <t>дополн. оборудование</t>
  </si>
  <si>
    <t>VIN</t>
  </si>
  <si>
    <t>VIN - окно</t>
  </si>
  <si>
    <t>ДД</t>
  </si>
  <si>
    <t>датчик дождя</t>
  </si>
  <si>
    <t>ДЗ</t>
  </si>
  <si>
    <t>датчик запотевания</t>
  </si>
  <si>
    <t>УО</t>
  </si>
  <si>
    <t>установочное оборудование</t>
  </si>
  <si>
    <t>ИЗМ (ШЕЛК, ДД)</t>
  </si>
  <si>
    <t>изменение (шелкографии, датчика и др.)</t>
  </si>
  <si>
    <t>КР</t>
  </si>
  <si>
    <t>кронштейн</t>
  </si>
  <si>
    <t>ТРИПЛ</t>
  </si>
  <si>
    <t>триплекс с покрытием</t>
  </si>
  <si>
    <t>СТОП</t>
  </si>
  <si>
    <t>стоп-сигнал на заднем стекле</t>
  </si>
  <si>
    <t>ОТКР</t>
  </si>
  <si>
    <t>открывающееся</t>
  </si>
  <si>
    <t>ДИСПЛЕЙ</t>
  </si>
  <si>
    <t>дисплей для характеристик</t>
  </si>
  <si>
    <t>Б/ЭО</t>
  </si>
  <si>
    <t>без электрообогрева</t>
  </si>
  <si>
    <t>ЭО</t>
  </si>
  <si>
    <t>электрообогрев</t>
  </si>
  <si>
    <t>КЛЕММЫ</t>
  </si>
  <si>
    <t>клеммы для сигнализации (X)</t>
  </si>
  <si>
    <t>БЛОК 2 СТ</t>
  </si>
  <si>
    <t>блок состоящий из двух стекл (S)</t>
  </si>
  <si>
    <t>ТВ АНТ</t>
  </si>
  <si>
    <t>ТВ антенна</t>
  </si>
  <si>
    <t>АНТ Д/ОТКР ДВ</t>
  </si>
  <si>
    <t>антенна для открывания дверей (Q)</t>
  </si>
  <si>
    <t>ДВ</t>
  </si>
  <si>
    <t>двойное</t>
  </si>
  <si>
    <t>ПОЛ</t>
  </si>
  <si>
    <t>С полосой (для задков)</t>
  </si>
  <si>
    <t>СТ ПАК</t>
  </si>
  <si>
    <t>Стеклопакет</t>
  </si>
  <si>
    <t>АНТ МОБ ТЕЛ</t>
  </si>
  <si>
    <t>Антенна для мобильного телефона</t>
  </si>
  <si>
    <t>АНТ Д/ОТКР</t>
  </si>
  <si>
    <t>Антенна для открывания дверей</t>
  </si>
  <si>
    <t>МЕТК Д/Д</t>
  </si>
  <si>
    <t>метка для датчика дождя</t>
  </si>
  <si>
    <t>СИГН</t>
  </si>
  <si>
    <t>Контакты для сигнализации</t>
  </si>
  <si>
    <t>РАМКА</t>
  </si>
  <si>
    <t>Рамка с подв. и неподв. стеклом</t>
  </si>
  <si>
    <t>ГИПЕРМАРКЕТ АВТОЗАПЧАСТЕЙ</t>
  </si>
  <si>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181-0-191,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778-95-98,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>778-95-92</t>
    </r>
  </si>
  <si>
    <t xml:space="preserve">MYStORE1.RU </t>
  </si>
  <si>
    <t>Модель / Артикул</t>
  </si>
  <si>
    <t>Марка / ЕВРОКОД</t>
  </si>
  <si>
    <t>ПРИМЕР</t>
  </si>
  <si>
    <r>
      <t xml:space="preserve">↙ </t>
    </r>
    <r>
      <rPr>
        <b/>
        <sz val="22"/>
        <color rgb="FFFF0000"/>
        <rFont val="Calibri"/>
        <family val="2"/>
        <charset val="204"/>
        <scheme val="minor"/>
      </rPr>
      <t>ИНСТРУКЦИЯ</t>
    </r>
    <r>
      <rPr>
        <b/>
        <sz val="22"/>
        <color theme="1"/>
        <rFont val="Calibri"/>
        <family val="2"/>
        <charset val="204"/>
        <scheme val="minor"/>
      </rPr>
      <t xml:space="preserve"> </t>
    </r>
    <r>
      <rPr>
        <b/>
        <sz val="22"/>
        <color theme="1"/>
        <rFont val="Calibri"/>
        <family val="2"/>
        <charset val="204"/>
      </rPr>
      <t>↘</t>
    </r>
  </si>
  <si>
    <r>
      <rPr>
        <sz val="14"/>
        <color theme="1"/>
        <rFont val="Calibri"/>
        <family val="2"/>
        <charset val="204"/>
        <scheme val="minor"/>
      </rPr>
      <t xml:space="preserve">Подберите </t>
    </r>
    <r>
      <rPr>
        <b/>
        <sz val="14"/>
        <color rgb="FFFF0000"/>
        <rFont val="Calibri"/>
        <family val="2"/>
        <charset val="204"/>
        <scheme val="minor"/>
      </rPr>
      <t>ЕВРОКОД</t>
    </r>
    <r>
      <rPr>
        <sz val="14"/>
        <color theme="1"/>
        <rFont val="Calibri"/>
        <family val="2"/>
        <charset val="204"/>
        <scheme val="minor"/>
      </rPr>
      <t xml:space="preserve"> стекла для своего авто, затем нажмите на него, чтобы узнать цену и сроки поставки. </t>
    </r>
    <r>
      <rPr>
        <b/>
        <sz val="14"/>
        <color rgb="FFFF0000"/>
        <rFont val="Calibri"/>
        <family val="2"/>
        <charset val="204"/>
        <scheme val="minor"/>
      </rPr>
      <t>*СОКРАЩЕНИЯ</t>
    </r>
    <r>
      <rPr>
        <sz val="14"/>
        <color theme="1"/>
        <rFont val="Calibri"/>
        <family val="2"/>
        <charset val="204"/>
        <scheme val="minor"/>
      </rPr>
      <t xml:space="preserve"> в наименованиях смотрите на </t>
    </r>
    <r>
      <rPr>
        <b/>
        <sz val="14"/>
        <color rgb="FFFF0000"/>
        <rFont val="Calibri"/>
        <family val="2"/>
        <charset val="204"/>
        <scheme val="minor"/>
      </rPr>
      <t>2 СТРАНИЦЕ</t>
    </r>
    <r>
      <rPr>
        <b/>
        <sz val="16"/>
        <color rgb="FFFF0000"/>
        <rFont val="Calibri"/>
        <family val="2"/>
        <charset val="204"/>
        <scheme val="minor"/>
      </rPr>
      <t>!</t>
    </r>
  </si>
  <si>
    <r>
      <rPr>
        <sz val="18"/>
        <color rgb="FFFF0000"/>
        <rFont val="Calibri"/>
        <family val="2"/>
        <charset val="204"/>
        <scheme val="minor"/>
      </rPr>
      <t xml:space="preserve">КАТАЛОГ ДЛЯ ПОДБОРА СТЁКОЛ </t>
    </r>
    <r>
      <rPr>
        <b/>
        <sz val="18"/>
        <rFont val="Calibri"/>
        <family val="2"/>
        <charset val="204"/>
        <scheme val="minor"/>
      </rPr>
      <t>BSG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</si>
</sst>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9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rgb="FFFF0000"/>
      <name val="Berlin Sans FB"/>
      <family val="2"/>
    </font>
    <font>
      <b/>
      <sz val="18"/>
      <color theme="0" tint="-4.9989318521683403E-2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0" tint="-4.9989318521683403E-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2" tint="-9.991760002441481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2">
    <xf numFmtId="0" fontId="0" fillId="0" borderId="0"/>
    <xf numFmtId="0" fontId="21" fillId="0" borderId="0"/>
    <xf numFmtId="0" fontId="21" fillId="0" borderId="0"/>
    <xf numFmtId="164" fontId="22" fillId="0" borderId="0"/>
    <xf numFmtId="0" fontId="21" fillId="0" borderId="0"/>
    <xf numFmtId="164" fontId="22" fillId="0" borderId="0"/>
    <xf numFmtId="0" fontId="21" fillId="0" borderId="0"/>
    <xf numFmtId="0" fontId="23" fillId="0" borderId="0"/>
    <xf numFmtId="164" fontId="18" fillId="0" borderId="0"/>
    <xf numFmtId="164" fontId="21" fillId="0" borderId="0"/>
    <xf numFmtId="0" fontId="21" fillId="0" borderId="0"/>
    <xf numFmtId="164" fontId="18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6" fillId="10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164" fontId="18" fillId="0" borderId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1" applyNumberFormat="0" applyAlignment="0" applyProtection="0"/>
    <xf numFmtId="0" fontId="35" fillId="0" borderId="6" applyNumberFormat="0" applyFill="0" applyAlignment="0" applyProtection="0"/>
    <xf numFmtId="0" fontId="36" fillId="11" borderId="0" applyNumberFormat="0" applyBorder="0" applyAlignment="0" applyProtection="0"/>
    <xf numFmtId="0" fontId="23" fillId="0" borderId="0"/>
    <xf numFmtId="0" fontId="37" fillId="4" borderId="7" applyNumberFormat="0" applyFont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164" fontId="18" fillId="0" borderId="0"/>
    <xf numFmtId="164" fontId="18" fillId="0" borderId="0"/>
    <xf numFmtId="164" fontId="18" fillId="0" borderId="0"/>
    <xf numFmtId="0" fontId="41" fillId="0" borderId="0"/>
    <xf numFmtId="0" fontId="42" fillId="0" borderId="0"/>
    <xf numFmtId="0" fontId="21" fillId="0" borderId="0"/>
    <xf numFmtId="0" fontId="41" fillId="0" borderId="0"/>
    <xf numFmtId="0" fontId="21" fillId="0" borderId="0"/>
    <xf numFmtId="0" fontId="42" fillId="0" borderId="0"/>
    <xf numFmtId="164" fontId="21" fillId="0" borderId="0"/>
    <xf numFmtId="164" fontId="18" fillId="0" borderId="0"/>
    <xf numFmtId="0" fontId="42" fillId="0" borderId="0"/>
    <xf numFmtId="164" fontId="18" fillId="0" borderId="0"/>
    <xf numFmtId="0" fontId="42" fillId="0" borderId="0"/>
    <xf numFmtId="0" fontId="42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21" fillId="0" borderId="0"/>
    <xf numFmtId="164" fontId="18" fillId="0" borderId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23" fillId="0" borderId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</cellStyleXfs>
  <cellXfs count="62">
    <xf numFmtId="0" fontId="0" fillId="0" borderId="0" xfId="0"/>
    <xf numFmtId="49" fontId="0" fillId="0" borderId="0" xfId="0" applyNumberFormat="1"/>
    <xf numFmtId="0" fontId="0" fillId="58" borderId="0" xfId="0" applyFill="1"/>
    <xf numFmtId="0" fontId="51" fillId="0" borderId="0" xfId="352" applyAlignment="1" applyProtection="1"/>
    <xf numFmtId="0" fontId="18" fillId="0" borderId="0" xfId="441" applyNumberFormat="1"/>
    <xf numFmtId="0" fontId="20" fillId="0" borderId="0" xfId="8" applyNumberFormat="1" applyFont="1" applyFill="1" applyBorder="1"/>
    <xf numFmtId="49" fontId="83" fillId="60" borderId="0" xfId="0" applyNumberFormat="1" applyFont="1" applyFill="1" applyAlignment="1"/>
    <xf numFmtId="0" fontId="83" fillId="60" borderId="0" xfId="0" applyFont="1" applyFill="1" applyAlignment="1"/>
    <xf numFmtId="0" fontId="76" fillId="58" borderId="0" xfId="0" applyFont="1" applyFill="1" applyAlignment="1"/>
    <xf numFmtId="0" fontId="0" fillId="0" borderId="0" xfId="0" applyAlignment="1">
      <alignment horizontal="center" vertical="center"/>
    </xf>
    <xf numFmtId="0" fontId="58" fillId="65" borderId="37" xfId="0" applyFont="1" applyFill="1" applyBorder="1" applyAlignment="1">
      <alignment horizontal="center" vertical="center"/>
    </xf>
    <xf numFmtId="49" fontId="58" fillId="65" borderId="37" xfId="0" applyNumberFormat="1" applyFont="1" applyFill="1" applyBorder="1" applyAlignment="1">
      <alignment horizontal="center" vertical="center"/>
    </xf>
    <xf numFmtId="0" fontId="76" fillId="58" borderId="0" xfId="0" applyFont="1" applyFill="1" applyAlignment="1">
      <alignment horizontal="center" vertical="center"/>
    </xf>
    <xf numFmtId="0" fontId="76" fillId="58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61" borderId="15" xfId="8" applyNumberFormat="1" applyFont="1" applyFill="1" applyBorder="1" applyAlignment="1">
      <alignment horizontal="center"/>
    </xf>
    <xf numFmtId="0" fontId="19" fillId="61" borderId="15" xfId="8" applyNumberFormat="1" applyFont="1" applyFill="1" applyBorder="1" applyAlignment="1">
      <alignment horizontal="center" vertical="center"/>
    </xf>
    <xf numFmtId="0" fontId="21" fillId="61" borderId="16" xfId="8" applyNumberFormat="1" applyFont="1" applyFill="1" applyBorder="1"/>
    <xf numFmtId="0" fontId="18" fillId="68" borderId="18" xfId="8" applyNumberFormat="1" applyFont="1" applyFill="1" applyBorder="1"/>
    <xf numFmtId="0" fontId="21" fillId="68" borderId="20" xfId="8" applyNumberFormat="1" applyFont="1" applyFill="1" applyBorder="1"/>
    <xf numFmtId="0" fontId="18" fillId="68" borderId="20" xfId="8" applyNumberFormat="1" applyFont="1" applyFill="1" applyBorder="1"/>
    <xf numFmtId="0" fontId="21" fillId="68" borderId="22" xfId="8" applyNumberFormat="1" applyFont="1" applyFill="1" applyBorder="1"/>
    <xf numFmtId="0" fontId="87" fillId="68" borderId="17" xfId="8" applyNumberFormat="1" applyFont="1" applyFill="1" applyBorder="1" applyAlignment="1">
      <alignment horizontal="right"/>
    </xf>
    <xf numFmtId="0" fontId="87" fillId="68" borderId="19" xfId="8" applyNumberFormat="1" applyFont="1" applyFill="1" applyBorder="1" applyAlignment="1">
      <alignment horizontal="right"/>
    </xf>
    <xf numFmtId="0" fontId="87" fillId="68" borderId="21" xfId="8" applyNumberFormat="1" applyFont="1" applyFill="1" applyBorder="1" applyAlignment="1">
      <alignment horizontal="right"/>
    </xf>
    <xf numFmtId="0" fontId="21" fillId="68" borderId="18" xfId="8" applyNumberFormat="1" applyFont="1" applyFill="1" applyBorder="1"/>
    <xf numFmtId="0" fontId="87" fillId="68" borderId="23" xfId="8" applyNumberFormat="1" applyFont="1" applyFill="1" applyBorder="1" applyAlignment="1">
      <alignment horizontal="right"/>
    </xf>
    <xf numFmtId="0" fontId="21" fillId="68" borderId="24" xfId="8" applyNumberFormat="1" applyFont="1" applyFill="1" applyBorder="1"/>
    <xf numFmtId="0" fontId="21" fillId="68" borderId="25" xfId="8" applyNumberFormat="1" applyFont="1" applyFill="1" applyBorder="1"/>
    <xf numFmtId="49" fontId="87" fillId="68" borderId="17" xfId="8" applyNumberFormat="1" applyFont="1" applyFill="1" applyBorder="1" applyAlignment="1">
      <alignment horizontal="right"/>
    </xf>
    <xf numFmtId="49" fontId="87" fillId="68" borderId="19" xfId="8" applyNumberFormat="1" applyFont="1" applyFill="1" applyBorder="1" applyAlignment="1">
      <alignment horizontal="right"/>
    </xf>
    <xf numFmtId="0" fontId="87" fillId="68" borderId="26" xfId="8" applyNumberFormat="1" applyFont="1" applyFill="1" applyBorder="1" applyAlignment="1">
      <alignment horizontal="right"/>
    </xf>
    <xf numFmtId="0" fontId="21" fillId="68" borderId="27" xfId="8" applyNumberFormat="1" applyFont="1" applyFill="1" applyBorder="1"/>
    <xf numFmtId="0" fontId="19" fillId="61" borderId="38" xfId="8" applyNumberFormat="1" applyFont="1" applyFill="1" applyBorder="1" applyAlignment="1">
      <alignment horizontal="center"/>
    </xf>
    <xf numFmtId="0" fontId="18" fillId="61" borderId="39" xfId="8" applyNumberFormat="1" applyFont="1" applyFill="1" applyBorder="1"/>
    <xf numFmtId="0" fontId="18" fillId="68" borderId="40" xfId="8" applyNumberFormat="1" applyFont="1" applyFill="1" applyBorder="1"/>
    <xf numFmtId="0" fontId="18" fillId="68" borderId="41" xfId="8" applyNumberFormat="1" applyFont="1" applyFill="1" applyBorder="1"/>
    <xf numFmtId="0" fontId="21" fillId="68" borderId="41" xfId="8" applyNumberFormat="1" applyFont="1" applyFill="1" applyBorder="1"/>
    <xf numFmtId="0" fontId="87" fillId="65" borderId="42" xfId="441" applyNumberFormat="1" applyFont="1" applyFill="1" applyBorder="1" applyAlignment="1">
      <alignment horizontal="center"/>
    </xf>
    <xf numFmtId="0" fontId="20" fillId="66" borderId="43" xfId="8" applyNumberFormat="1" applyFont="1" applyFill="1" applyBorder="1"/>
    <xf numFmtId="0" fontId="20" fillId="0" borderId="43" xfId="8" applyNumberFormat="1" applyFont="1" applyFill="1" applyBorder="1"/>
    <xf numFmtId="0" fontId="20" fillId="62" borderId="43" xfId="8" applyNumberFormat="1" applyFont="1" applyFill="1" applyBorder="1"/>
    <xf numFmtId="0" fontId="20" fillId="67" borderId="43" xfId="8" applyNumberFormat="1" applyFont="1" applyFill="1" applyBorder="1"/>
    <xf numFmtId="0" fontId="20" fillId="63" borderId="43" xfId="8" applyNumberFormat="1" applyFont="1" applyFill="1" applyBorder="1"/>
    <xf numFmtId="0" fontId="20" fillId="63" borderId="44" xfId="8" applyNumberFormat="1" applyFont="1" applyFill="1" applyBorder="1"/>
    <xf numFmtId="0" fontId="80" fillId="60" borderId="37" xfId="8" applyNumberFormat="1" applyFont="1" applyFill="1" applyBorder="1" applyAlignment="1">
      <alignment horizontal="center" vertical="center"/>
    </xf>
    <xf numFmtId="0" fontId="80" fillId="60" borderId="41" xfId="8" applyNumberFormat="1" applyFont="1" applyFill="1" applyBorder="1" applyAlignment="1">
      <alignment horizontal="center" vertical="center"/>
    </xf>
    <xf numFmtId="0" fontId="76" fillId="60" borderId="0" xfId="0" applyFont="1" applyFill="1" applyAlignment="1"/>
    <xf numFmtId="0" fontId="76" fillId="60" borderId="0" xfId="0" applyFont="1" applyFill="1" applyAlignment="1">
      <alignment horizontal="center" vertical="center"/>
    </xf>
    <xf numFmtId="49" fontId="83" fillId="59" borderId="0" xfId="0" applyNumberFormat="1" applyFont="1" applyFill="1" applyAlignment="1"/>
    <xf numFmtId="0" fontId="83" fillId="59" borderId="0" xfId="0" applyFont="1" applyFill="1" applyAlignment="1"/>
    <xf numFmtId="0" fontId="95" fillId="58" borderId="0" xfId="0" applyFont="1" applyFill="1" applyAlignment="1"/>
    <xf numFmtId="0" fontId="86" fillId="0" borderId="0" xfId="0" applyFont="1" applyAlignment="1">
      <alignment horizontal="left" vertical="center"/>
    </xf>
    <xf numFmtId="0" fontId="95" fillId="59" borderId="0" xfId="0" applyFont="1" applyFill="1" applyAlignment="1"/>
    <xf numFmtId="0" fontId="77" fillId="64" borderId="0" xfId="0" applyFont="1" applyFill="1" applyAlignment="1">
      <alignment horizontal="center" vertical="center"/>
    </xf>
    <xf numFmtId="0" fontId="85" fillId="64" borderId="0" xfId="0" applyFont="1" applyFill="1" applyAlignment="1">
      <alignment horizontal="center" vertical="center"/>
    </xf>
    <xf numFmtId="0" fontId="78" fillId="64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88" fillId="0" borderId="45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/>
    </xf>
    <xf numFmtId="0" fontId="60" fillId="64" borderId="0" xfId="0" applyFont="1" applyFill="1" applyAlignment="1">
      <alignment horizontal="left"/>
    </xf>
  </cellXfs>
  <cellStyles count="532">
    <cellStyle name="_Автостекло " xfId="1"/>
    <cellStyle name="_Автостекло. Аксессуары. Клей" xfId="2"/>
    <cellStyle name="_Автостекло. Аксессуары. Клей_1" xfId="3"/>
    <cellStyle name="_Аксессуары" xfId="4"/>
    <cellStyle name="_Аксессуары_1" xfId="5"/>
    <cellStyle name="_Клей. Инструменты" xfId="6"/>
    <cellStyle name="_Лист1" xfId="7"/>
    <cellStyle name="-15-1976" xfId="8"/>
    <cellStyle name="-15-1976 2" xfId="9"/>
    <cellStyle name="-15-1976 3" xfId="10"/>
    <cellStyle name="-15-1976 4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6 2" xfId="23"/>
    <cellStyle name="20% - Акцент1 6 3" xfId="24"/>
    <cellStyle name="20% - Акцент1 7" xfId="25"/>
    <cellStyle name="20% - Акцент1 7 2" xfId="26"/>
    <cellStyle name="20% - Акцент1 8" xfId="27"/>
    <cellStyle name="20% - Акцент1 8 2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6 2" xfId="34"/>
    <cellStyle name="20% - Акцент2 6 3" xfId="35"/>
    <cellStyle name="20% - Акцент2 7" xfId="36"/>
    <cellStyle name="20% - Акцент2 7 2" xfId="37"/>
    <cellStyle name="20% - Акцент2 8" xfId="38"/>
    <cellStyle name="20% - Акцент2 8 2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6 2" xfId="45"/>
    <cellStyle name="20% - Акцент3 6 3" xfId="46"/>
    <cellStyle name="20% - Акцент3 7" xfId="47"/>
    <cellStyle name="20% - Акцент3 7 2" xfId="48"/>
    <cellStyle name="20% - Акцент3 8" xfId="49"/>
    <cellStyle name="20% - Акцент3 8 2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6 2" xfId="56"/>
    <cellStyle name="20% - Акцент4 6 3" xfId="57"/>
    <cellStyle name="20% - Акцент4 7" xfId="58"/>
    <cellStyle name="20% - Акцент4 7 2" xfId="59"/>
    <cellStyle name="20% - Акцент4 8" xfId="60"/>
    <cellStyle name="20% - Акцент4 8 2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6 2" xfId="67"/>
    <cellStyle name="20% - Акцент5 6 3" xfId="68"/>
    <cellStyle name="20% - Акцент5 7" xfId="69"/>
    <cellStyle name="20% - Акцент5 7 2" xfId="70"/>
    <cellStyle name="20% - Акцент5 8" xfId="71"/>
    <cellStyle name="20% - Акцент5 8 2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6 2" xfId="78"/>
    <cellStyle name="20% - Акцент6 6 3" xfId="79"/>
    <cellStyle name="20% - Акцент6 7" xfId="80"/>
    <cellStyle name="20% - Акцент6 7 2" xfId="81"/>
    <cellStyle name="20% - Акцент6 8" xfId="82"/>
    <cellStyle name="20% - Акцент6 8 2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1 4" xfId="92"/>
    <cellStyle name="40% - Акцент1 5" xfId="93"/>
    <cellStyle name="40% - Акцент1 6" xfId="94"/>
    <cellStyle name="40% - Акцент1 6 2" xfId="95"/>
    <cellStyle name="40% - Акцент1 6 3" xfId="96"/>
    <cellStyle name="40% - Акцент1 7" xfId="97"/>
    <cellStyle name="40% - Акцент1 7 2" xfId="98"/>
    <cellStyle name="40% - Акцент1 8" xfId="99"/>
    <cellStyle name="40% - Акцент1 8 2" xfId="100"/>
    <cellStyle name="40% - Акцент2 2" xfId="101"/>
    <cellStyle name="40% - Акцент2 3" xfId="102"/>
    <cellStyle name="40% - Акцент2 4" xfId="103"/>
    <cellStyle name="40% - Акцент2 5" xfId="104"/>
    <cellStyle name="40% - Акцент2 6" xfId="105"/>
    <cellStyle name="40% - Акцент2 6 2" xfId="106"/>
    <cellStyle name="40% - Акцент2 6 3" xfId="107"/>
    <cellStyle name="40% - Акцент2 7" xfId="108"/>
    <cellStyle name="40% - Акцент2 7 2" xfId="109"/>
    <cellStyle name="40% - Акцент2 8" xfId="110"/>
    <cellStyle name="40% - Акцент2 8 2" xfId="111"/>
    <cellStyle name="40% - Акцент3 2" xfId="112"/>
    <cellStyle name="40% - Акцент3 3" xfId="113"/>
    <cellStyle name="40% - Акцент3 4" xfId="114"/>
    <cellStyle name="40% - Акцент3 5" xfId="115"/>
    <cellStyle name="40% - Акцент3 6" xfId="116"/>
    <cellStyle name="40% - Акцент3 6 2" xfId="117"/>
    <cellStyle name="40% - Акцент3 6 3" xfId="118"/>
    <cellStyle name="40% - Акцент3 7" xfId="119"/>
    <cellStyle name="40% - Акцент3 7 2" xfId="120"/>
    <cellStyle name="40% - Акцент3 8" xfId="121"/>
    <cellStyle name="40% - Акцент3 8 2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6 2" xfId="128"/>
    <cellStyle name="40% - Акцент4 6 3" xfId="129"/>
    <cellStyle name="40% - Акцент4 7" xfId="130"/>
    <cellStyle name="40% - Акцент4 7 2" xfId="131"/>
    <cellStyle name="40% - Акцент4 8" xfId="132"/>
    <cellStyle name="40% - Акцент4 8 2" xfId="133"/>
    <cellStyle name="40% - Акцент5 2" xfId="134"/>
    <cellStyle name="40% - Акцент5 3" xfId="135"/>
    <cellStyle name="40% - Акцент5 4" xfId="136"/>
    <cellStyle name="40% - Акцент5 5" xfId="137"/>
    <cellStyle name="40% - Акцент5 6" xfId="138"/>
    <cellStyle name="40% - Акцент5 6 2" xfId="139"/>
    <cellStyle name="40% - Акцент5 6 3" xfId="140"/>
    <cellStyle name="40% - Акцент5 7" xfId="141"/>
    <cellStyle name="40% - Акцент5 7 2" xfId="142"/>
    <cellStyle name="40% - Акцент5 8" xfId="143"/>
    <cellStyle name="40% - Акцент5 8 2" xfId="144"/>
    <cellStyle name="40% - Акцент6 2" xfId="145"/>
    <cellStyle name="40% - Акцент6 3" xfId="146"/>
    <cellStyle name="40% - Акцент6 4" xfId="147"/>
    <cellStyle name="40% - Акцент6 5" xfId="148"/>
    <cellStyle name="40% - Акцент6 6" xfId="149"/>
    <cellStyle name="40% - Акцент6 6 2" xfId="150"/>
    <cellStyle name="40% - Акцент6 6 3" xfId="151"/>
    <cellStyle name="40% - Акцент6 7" xfId="152"/>
    <cellStyle name="40% - Акцент6 7 2" xfId="153"/>
    <cellStyle name="40% - Акцент6 8" xfId="154"/>
    <cellStyle name="40% - Акцент6 8 2" xfId="155"/>
    <cellStyle name="60% - Accent1" xfId="156"/>
    <cellStyle name="60% - Accent2" xfId="157"/>
    <cellStyle name="60% - Accent3" xfId="158"/>
    <cellStyle name="60% - Accent4" xfId="159"/>
    <cellStyle name="60% - Accent5" xfId="160"/>
    <cellStyle name="60% - Accent6" xfId="161"/>
    <cellStyle name="60% - Акцент1 2" xfId="162"/>
    <cellStyle name="60% - Акцент1 3" xfId="163"/>
    <cellStyle name="60% - Акцент1 4" xfId="164"/>
    <cellStyle name="60% - Акцент1 5" xfId="165"/>
    <cellStyle name="60% - Акцент1 6" xfId="166"/>
    <cellStyle name="60% - Акцент1 6 2" xfId="167"/>
    <cellStyle name="60% - Акцент1 6 3" xfId="168"/>
    <cellStyle name="60% - Акцент1 7" xfId="169"/>
    <cellStyle name="60% - Акцент1 7 2" xfId="170"/>
    <cellStyle name="60% - Акцент1 8" xfId="171"/>
    <cellStyle name="60% - Акцент1 8 2" xfId="172"/>
    <cellStyle name="60% - Акцент2 2" xfId="173"/>
    <cellStyle name="60% - Акцент2 3" xfId="174"/>
    <cellStyle name="60% - Акцент2 4" xfId="175"/>
    <cellStyle name="60% - Акцент2 5" xfId="176"/>
    <cellStyle name="60% - Акцент2 6" xfId="177"/>
    <cellStyle name="60% - Акцент2 6 2" xfId="178"/>
    <cellStyle name="60% - Акцент2 6 3" xfId="179"/>
    <cellStyle name="60% - Акцент2 7" xfId="180"/>
    <cellStyle name="60% - Акцент2 7 2" xfId="181"/>
    <cellStyle name="60% - Акцент2 8" xfId="182"/>
    <cellStyle name="60% - Акцент2 8 2" xfId="183"/>
    <cellStyle name="60% - Акцент3 2" xfId="184"/>
    <cellStyle name="60% - Акцент3 3" xfId="185"/>
    <cellStyle name="60% - Акцент3 4" xfId="186"/>
    <cellStyle name="60% - Акцент3 5" xfId="187"/>
    <cellStyle name="60% - Акцент3 6" xfId="188"/>
    <cellStyle name="60% - Акцент3 6 2" xfId="189"/>
    <cellStyle name="60% - Акцент3 6 3" xfId="190"/>
    <cellStyle name="60% - Акцент3 7" xfId="191"/>
    <cellStyle name="60% - Акцент3 7 2" xfId="192"/>
    <cellStyle name="60% - Акцент3 8" xfId="193"/>
    <cellStyle name="60% - Акцент3 8 2" xfId="194"/>
    <cellStyle name="60% - Акцент4 2" xfId="195"/>
    <cellStyle name="60% - Акцент4 3" xfId="196"/>
    <cellStyle name="60% - Акцент4 4" xfId="197"/>
    <cellStyle name="60% - Акцент4 5" xfId="198"/>
    <cellStyle name="60% - Акцент4 6" xfId="199"/>
    <cellStyle name="60% - Акцент4 6 2" xfId="200"/>
    <cellStyle name="60% - Акцент4 6 3" xfId="201"/>
    <cellStyle name="60% - Акцент4 7" xfId="202"/>
    <cellStyle name="60% - Акцент4 7 2" xfId="203"/>
    <cellStyle name="60% - Акцент4 8" xfId="204"/>
    <cellStyle name="60% - Акцент4 8 2" xfId="205"/>
    <cellStyle name="60% - Акцент5 2" xfId="206"/>
    <cellStyle name="60% - Акцент5 3" xfId="207"/>
    <cellStyle name="60% - Акцент5 4" xfId="208"/>
    <cellStyle name="60% - Акцент5 5" xfId="209"/>
    <cellStyle name="60% - Акцент5 6" xfId="210"/>
    <cellStyle name="60% - Акцент5 6 2" xfId="211"/>
    <cellStyle name="60% - Акцент5 6 3" xfId="212"/>
    <cellStyle name="60% - Акцент5 7" xfId="213"/>
    <cellStyle name="60% - Акцент5 7 2" xfId="214"/>
    <cellStyle name="60% - Акцент5 8" xfId="215"/>
    <cellStyle name="60% - Акцент5 8 2" xfId="216"/>
    <cellStyle name="60% - Акцент6 2" xfId="217"/>
    <cellStyle name="60% - Акцент6 3" xfId="218"/>
    <cellStyle name="60% - Акцент6 4" xfId="219"/>
    <cellStyle name="60% - Акцент6 5" xfId="220"/>
    <cellStyle name="60% - Акцент6 6" xfId="221"/>
    <cellStyle name="60% - Акцент6 6 2" xfId="222"/>
    <cellStyle name="60% - Акцент6 6 3" xfId="223"/>
    <cellStyle name="60% - Акцент6 7" xfId="224"/>
    <cellStyle name="60% - Акцент6 7 2" xfId="225"/>
    <cellStyle name="60% - Акцент6 8" xfId="226"/>
    <cellStyle name="60% - Акцент6 8 2" xfId="227"/>
    <cellStyle name="Accent1" xfId="228"/>
    <cellStyle name="Accent2" xfId="229"/>
    <cellStyle name="Accent3" xfId="230"/>
    <cellStyle name="Accent4" xfId="231"/>
    <cellStyle name="Accent5" xfId="232"/>
    <cellStyle name="Accent6" xfId="233"/>
    <cellStyle name="Bad" xfId="234"/>
    <cellStyle name="Calculation" xfId="235"/>
    <cellStyle name="Check Cell" xfId="236"/>
    <cellStyle name="Excel.Chart" xfId="237"/>
    <cellStyle name="Explanatory Text" xfId="238"/>
    <cellStyle name="Good" xfId="239"/>
    <cellStyle name="Heading 1" xfId="240"/>
    <cellStyle name="Heading 2" xfId="241"/>
    <cellStyle name="Heading 3" xfId="242"/>
    <cellStyle name="Heading 4" xfId="243"/>
    <cellStyle name="Input" xfId="244"/>
    <cellStyle name="Linked Cell" xfId="245"/>
    <cellStyle name="Neutral" xfId="246"/>
    <cellStyle name="Normal_EC matrix 2008 русский язык 2" xfId="247"/>
    <cellStyle name="Note" xfId="248"/>
    <cellStyle name="Output" xfId="249"/>
    <cellStyle name="Title" xfId="250"/>
    <cellStyle name="Total" xfId="251"/>
    <cellStyle name="Warning Text" xfId="252"/>
    <cellStyle name="Акцент1 2" xfId="253"/>
    <cellStyle name="Акцент1 3" xfId="254"/>
    <cellStyle name="Акцент1 4" xfId="255"/>
    <cellStyle name="Акцент1 5" xfId="256"/>
    <cellStyle name="Акцент1 6" xfId="257"/>
    <cellStyle name="Акцент1 6 2" xfId="258"/>
    <cellStyle name="Акцент1 6 3" xfId="259"/>
    <cellStyle name="Акцент1 7" xfId="260"/>
    <cellStyle name="Акцент1 7 2" xfId="261"/>
    <cellStyle name="Акцент1 8" xfId="262"/>
    <cellStyle name="Акцент1 8 2" xfId="263"/>
    <cellStyle name="Акцент2 2" xfId="264"/>
    <cellStyle name="Акцент2 3" xfId="265"/>
    <cellStyle name="Акцент2 4" xfId="266"/>
    <cellStyle name="Акцент2 5" xfId="267"/>
    <cellStyle name="Акцент2 6" xfId="268"/>
    <cellStyle name="Акцент2 6 2" xfId="269"/>
    <cellStyle name="Акцент2 6 3" xfId="270"/>
    <cellStyle name="Акцент2 7" xfId="271"/>
    <cellStyle name="Акцент2 7 2" xfId="272"/>
    <cellStyle name="Акцент2 8" xfId="273"/>
    <cellStyle name="Акцент2 8 2" xfId="274"/>
    <cellStyle name="Акцент3 2" xfId="275"/>
    <cellStyle name="Акцент3 3" xfId="276"/>
    <cellStyle name="Акцент3 4" xfId="277"/>
    <cellStyle name="Акцент3 5" xfId="278"/>
    <cellStyle name="Акцент3 6" xfId="279"/>
    <cellStyle name="Акцент3 6 2" xfId="280"/>
    <cellStyle name="Акцент3 6 3" xfId="281"/>
    <cellStyle name="Акцент3 7" xfId="282"/>
    <cellStyle name="Акцент3 7 2" xfId="283"/>
    <cellStyle name="Акцент3 8" xfId="284"/>
    <cellStyle name="Акцент3 8 2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6 2" xfId="291"/>
    <cellStyle name="Акцент4 6 3" xfId="292"/>
    <cellStyle name="Акцент4 7" xfId="293"/>
    <cellStyle name="Акцент4 7 2" xfId="294"/>
    <cellStyle name="Акцент4 8" xfId="295"/>
    <cellStyle name="Акцент4 8 2" xfId="296"/>
    <cellStyle name="Акцент5 2" xfId="297"/>
    <cellStyle name="Акцент5 3" xfId="298"/>
    <cellStyle name="Акцент5 4" xfId="299"/>
    <cellStyle name="Акцент5 5" xfId="300"/>
    <cellStyle name="Акцент5 6" xfId="301"/>
    <cellStyle name="Акцент5 6 2" xfId="302"/>
    <cellStyle name="Акцент5 6 3" xfId="303"/>
    <cellStyle name="Акцент5 7" xfId="304"/>
    <cellStyle name="Акцент5 7 2" xfId="305"/>
    <cellStyle name="Акцент5 8" xfId="306"/>
    <cellStyle name="Акцент5 8 2" xfId="307"/>
    <cellStyle name="Акцент6 2" xfId="308"/>
    <cellStyle name="Акцент6 3" xfId="309"/>
    <cellStyle name="Акцент6 4" xfId="310"/>
    <cellStyle name="Акцент6 5" xfId="311"/>
    <cellStyle name="Акцент6 6" xfId="312"/>
    <cellStyle name="Акцент6 6 2" xfId="313"/>
    <cellStyle name="Акцент6 6 3" xfId="314"/>
    <cellStyle name="Акцент6 7" xfId="315"/>
    <cellStyle name="Акцент6 7 2" xfId="316"/>
    <cellStyle name="Акцент6 8" xfId="317"/>
    <cellStyle name="Акцент6 8 2" xfId="318"/>
    <cellStyle name="Ввод  2" xfId="319"/>
    <cellStyle name="Ввод  3" xfId="320"/>
    <cellStyle name="Ввод  4" xfId="321"/>
    <cellStyle name="Ввод  5" xfId="322"/>
    <cellStyle name="Ввод  6" xfId="323"/>
    <cellStyle name="Ввод  6 2" xfId="324"/>
    <cellStyle name="Ввод  6 3" xfId="325"/>
    <cellStyle name="Ввод  7" xfId="326"/>
    <cellStyle name="Ввод  7 2" xfId="327"/>
    <cellStyle name="Ввод  8" xfId="328"/>
    <cellStyle name="Ввод  8 2" xfId="329"/>
    <cellStyle name="Вывод 2" xfId="330"/>
    <cellStyle name="Вывод 3" xfId="331"/>
    <cellStyle name="Вывод 4" xfId="332"/>
    <cellStyle name="Вывод 5" xfId="333"/>
    <cellStyle name="Вывод 6" xfId="334"/>
    <cellStyle name="Вывод 6 2" xfId="335"/>
    <cellStyle name="Вывод 6 3" xfId="336"/>
    <cellStyle name="Вывод 7" xfId="337"/>
    <cellStyle name="Вывод 7 2" xfId="338"/>
    <cellStyle name="Вывод 8" xfId="339"/>
    <cellStyle name="Вывод 8 2" xfId="340"/>
    <cellStyle name="Вычисление 2" xfId="341"/>
    <cellStyle name="Вычисление 3" xfId="342"/>
    <cellStyle name="Вычисление 4" xfId="343"/>
    <cellStyle name="Вычисление 5" xfId="344"/>
    <cellStyle name="Вычисление 6" xfId="345"/>
    <cellStyle name="Вычисление 6 2" xfId="346"/>
    <cellStyle name="Вычисление 6 3" xfId="347"/>
    <cellStyle name="Вычисление 7" xfId="348"/>
    <cellStyle name="Вычисление 7 2" xfId="349"/>
    <cellStyle name="Вычисление 8" xfId="350"/>
    <cellStyle name="Вычисление 8 2" xfId="351"/>
    <cellStyle name="Гиперссылка" xfId="352" builtinId="8"/>
    <cellStyle name="Заголовок 1 2" xfId="353"/>
    <cellStyle name="Заголовок 1 3" xfId="354"/>
    <cellStyle name="Заголовок 1 4" xfId="355"/>
    <cellStyle name="Заголовок 1 5" xfId="356"/>
    <cellStyle name="Заголовок 1 6" xfId="357"/>
    <cellStyle name="Заголовок 1 6 2" xfId="358"/>
    <cellStyle name="Заголовок 1 6 3" xfId="359"/>
    <cellStyle name="Заголовок 1 7" xfId="360"/>
    <cellStyle name="Заголовок 1 7 2" xfId="361"/>
    <cellStyle name="Заголовок 1 8" xfId="362"/>
    <cellStyle name="Заголовок 1 8 2" xfId="363"/>
    <cellStyle name="Заголовок 2 2" xfId="364"/>
    <cellStyle name="Заголовок 2 3" xfId="365"/>
    <cellStyle name="Заголовок 2 4" xfId="366"/>
    <cellStyle name="Заголовок 2 5" xfId="367"/>
    <cellStyle name="Заголовок 2 6" xfId="368"/>
    <cellStyle name="Заголовок 2 6 2" xfId="369"/>
    <cellStyle name="Заголовок 2 6 3" xfId="370"/>
    <cellStyle name="Заголовок 2 7" xfId="371"/>
    <cellStyle name="Заголовок 2 7 2" xfId="372"/>
    <cellStyle name="Заголовок 2 8" xfId="373"/>
    <cellStyle name="Заголовок 2 8 2" xfId="374"/>
    <cellStyle name="Заголовок 3 2" xfId="375"/>
    <cellStyle name="Заголовок 3 3" xfId="376"/>
    <cellStyle name="Заголовок 3 4" xfId="377"/>
    <cellStyle name="Заголовок 3 5" xfId="378"/>
    <cellStyle name="Заголовок 3 6" xfId="379"/>
    <cellStyle name="Заголовок 3 6 2" xfId="380"/>
    <cellStyle name="Заголовок 3 6 3" xfId="381"/>
    <cellStyle name="Заголовок 3 7" xfId="382"/>
    <cellStyle name="Заголовок 3 7 2" xfId="383"/>
    <cellStyle name="Заголовок 3 8" xfId="384"/>
    <cellStyle name="Заголовок 3 8 2" xfId="385"/>
    <cellStyle name="Заголовок 4 2" xfId="386"/>
    <cellStyle name="Заголовок 4 3" xfId="387"/>
    <cellStyle name="Заголовок 4 4" xfId="388"/>
    <cellStyle name="Заголовок 4 5" xfId="389"/>
    <cellStyle name="Заголовок 4 6" xfId="390"/>
    <cellStyle name="Заголовок 4 6 2" xfId="391"/>
    <cellStyle name="Заголовок 4 6 3" xfId="392"/>
    <cellStyle name="Заголовок 4 7" xfId="393"/>
    <cellStyle name="Заголовок 4 7 2" xfId="394"/>
    <cellStyle name="Заголовок 4 8" xfId="395"/>
    <cellStyle name="Заголовок 4 8 2" xfId="396"/>
    <cellStyle name="Итог 2" xfId="397"/>
    <cellStyle name="Итог 3" xfId="398"/>
    <cellStyle name="Итог 4" xfId="399"/>
    <cellStyle name="Итог 5" xfId="400"/>
    <cellStyle name="Итог 6" xfId="401"/>
    <cellStyle name="Итог 6 2" xfId="402"/>
    <cellStyle name="Итог 6 3" xfId="403"/>
    <cellStyle name="Итог 7" xfId="404"/>
    <cellStyle name="Итог 7 2" xfId="405"/>
    <cellStyle name="Итог 8" xfId="406"/>
    <cellStyle name="Итог 8 2" xfId="407"/>
    <cellStyle name="Контрольная ячейка 2" xfId="408"/>
    <cellStyle name="Контрольная ячейка 3" xfId="409"/>
    <cellStyle name="Контрольная ячейка 4" xfId="410"/>
    <cellStyle name="Контрольная ячейка 5" xfId="411"/>
    <cellStyle name="Контрольная ячейка 6" xfId="412"/>
    <cellStyle name="Контрольная ячейка 6 2" xfId="413"/>
    <cellStyle name="Контрольная ячейка 6 3" xfId="414"/>
    <cellStyle name="Контрольная ячейка 7" xfId="415"/>
    <cellStyle name="Контрольная ячейка 7 2" xfId="416"/>
    <cellStyle name="Контрольная ячейка 8" xfId="417"/>
    <cellStyle name="Контрольная ячейка 8 2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6 2" xfId="424"/>
    <cellStyle name="Название 6 3" xfId="425"/>
    <cellStyle name="Название 7" xfId="426"/>
    <cellStyle name="Название 7 2" xfId="427"/>
    <cellStyle name="Название 8" xfId="428"/>
    <cellStyle name="Название 8 2" xfId="429"/>
    <cellStyle name="Нейтральный 2" xfId="430"/>
    <cellStyle name="Нейтральный 3" xfId="431"/>
    <cellStyle name="Нейтральный 4" xfId="432"/>
    <cellStyle name="Нейтральный 5" xfId="433"/>
    <cellStyle name="Нейтральный 6" xfId="434"/>
    <cellStyle name="Нейтральный 6 2" xfId="435"/>
    <cellStyle name="Нейтральный 6 3" xfId="436"/>
    <cellStyle name="Нейтральный 7" xfId="437"/>
    <cellStyle name="Нейтральный 7 2" xfId="438"/>
    <cellStyle name="Нейтральный 8" xfId="439"/>
    <cellStyle name="Нейтральный 8 2" xfId="440"/>
    <cellStyle name="Обычный" xfId="0" builtinId="0"/>
    <cellStyle name="Обычный 10" xfId="441"/>
    <cellStyle name="Обычный 11" xfId="442"/>
    <cellStyle name="Обычный 12" xfId="443"/>
    <cellStyle name="Обычный 2" xfId="444"/>
    <cellStyle name="Обычный 2 2" xfId="445"/>
    <cellStyle name="Обычный 2 3" xfId="446"/>
    <cellStyle name="Обычный 2 4" xfId="447"/>
    <cellStyle name="Обычный 2 5" xfId="448"/>
    <cellStyle name="Обычный 3" xfId="449"/>
    <cellStyle name="Обычный 3 2" xfId="450"/>
    <cellStyle name="Обычный 3 3" xfId="451"/>
    <cellStyle name="Обычный 3 4" xfId="452"/>
    <cellStyle name="Обычный 3 5" xfId="453"/>
    <cellStyle name="Обычный 3 6" xfId="454"/>
    <cellStyle name="Обычный 4" xfId="455"/>
    <cellStyle name="Обычный 5" xfId="456"/>
    <cellStyle name="Обычный 6" xfId="457"/>
    <cellStyle name="Обычный 7" xfId="458"/>
    <cellStyle name="Обычный 8" xfId="459"/>
    <cellStyle name="Обычный 8 2" xfId="460"/>
    <cellStyle name="Обычный 8 3" xfId="461"/>
    <cellStyle name="Обычный 9" xfId="462"/>
    <cellStyle name="Плохой 2" xfId="463"/>
    <cellStyle name="Плохой 3" xfId="464"/>
    <cellStyle name="Плохой 4" xfId="465"/>
    <cellStyle name="Плохой 5" xfId="466"/>
    <cellStyle name="Плохой 6" xfId="467"/>
    <cellStyle name="Плохой 6 2" xfId="468"/>
    <cellStyle name="Плохой 6 3" xfId="469"/>
    <cellStyle name="Плохой 7" xfId="470"/>
    <cellStyle name="Плохой 7 2" xfId="471"/>
    <cellStyle name="Плохой 8" xfId="472"/>
    <cellStyle name="Плохой 8 2" xfId="473"/>
    <cellStyle name="Пояснение 2" xfId="474"/>
    <cellStyle name="Пояснение 3" xfId="475"/>
    <cellStyle name="Пояснение 4" xfId="476"/>
    <cellStyle name="Пояснение 5" xfId="477"/>
    <cellStyle name="Пояснение 6" xfId="478"/>
    <cellStyle name="Пояснение 6 2" xfId="479"/>
    <cellStyle name="Пояснение 6 3" xfId="480"/>
    <cellStyle name="Пояснение 7" xfId="481"/>
    <cellStyle name="Пояснение 7 2" xfId="482"/>
    <cellStyle name="Пояснение 8" xfId="483"/>
    <cellStyle name="Пояснение 8 2" xfId="484"/>
    <cellStyle name="Примечание 2" xfId="485"/>
    <cellStyle name="Примечание 3" xfId="486"/>
    <cellStyle name="Примечание 4" xfId="487"/>
    <cellStyle name="Примечание 4 2" xfId="488"/>
    <cellStyle name="Примечание 4 3" xfId="489"/>
    <cellStyle name="Примечание 5" xfId="490"/>
    <cellStyle name="Примечание 6" xfId="491"/>
    <cellStyle name="Примечание 6 2" xfId="492"/>
    <cellStyle name="Процентный 2" xfId="493"/>
    <cellStyle name="Процентный 2 2" xfId="494"/>
    <cellStyle name="Процентный 2 2 2" xfId="495"/>
    <cellStyle name="Процентный 2 3" xfId="496"/>
    <cellStyle name="Процентный 2 4" xfId="497"/>
    <cellStyle name="Связанная ячейка 2" xfId="498"/>
    <cellStyle name="Связанная ячейка 3" xfId="499"/>
    <cellStyle name="Связанная ячейка 4" xfId="500"/>
    <cellStyle name="Связанная ячейка 5" xfId="501"/>
    <cellStyle name="Связанная ячейка 6" xfId="502"/>
    <cellStyle name="Связанная ячейка 6 2" xfId="503"/>
    <cellStyle name="Связанная ячейка 6 3" xfId="504"/>
    <cellStyle name="Связанная ячейка 7" xfId="505"/>
    <cellStyle name="Связанная ячейка 7 2" xfId="506"/>
    <cellStyle name="Связанная ячейка 8" xfId="507"/>
    <cellStyle name="Связанная ячейка 8 2" xfId="508"/>
    <cellStyle name="Стиль 1" xfId="509"/>
    <cellStyle name="Текст предупреждения 2" xfId="510"/>
    <cellStyle name="Текст предупреждения 3" xfId="511"/>
    <cellStyle name="Текст предупреждения 4" xfId="512"/>
    <cellStyle name="Текст предупреждения 5" xfId="513"/>
    <cellStyle name="Текст предупреждения 6" xfId="514"/>
    <cellStyle name="Текст предупреждения 6 2" xfId="515"/>
    <cellStyle name="Текст предупреждения 6 3" xfId="516"/>
    <cellStyle name="Текст предупреждения 7" xfId="517"/>
    <cellStyle name="Текст предупреждения 7 2" xfId="518"/>
    <cellStyle name="Текст предупреждения 8" xfId="519"/>
    <cellStyle name="Текст предупреждения 8 2" xfId="520"/>
    <cellStyle name="Хороший 2" xfId="521"/>
    <cellStyle name="Хороший 3" xfId="522"/>
    <cellStyle name="Хороший 4" xfId="523"/>
    <cellStyle name="Хороший 5" xfId="524"/>
    <cellStyle name="Хороший 6" xfId="525"/>
    <cellStyle name="Хороший 6 2" xfId="526"/>
    <cellStyle name="Хороший 6 3" xfId="527"/>
    <cellStyle name="Хороший 7" xfId="528"/>
    <cellStyle name="Хороший 7 2" xfId="529"/>
    <cellStyle name="Хороший 8" xfId="530"/>
    <cellStyle name="Хороший 8 2" xfId="5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0292"/>
  <sheetViews>
    <sheetView tabSelected="1" zoomScaleNormal="100" workbookViewId="0">
      <selection activeCell="A6" sqref="A6:E6"/>
    </sheetView>
  </sheetViews>
  <sheetFormatPr defaultRowHeight="15" outlineLevelRow="2" x14ac:dyDescent="0.25"/>
  <cols>
    <col min="1" max="1" width="20.7109375" customWidth="1"/>
    <col min="2" max="2" width="30.7109375" style="1" customWidth="1"/>
    <col min="3" max="3" width="13.7109375" style="9" customWidth="1"/>
    <col min="4" max="4" width="115.7109375" style="14" customWidth="1"/>
    <col min="5" max="5" width="19.42578125" style="9" bestFit="1" customWidth="1"/>
  </cols>
  <sheetData>
    <row r="1" spans="1:5" ht="25.5" customHeight="1" x14ac:dyDescent="0.25">
      <c r="A1" s="57"/>
      <c r="B1" s="54" t="s">
        <v>19692</v>
      </c>
      <c r="C1" s="54"/>
      <c r="D1" s="54"/>
      <c r="E1" s="57"/>
    </row>
    <row r="2" spans="1:5" ht="25.5" customHeight="1" x14ac:dyDescent="0.25">
      <c r="A2" s="57"/>
      <c r="B2" s="55" t="s">
        <v>19690</v>
      </c>
      <c r="C2" s="55"/>
      <c r="D2" s="55"/>
      <c r="E2" s="57"/>
    </row>
    <row r="3" spans="1:5" ht="25.5" customHeight="1" x14ac:dyDescent="0.25">
      <c r="A3" s="57"/>
      <c r="B3" s="56" t="s">
        <v>19691</v>
      </c>
      <c r="C3" s="56"/>
      <c r="D3" s="56"/>
      <c r="E3" s="57"/>
    </row>
    <row r="4" spans="1:5" ht="55.5" customHeight="1" x14ac:dyDescent="0.45">
      <c r="A4" s="60" t="s">
        <v>19696</v>
      </c>
      <c r="B4" s="60"/>
      <c r="C4" s="60"/>
      <c r="D4" s="60"/>
      <c r="E4" s="60"/>
    </row>
    <row r="5" spans="1:5" ht="30.75" customHeight="1" x14ac:dyDescent="0.25">
      <c r="A5" s="58" t="s">
        <v>19697</v>
      </c>
      <c r="B5" s="58"/>
      <c r="C5" s="58"/>
      <c r="D5" s="58"/>
      <c r="E5" s="58"/>
    </row>
    <row r="6" spans="1:5" ht="30.75" customHeight="1" x14ac:dyDescent="0.25">
      <c r="A6" s="59" t="s">
        <v>19698</v>
      </c>
      <c r="B6" s="59"/>
      <c r="C6" s="59"/>
      <c r="D6" s="59"/>
      <c r="E6" s="59"/>
    </row>
    <row r="7" spans="1:5" ht="25.5" customHeight="1" x14ac:dyDescent="0.25">
      <c r="A7" s="10" t="s">
        <v>19694</v>
      </c>
      <c r="B7" s="11" t="s">
        <v>19693</v>
      </c>
      <c r="C7" s="10" t="s">
        <v>0</v>
      </c>
      <c r="D7" s="10" t="s">
        <v>1</v>
      </c>
      <c r="E7" s="10" t="s">
        <v>2</v>
      </c>
    </row>
    <row r="8" spans="1:5" x14ac:dyDescent="0.25">
      <c r="A8" s="61" t="s">
        <v>3</v>
      </c>
      <c r="B8" s="61"/>
      <c r="C8" s="61"/>
      <c r="D8" s="61"/>
      <c r="E8" s="61"/>
    </row>
    <row r="9" spans="1:5" outlineLevel="1" x14ac:dyDescent="0.25">
      <c r="A9" s="2"/>
      <c r="B9" s="6" t="s">
        <v>4</v>
      </c>
      <c r="C9" s="12"/>
      <c r="D9" s="13"/>
      <c r="E9" s="12"/>
    </row>
    <row r="10" spans="1:5" ht="15" customHeight="1" outlineLevel="2" x14ac:dyDescent="0.25">
      <c r="A10" s="3" t="str">
        <f>HYPERLINK("http://mystore1.ru/price_items/search?utf8=%E2%9C%93&amp;oem=2024AGN","2024AGN")</f>
        <v>2024AGN</v>
      </c>
      <c r="B10" s="1" t="s">
        <v>5</v>
      </c>
      <c r="C10" s="9" t="s">
        <v>6</v>
      </c>
      <c r="D10" s="14" t="s">
        <v>7</v>
      </c>
      <c r="E10" s="9" t="s">
        <v>8</v>
      </c>
    </row>
    <row r="11" spans="1:5" ht="15" customHeight="1" outlineLevel="2" x14ac:dyDescent="0.25">
      <c r="A11" s="3" t="str">
        <f>HYPERLINK("http://mystore1.ru/price_items/search?utf8=%E2%9C%93&amp;oem=2024LGNH5FD","2024LGNH5FD")</f>
        <v>2024LGNH5FD</v>
      </c>
      <c r="B11" s="1" t="s">
        <v>9</v>
      </c>
      <c r="C11" s="9" t="s">
        <v>6</v>
      </c>
      <c r="D11" s="14" t="s">
        <v>10</v>
      </c>
      <c r="E11" s="9" t="s">
        <v>11</v>
      </c>
    </row>
    <row r="12" spans="1:5" ht="15" customHeight="1" outlineLevel="2" x14ac:dyDescent="0.25">
      <c r="A12" s="3" t="str">
        <f>HYPERLINK("http://mystore1.ru/price_items/search?utf8=%E2%9C%93&amp;oem=2024LGNH5RD","2024LGNH5RD")</f>
        <v>2024LGNH5RD</v>
      </c>
      <c r="B12" s="1" t="s">
        <v>12</v>
      </c>
      <c r="C12" s="9" t="s">
        <v>13</v>
      </c>
      <c r="D12" s="14" t="s">
        <v>14</v>
      </c>
      <c r="E12" s="9" t="s">
        <v>11</v>
      </c>
    </row>
    <row r="13" spans="1:5" ht="14.25" customHeight="1" outlineLevel="2" x14ac:dyDescent="0.25">
      <c r="A13" s="3" t="str">
        <f>HYPERLINK("http://mystore1.ru/price_items/search?utf8=%E2%9C%93&amp;oem=2024LGNH5RV","2024LGNH5RV")</f>
        <v>2024LGNH5RV</v>
      </c>
      <c r="B13" s="1" t="s">
        <v>15</v>
      </c>
      <c r="C13" s="9" t="s">
        <v>13</v>
      </c>
      <c r="D13" s="14" t="s">
        <v>16</v>
      </c>
      <c r="E13" s="9" t="s">
        <v>11</v>
      </c>
    </row>
    <row r="14" spans="1:5" ht="15" customHeight="1" outlineLevel="2" x14ac:dyDescent="0.25">
      <c r="A14" s="3" t="str">
        <f>HYPERLINK("http://mystore1.ru/price_items/search?utf8=%E2%9C%93&amp;oem=2024RGNH5RD","2024RGNH5RD")</f>
        <v>2024RGNH5RD</v>
      </c>
      <c r="B14" s="1" t="s">
        <v>17</v>
      </c>
      <c r="C14" s="9" t="s">
        <v>6</v>
      </c>
      <c r="D14" s="14" t="s">
        <v>18</v>
      </c>
      <c r="E14" s="9" t="s">
        <v>11</v>
      </c>
    </row>
    <row r="15" spans="1:5" ht="15" customHeight="1" outlineLevel="2" x14ac:dyDescent="0.25">
      <c r="A15" s="3" t="str">
        <f>HYPERLINK("http://mystore1.ru/price_items/search?utf8=%E2%9C%93&amp;oem=2024RGNH5RV","2024RGNH5RV")</f>
        <v>2024RGNH5RV</v>
      </c>
      <c r="B15" s="1" t="s">
        <v>19</v>
      </c>
      <c r="C15" s="9" t="s">
        <v>13</v>
      </c>
      <c r="E15" s="9" t="s">
        <v>11</v>
      </c>
    </row>
    <row r="16" spans="1:5" outlineLevel="1" x14ac:dyDescent="0.25">
      <c r="A16" s="2"/>
      <c r="B16" s="6" t="s">
        <v>20</v>
      </c>
      <c r="C16" s="12"/>
      <c r="D16" s="13"/>
      <c r="E16" s="12"/>
    </row>
    <row r="17" spans="1:5" ht="15" customHeight="1" outlineLevel="2" x14ac:dyDescent="0.25">
      <c r="A17" s="3" t="str">
        <f>HYPERLINK("http://mystore1.ru/price_items/search?utf8=%E2%9C%93&amp;oem=2028AGN","2028AGN")</f>
        <v>2028AGN</v>
      </c>
      <c r="B17" s="1" t="s">
        <v>21</v>
      </c>
      <c r="C17" s="9" t="s">
        <v>22</v>
      </c>
      <c r="D17" s="14" t="s">
        <v>23</v>
      </c>
      <c r="E17" s="9" t="s">
        <v>8</v>
      </c>
    </row>
    <row r="18" spans="1:5" ht="15" customHeight="1" outlineLevel="2" x14ac:dyDescent="0.25">
      <c r="A18" s="3" t="str">
        <f>HYPERLINK("http://mystore1.ru/price_items/search?utf8=%E2%9C%93&amp;oem=2028AKMH","2028AKMH")</f>
        <v>2028AKMH</v>
      </c>
      <c r="B18" s="1" t="s">
        <v>24</v>
      </c>
      <c r="C18" s="9" t="s">
        <v>25</v>
      </c>
      <c r="D18" s="14" t="s">
        <v>26</v>
      </c>
      <c r="E18" s="9" t="s">
        <v>27</v>
      </c>
    </row>
    <row r="19" spans="1:5" ht="15" customHeight="1" outlineLevel="2" x14ac:dyDescent="0.25">
      <c r="A19" s="3" t="str">
        <f>HYPERLINK("http://mystore1.ru/price_items/search?utf8=%E2%9C%93&amp;oem=2028BGNH","2028BGNH")</f>
        <v>2028BGNH</v>
      </c>
      <c r="B19" s="1" t="s">
        <v>28</v>
      </c>
      <c r="C19" s="9" t="s">
        <v>22</v>
      </c>
      <c r="D19" s="14" t="s">
        <v>29</v>
      </c>
      <c r="E19" s="9" t="s">
        <v>30</v>
      </c>
    </row>
    <row r="20" spans="1:5" outlineLevel="1" x14ac:dyDescent="0.25">
      <c r="A20" s="2"/>
      <c r="B20" s="6" t="s">
        <v>31</v>
      </c>
      <c r="C20" s="12"/>
      <c r="D20" s="13"/>
      <c r="E20" s="12"/>
    </row>
    <row r="21" spans="1:5" ht="15" customHeight="1" outlineLevel="2" x14ac:dyDescent="0.25">
      <c r="A21" s="3" t="str">
        <f>HYPERLINK("http://mystore1.ru/price_items/search?utf8=%E2%9C%93&amp;oem=2026AGN","2026AGN")</f>
        <v>2026AGN</v>
      </c>
      <c r="B21" s="1" t="s">
        <v>32</v>
      </c>
      <c r="C21" s="9" t="s">
        <v>33</v>
      </c>
      <c r="D21" s="14" t="s">
        <v>34</v>
      </c>
      <c r="E21" s="9" t="s">
        <v>8</v>
      </c>
    </row>
    <row r="22" spans="1:5" ht="15" customHeight="1" outlineLevel="2" x14ac:dyDescent="0.25">
      <c r="A22" s="3" t="str">
        <f>HYPERLINK("http://mystore1.ru/price_items/search?utf8=%E2%9C%93&amp;oem=2026AKMS","2026AKMS")</f>
        <v>2026AKMS</v>
      </c>
      <c r="B22" s="1" t="s">
        <v>35</v>
      </c>
      <c r="C22" s="9" t="s">
        <v>25</v>
      </c>
      <c r="D22" s="14" t="s">
        <v>36</v>
      </c>
      <c r="E22" s="9" t="s">
        <v>27</v>
      </c>
    </row>
    <row r="23" spans="1:5" ht="15" customHeight="1" outlineLevel="2" x14ac:dyDescent="0.25">
      <c r="A23" s="3" t="str">
        <f>HYPERLINK("http://mystore1.ru/price_items/search?utf8=%E2%9C%93&amp;oem=2026LGNS4RD","2026LGNS4RD")</f>
        <v>2026LGNS4RD</v>
      </c>
      <c r="B23" s="1" t="s">
        <v>37</v>
      </c>
      <c r="C23" s="9" t="s">
        <v>33</v>
      </c>
      <c r="D23" s="14" t="s">
        <v>38</v>
      </c>
      <c r="E23" s="9" t="s">
        <v>11</v>
      </c>
    </row>
    <row r="24" spans="1:5" ht="15" customHeight="1" outlineLevel="2" x14ac:dyDescent="0.25">
      <c r="A24" s="3" t="str">
        <f>HYPERLINK("http://mystore1.ru/price_items/search?utf8=%E2%9C%93&amp;oem=2026LGNS4RV","2026LGNS4RV")</f>
        <v>2026LGNS4RV</v>
      </c>
      <c r="B24" s="1" t="s">
        <v>39</v>
      </c>
      <c r="C24" s="9" t="s">
        <v>33</v>
      </c>
      <c r="D24" s="14" t="s">
        <v>40</v>
      </c>
      <c r="E24" s="9" t="s">
        <v>11</v>
      </c>
    </row>
    <row r="25" spans="1:5" ht="15" customHeight="1" outlineLevel="2" x14ac:dyDescent="0.25">
      <c r="A25" s="3" t="str">
        <f>HYPERLINK("http://mystore1.ru/price_items/search?utf8=%E2%9C%93&amp;oem=2026RGNS4FD","2026RGNS4FD")</f>
        <v>2026RGNS4FD</v>
      </c>
      <c r="B25" s="1" t="s">
        <v>41</v>
      </c>
      <c r="C25" s="9" t="s">
        <v>33</v>
      </c>
      <c r="D25" s="14" t="s">
        <v>42</v>
      </c>
      <c r="E25" s="9" t="s">
        <v>11</v>
      </c>
    </row>
    <row r="26" spans="1:5" ht="15" customHeight="1" outlineLevel="2" x14ac:dyDescent="0.25">
      <c r="A26" s="3" t="str">
        <f>HYPERLINK("http://mystore1.ru/price_items/search?utf8=%E2%9C%93&amp;oem=2026RGNS4RD","2026RGNS4RD")</f>
        <v>2026RGNS4RD</v>
      </c>
      <c r="B26" s="1" t="s">
        <v>43</v>
      </c>
      <c r="C26" s="9" t="s">
        <v>33</v>
      </c>
      <c r="D26" s="14" t="s">
        <v>44</v>
      </c>
      <c r="E26" s="9" t="s">
        <v>11</v>
      </c>
    </row>
    <row r="27" spans="1:5" outlineLevel="1" x14ac:dyDescent="0.25">
      <c r="A27" s="2"/>
      <c r="B27" s="6" t="s">
        <v>45</v>
      </c>
      <c r="C27" s="12"/>
      <c r="D27" s="13"/>
      <c r="E27" s="12"/>
    </row>
    <row r="28" spans="1:5" ht="15" customHeight="1" outlineLevel="2" x14ac:dyDescent="0.25">
      <c r="A28" s="3" t="str">
        <f>HYPERLINK("http://mystore1.ru/price_items/search?utf8=%E2%9C%93&amp;oem=2031AGN","2031AGN")</f>
        <v>2031AGN</v>
      </c>
      <c r="B28" s="1" t="s">
        <v>46</v>
      </c>
      <c r="C28" s="9" t="s">
        <v>47</v>
      </c>
      <c r="D28" s="14" t="s">
        <v>48</v>
      </c>
      <c r="E28" s="9" t="s">
        <v>8</v>
      </c>
    </row>
    <row r="29" spans="1:5" ht="15" customHeight="1" outlineLevel="2" x14ac:dyDescent="0.25">
      <c r="A29" s="3" t="str">
        <f>HYPERLINK("http://mystore1.ru/price_items/search?utf8=%E2%9C%93&amp;oem=2031ASMH","2031ASMH")</f>
        <v>2031ASMH</v>
      </c>
      <c r="B29" s="1" t="s">
        <v>49</v>
      </c>
      <c r="C29" s="9" t="s">
        <v>25</v>
      </c>
      <c r="D29" s="14" t="s">
        <v>50</v>
      </c>
      <c r="E29" s="9" t="s">
        <v>27</v>
      </c>
    </row>
    <row r="30" spans="1:5" ht="15" customHeight="1" outlineLevel="2" x14ac:dyDescent="0.25">
      <c r="A30" s="3" t="str">
        <f>HYPERLINK("http://mystore1.ru/price_items/search?utf8=%E2%9C%93&amp;oem=2031BGNHA1J","2031BGNHA1J")</f>
        <v>2031BGNHA1J</v>
      </c>
      <c r="B30" s="1" t="s">
        <v>51</v>
      </c>
      <c r="C30" s="9" t="s">
        <v>52</v>
      </c>
      <c r="D30" s="14" t="s">
        <v>53</v>
      </c>
      <c r="E30" s="9" t="s">
        <v>30</v>
      </c>
    </row>
    <row r="31" spans="1:5" ht="15" customHeight="1" outlineLevel="2" x14ac:dyDescent="0.25">
      <c r="A31" s="3" t="str">
        <f>HYPERLINK("http://mystore1.ru/price_items/search?utf8=%E2%9C%93&amp;oem=2031BGNHZ","2031BGNHZ")</f>
        <v>2031BGNHZ</v>
      </c>
      <c r="B31" s="1" t="s">
        <v>54</v>
      </c>
      <c r="C31" s="9" t="s">
        <v>52</v>
      </c>
      <c r="D31" s="14" t="s">
        <v>55</v>
      </c>
      <c r="E31" s="9" t="s">
        <v>30</v>
      </c>
    </row>
    <row r="32" spans="1:5" ht="15" customHeight="1" outlineLevel="2" x14ac:dyDescent="0.25">
      <c r="A32" s="3" t="str">
        <f>HYPERLINK("http://mystore1.ru/price_items/search?utf8=%E2%9C%93&amp;oem=2031LGNH3FD","2031LGNH3FD")</f>
        <v>2031LGNH3FD</v>
      </c>
      <c r="B32" s="1" t="s">
        <v>56</v>
      </c>
      <c r="C32" s="9" t="s">
        <v>47</v>
      </c>
      <c r="D32" s="14" t="s">
        <v>57</v>
      </c>
      <c r="E32" s="9" t="s">
        <v>11</v>
      </c>
    </row>
    <row r="33" spans="1:5" ht="15" customHeight="1" outlineLevel="2" x14ac:dyDescent="0.25">
      <c r="A33" s="3" t="str">
        <f>HYPERLINK("http://mystore1.ru/price_items/search?utf8=%E2%9C%93&amp;oem=2031LGNH3RQO","2031LGNH3RQO")</f>
        <v>2031LGNH3RQO</v>
      </c>
      <c r="B33" s="1" t="s">
        <v>58</v>
      </c>
      <c r="C33" s="9" t="s">
        <v>47</v>
      </c>
      <c r="D33" s="14" t="s">
        <v>59</v>
      </c>
      <c r="E33" s="9" t="s">
        <v>11</v>
      </c>
    </row>
    <row r="34" spans="1:5" ht="15" customHeight="1" outlineLevel="2" x14ac:dyDescent="0.25">
      <c r="A34" s="3" t="str">
        <f>HYPERLINK("http://mystore1.ru/price_items/search?utf8=%E2%9C%93&amp;oem=2031LGNH5FD","2031LGNH5FD")</f>
        <v>2031LGNH5FD</v>
      </c>
      <c r="B34" s="1" t="s">
        <v>60</v>
      </c>
      <c r="C34" s="9" t="s">
        <v>52</v>
      </c>
      <c r="D34" s="14" t="s">
        <v>61</v>
      </c>
      <c r="E34" s="9" t="s">
        <v>11</v>
      </c>
    </row>
    <row r="35" spans="1:5" ht="15" customHeight="1" outlineLevel="2" x14ac:dyDescent="0.25">
      <c r="A35" s="3" t="str">
        <f>HYPERLINK("http://mystore1.ru/price_items/search?utf8=%E2%9C%93&amp;oem=2031LGNH5RD","2031LGNH5RD")</f>
        <v>2031LGNH5RD</v>
      </c>
      <c r="B35" s="1" t="s">
        <v>62</v>
      </c>
      <c r="C35" s="9" t="s">
        <v>52</v>
      </c>
      <c r="D35" s="14" t="s">
        <v>63</v>
      </c>
      <c r="E35" s="9" t="s">
        <v>11</v>
      </c>
    </row>
    <row r="36" spans="1:5" ht="15" customHeight="1" outlineLevel="2" x14ac:dyDescent="0.25">
      <c r="A36" s="3" t="str">
        <f>HYPERLINK("http://mystore1.ru/price_items/search?utf8=%E2%9C%93&amp;oem=2031RGNH3FD","2031RGNH3FD")</f>
        <v>2031RGNH3FD</v>
      </c>
      <c r="B36" s="1" t="s">
        <v>64</v>
      </c>
      <c r="C36" s="9" t="s">
        <v>47</v>
      </c>
      <c r="D36" s="14" t="s">
        <v>65</v>
      </c>
      <c r="E36" s="9" t="s">
        <v>11</v>
      </c>
    </row>
    <row r="37" spans="1:5" ht="15" customHeight="1" outlineLevel="2" x14ac:dyDescent="0.25">
      <c r="A37" s="3" t="str">
        <f>HYPERLINK("http://mystore1.ru/price_items/search?utf8=%E2%9C%93&amp;oem=2031RGNH3RQO","2031RGNH3RQO")</f>
        <v>2031RGNH3RQO</v>
      </c>
      <c r="B37" s="1" t="s">
        <v>66</v>
      </c>
      <c r="C37" s="9" t="s">
        <v>47</v>
      </c>
      <c r="D37" s="14" t="s">
        <v>67</v>
      </c>
      <c r="E37" s="9" t="s">
        <v>11</v>
      </c>
    </row>
    <row r="38" spans="1:5" ht="15" customHeight="1" outlineLevel="2" x14ac:dyDescent="0.25">
      <c r="A38" s="3" t="str">
        <f>HYPERLINK("http://mystore1.ru/price_items/search?utf8=%E2%9C%93&amp;oem=2031RGNH5FD","2031RGNH5FD")</f>
        <v>2031RGNH5FD</v>
      </c>
      <c r="B38" s="1" t="s">
        <v>68</v>
      </c>
      <c r="C38" s="9" t="s">
        <v>52</v>
      </c>
      <c r="D38" s="14" t="s">
        <v>69</v>
      </c>
      <c r="E38" s="9" t="s">
        <v>11</v>
      </c>
    </row>
    <row r="39" spans="1:5" ht="15" customHeight="1" outlineLevel="2" x14ac:dyDescent="0.25">
      <c r="A39" s="3" t="str">
        <f>HYPERLINK("http://mystore1.ru/price_items/search?utf8=%E2%9C%93&amp;oem=2031RGNH5RD","2031RGNH5RD")</f>
        <v>2031RGNH5RD</v>
      </c>
      <c r="B39" s="1" t="s">
        <v>70</v>
      </c>
      <c r="C39" s="9" t="s">
        <v>52</v>
      </c>
      <c r="D39" s="14" t="s">
        <v>71</v>
      </c>
      <c r="E39" s="9" t="s">
        <v>11</v>
      </c>
    </row>
    <row r="40" spans="1:5" outlineLevel="1" x14ac:dyDescent="0.25">
      <c r="A40" s="2"/>
      <c r="B40" s="6" t="s">
        <v>72</v>
      </c>
      <c r="C40" s="12"/>
      <c r="D40" s="13"/>
      <c r="E40" s="12"/>
    </row>
    <row r="41" spans="1:5" ht="15" customHeight="1" outlineLevel="2" x14ac:dyDescent="0.25">
      <c r="A41" s="3" t="str">
        <f>HYPERLINK("http://mystore1.ru/price_items/search?utf8=%E2%9C%93&amp;oem=2037AGS","2037AGS")</f>
        <v>2037AGS</v>
      </c>
      <c r="B41" s="1" t="s">
        <v>73</v>
      </c>
      <c r="C41" s="9" t="s">
        <v>74</v>
      </c>
      <c r="D41" s="14" t="s">
        <v>75</v>
      </c>
      <c r="E41" s="9" t="s">
        <v>8</v>
      </c>
    </row>
    <row r="42" spans="1:5" ht="15" customHeight="1" outlineLevel="2" x14ac:dyDescent="0.25">
      <c r="A42" s="3" t="str">
        <f>HYPERLINK("http://mystore1.ru/price_items/search?utf8=%E2%9C%93&amp;oem=2037AGSM","2037AGSM")</f>
        <v>2037AGSM</v>
      </c>
      <c r="B42" s="1" t="s">
        <v>76</v>
      </c>
      <c r="C42" s="9" t="s">
        <v>74</v>
      </c>
      <c r="D42" s="14" t="s">
        <v>77</v>
      </c>
      <c r="E42" s="9" t="s">
        <v>8</v>
      </c>
    </row>
    <row r="43" spans="1:5" ht="15" customHeight="1" outlineLevel="2" x14ac:dyDescent="0.25">
      <c r="A43" s="3" t="str">
        <f>HYPERLINK("http://mystore1.ru/price_items/search?utf8=%E2%9C%93&amp;oem=2037ASMH","2037ASMH")</f>
        <v>2037ASMH</v>
      </c>
      <c r="B43" s="1" t="s">
        <v>78</v>
      </c>
      <c r="C43" s="9" t="s">
        <v>25</v>
      </c>
      <c r="D43" s="14" t="s">
        <v>79</v>
      </c>
      <c r="E43" s="9" t="s">
        <v>27</v>
      </c>
    </row>
    <row r="44" spans="1:5" ht="15" customHeight="1" outlineLevel="2" x14ac:dyDescent="0.25">
      <c r="A44" s="3" t="str">
        <f>HYPERLINK("http://mystore1.ru/price_items/search?utf8=%E2%9C%93&amp;oem=2037BGSHBW","2037BGSHBW")</f>
        <v>2037BGSHBW</v>
      </c>
      <c r="B44" s="1" t="s">
        <v>80</v>
      </c>
      <c r="C44" s="9" t="s">
        <v>74</v>
      </c>
      <c r="D44" s="14" t="s">
        <v>81</v>
      </c>
      <c r="E44" s="9" t="s">
        <v>30</v>
      </c>
    </row>
    <row r="45" spans="1:5" ht="15" customHeight="1" outlineLevel="2" x14ac:dyDescent="0.25">
      <c r="A45" s="3" t="str">
        <f>HYPERLINK("http://mystore1.ru/price_items/search?utf8=%E2%9C%93&amp;oem=2037LGSH3FDW","2037LGSH3FDW")</f>
        <v>2037LGSH3FDW</v>
      </c>
      <c r="B45" s="1" t="s">
        <v>82</v>
      </c>
      <c r="C45" s="9" t="s">
        <v>74</v>
      </c>
      <c r="D45" s="14" t="s">
        <v>83</v>
      </c>
      <c r="E45" s="9" t="s">
        <v>11</v>
      </c>
    </row>
    <row r="46" spans="1:5" ht="15" customHeight="1" outlineLevel="2" x14ac:dyDescent="0.25">
      <c r="A46" s="3" t="str">
        <f>HYPERLINK("http://mystore1.ru/price_items/search?utf8=%E2%9C%93&amp;oem=2037LGSH5FDW","2037LGSH5FDW")</f>
        <v>2037LGSH5FDW</v>
      </c>
      <c r="B46" s="1" t="s">
        <v>84</v>
      </c>
      <c r="C46" s="9" t="s">
        <v>74</v>
      </c>
      <c r="D46" s="14" t="s">
        <v>83</v>
      </c>
      <c r="E46" s="9" t="s">
        <v>11</v>
      </c>
    </row>
    <row r="47" spans="1:5" ht="15" customHeight="1" outlineLevel="2" x14ac:dyDescent="0.25">
      <c r="A47" s="3" t="str">
        <f>HYPERLINK("http://mystore1.ru/price_items/search?utf8=%E2%9C%93&amp;oem=2037LGSH5RDW","2037LGSH5RDW")</f>
        <v>2037LGSH5RDW</v>
      </c>
      <c r="B47" s="1" t="s">
        <v>85</v>
      </c>
      <c r="C47" s="9" t="s">
        <v>74</v>
      </c>
      <c r="D47" s="14" t="s">
        <v>86</v>
      </c>
      <c r="E47" s="9" t="s">
        <v>11</v>
      </c>
    </row>
    <row r="48" spans="1:5" ht="15" customHeight="1" outlineLevel="2" x14ac:dyDescent="0.25">
      <c r="A48" s="3" t="str">
        <f>HYPERLINK("http://mystore1.ru/price_items/search?utf8=%E2%9C%93&amp;oem=2037RGSH3FDW","2037RGSH3FDW")</f>
        <v>2037RGSH3FDW</v>
      </c>
      <c r="B48" s="1" t="s">
        <v>87</v>
      </c>
      <c r="C48" s="9" t="s">
        <v>74</v>
      </c>
      <c r="D48" s="14" t="s">
        <v>88</v>
      </c>
      <c r="E48" s="9" t="s">
        <v>11</v>
      </c>
    </row>
    <row r="49" spans="1:5" ht="15" customHeight="1" outlineLevel="2" x14ac:dyDescent="0.25">
      <c r="A49" s="3" t="str">
        <f>HYPERLINK("http://mystore1.ru/price_items/search?utf8=%E2%9C%93&amp;oem=2037RGSH5FDW","2037RGSH5FDW")</f>
        <v>2037RGSH5FDW</v>
      </c>
      <c r="B49" s="1" t="s">
        <v>89</v>
      </c>
      <c r="C49" s="9" t="s">
        <v>74</v>
      </c>
      <c r="D49" s="14" t="s">
        <v>88</v>
      </c>
      <c r="E49" s="9" t="s">
        <v>11</v>
      </c>
    </row>
    <row r="50" spans="1:5" ht="15" customHeight="1" outlineLevel="2" x14ac:dyDescent="0.25">
      <c r="A50" s="3" t="str">
        <f>HYPERLINK("http://mystore1.ru/price_items/search?utf8=%E2%9C%93&amp;oem=2037RGSH5RDW","2037RGSH5RDW")</f>
        <v>2037RGSH5RDW</v>
      </c>
      <c r="B50" s="1" t="s">
        <v>90</v>
      </c>
      <c r="C50" s="9" t="s">
        <v>74</v>
      </c>
      <c r="D50" s="14" t="s">
        <v>91</v>
      </c>
      <c r="E50" s="9" t="s">
        <v>11</v>
      </c>
    </row>
    <row r="51" spans="1:5" outlineLevel="1" x14ac:dyDescent="0.25">
      <c r="A51" s="2"/>
      <c r="B51" s="6" t="s">
        <v>92</v>
      </c>
      <c r="C51" s="12"/>
      <c r="D51" s="13"/>
      <c r="E51" s="12"/>
    </row>
    <row r="52" spans="1:5" ht="15" customHeight="1" outlineLevel="2" x14ac:dyDescent="0.25">
      <c r="A52" s="3" t="str">
        <f>HYPERLINK("http://mystore1.ru/price_items/search?utf8=%E2%9C%93&amp;oem=2029ABS","2029ABS")</f>
        <v>2029ABS</v>
      </c>
      <c r="B52" s="1" t="s">
        <v>93</v>
      </c>
      <c r="C52" s="9" t="s">
        <v>94</v>
      </c>
      <c r="D52" s="14" t="s">
        <v>95</v>
      </c>
      <c r="E52" s="9" t="s">
        <v>8</v>
      </c>
    </row>
    <row r="53" spans="1:5" ht="15" customHeight="1" outlineLevel="2" x14ac:dyDescent="0.25">
      <c r="A53" s="3" t="str">
        <f>HYPERLINK("http://mystore1.ru/price_items/search?utf8=%E2%9C%93&amp;oem=2029AGN","2029AGN")</f>
        <v>2029AGN</v>
      </c>
      <c r="B53" s="1" t="s">
        <v>96</v>
      </c>
      <c r="C53" s="9" t="s">
        <v>94</v>
      </c>
      <c r="D53" s="14" t="s">
        <v>97</v>
      </c>
      <c r="E53" s="9" t="s">
        <v>8</v>
      </c>
    </row>
    <row r="54" spans="1:5" ht="15" customHeight="1" outlineLevel="2" x14ac:dyDescent="0.25">
      <c r="A54" s="3" t="str">
        <f>HYPERLINK("http://mystore1.ru/price_items/search?utf8=%E2%9C%93&amp;oem=OLD-2029AGNGN","OLD-2029AGNGN")</f>
        <v>OLD-2029AGNGN</v>
      </c>
      <c r="B54" s="1" t="s">
        <v>98</v>
      </c>
      <c r="C54" s="9" t="s">
        <v>94</v>
      </c>
      <c r="D54" s="14" t="s">
        <v>99</v>
      </c>
      <c r="E54" s="9" t="s">
        <v>8</v>
      </c>
    </row>
    <row r="55" spans="1:5" ht="15" customHeight="1" outlineLevel="2" x14ac:dyDescent="0.25">
      <c r="A55" s="3" t="str">
        <f>HYPERLINK("http://mystore1.ru/price_items/search?utf8=%E2%9C%93&amp;oem=2029AKMS","2029AKMS")</f>
        <v>2029AKMS</v>
      </c>
      <c r="B55" s="1" t="s">
        <v>100</v>
      </c>
      <c r="C55" s="9" t="s">
        <v>25</v>
      </c>
      <c r="D55" s="14" t="s">
        <v>101</v>
      </c>
      <c r="E55" s="9" t="s">
        <v>27</v>
      </c>
    </row>
    <row r="56" spans="1:5" ht="15" customHeight="1" outlineLevel="2" x14ac:dyDescent="0.25">
      <c r="A56" s="3" t="str">
        <f>HYPERLINK("http://mystore1.ru/price_items/search?utf8=%E2%9C%93&amp;oem=2029BGNS","2029BGNS")</f>
        <v>2029BGNS</v>
      </c>
      <c r="B56" s="1" t="s">
        <v>102</v>
      </c>
      <c r="C56" s="9" t="s">
        <v>94</v>
      </c>
      <c r="D56" s="14" t="s">
        <v>103</v>
      </c>
      <c r="E56" s="9" t="s">
        <v>30</v>
      </c>
    </row>
    <row r="57" spans="1:5" ht="15" customHeight="1" outlineLevel="2" x14ac:dyDescent="0.25">
      <c r="A57" s="3" t="str">
        <f>HYPERLINK("http://mystore1.ru/price_items/search?utf8=%E2%9C%93&amp;oem=2029LGNS4FDW","2029LGNS4FDW")</f>
        <v>2029LGNS4FDW</v>
      </c>
      <c r="B57" s="1" t="s">
        <v>104</v>
      </c>
      <c r="C57" s="9" t="s">
        <v>94</v>
      </c>
      <c r="D57" s="14" t="s">
        <v>105</v>
      </c>
      <c r="E57" s="9" t="s">
        <v>11</v>
      </c>
    </row>
    <row r="58" spans="1:5" ht="15" customHeight="1" outlineLevel="2" x14ac:dyDescent="0.25">
      <c r="A58" s="3" t="str">
        <f>HYPERLINK("http://mystore1.ru/price_items/search?utf8=%E2%9C%93&amp;oem=2029LBSS4RDW","2029LBSS4RDW")</f>
        <v>2029LBSS4RDW</v>
      </c>
      <c r="B58" s="1" t="s">
        <v>106</v>
      </c>
      <c r="C58" s="9" t="s">
        <v>94</v>
      </c>
      <c r="D58" s="14" t="s">
        <v>107</v>
      </c>
      <c r="E58" s="9" t="s">
        <v>11</v>
      </c>
    </row>
    <row r="59" spans="1:5" ht="15" customHeight="1" outlineLevel="2" x14ac:dyDescent="0.25">
      <c r="A59" s="3" t="str">
        <f>HYPERLINK("http://mystore1.ru/price_items/search?utf8=%E2%9C%93&amp;oem=2029LGNS4RDW","2029LGNS4RDW")</f>
        <v>2029LGNS4RDW</v>
      </c>
      <c r="B59" s="1" t="s">
        <v>108</v>
      </c>
      <c r="C59" s="9" t="s">
        <v>94</v>
      </c>
      <c r="D59" s="14" t="s">
        <v>109</v>
      </c>
      <c r="E59" s="9" t="s">
        <v>11</v>
      </c>
    </row>
    <row r="60" spans="1:5" ht="15" customHeight="1" outlineLevel="2" x14ac:dyDescent="0.25">
      <c r="A60" s="3" t="str">
        <f>HYPERLINK("http://mystore1.ru/price_items/search?utf8=%E2%9C%93&amp;oem=2029LBSS4RV","2029LBSS4RV")</f>
        <v>2029LBSS4RV</v>
      </c>
      <c r="B60" s="1" t="s">
        <v>110</v>
      </c>
      <c r="C60" s="9" t="s">
        <v>94</v>
      </c>
      <c r="D60" s="14" t="s">
        <v>111</v>
      </c>
      <c r="E60" s="9" t="s">
        <v>11</v>
      </c>
    </row>
    <row r="61" spans="1:5" ht="15" customHeight="1" outlineLevel="2" x14ac:dyDescent="0.25">
      <c r="A61" s="3" t="str">
        <f>HYPERLINK("http://mystore1.ru/price_items/search?utf8=%E2%9C%93&amp;oem=2029RBSS4FDW","2029RBSS4FDW")</f>
        <v>2029RBSS4FDW</v>
      </c>
      <c r="B61" s="1" t="s">
        <v>112</v>
      </c>
      <c r="C61" s="9" t="s">
        <v>94</v>
      </c>
      <c r="D61" s="14" t="s">
        <v>113</v>
      </c>
      <c r="E61" s="9" t="s">
        <v>11</v>
      </c>
    </row>
    <row r="62" spans="1:5" ht="15" customHeight="1" outlineLevel="2" x14ac:dyDescent="0.25">
      <c r="A62" s="3" t="str">
        <f>HYPERLINK("http://mystore1.ru/price_items/search?utf8=%E2%9C%93&amp;oem=2029RGNS4RDW","2029RGNS4RDW")</f>
        <v>2029RGNS4RDW</v>
      </c>
      <c r="B62" s="1" t="s">
        <v>114</v>
      </c>
      <c r="C62" s="9" t="s">
        <v>94</v>
      </c>
      <c r="D62" s="14" t="s">
        <v>115</v>
      </c>
      <c r="E62" s="9" t="s">
        <v>11</v>
      </c>
    </row>
    <row r="63" spans="1:5" ht="15" customHeight="1" outlineLevel="2" x14ac:dyDescent="0.25">
      <c r="A63" s="3" t="str">
        <f>HYPERLINK("http://mystore1.ru/price_items/search?utf8=%E2%9C%93&amp;oem=2029RBSS4RV","2029RBSS4RV")</f>
        <v>2029RBSS4RV</v>
      </c>
      <c r="B63" s="1" t="s">
        <v>116</v>
      </c>
      <c r="C63" s="9" t="s">
        <v>94</v>
      </c>
      <c r="D63" s="14" t="s">
        <v>117</v>
      </c>
      <c r="E63" s="9" t="s">
        <v>11</v>
      </c>
    </row>
    <row r="64" spans="1:5" outlineLevel="1" x14ac:dyDescent="0.25">
      <c r="A64" s="2"/>
      <c r="B64" s="6" t="s">
        <v>118</v>
      </c>
      <c r="C64" s="12"/>
      <c r="D64" s="13"/>
      <c r="E64" s="12"/>
    </row>
    <row r="65" spans="1:5" ht="15" customHeight="1" outlineLevel="2" x14ac:dyDescent="0.25">
      <c r="A65" s="3" t="str">
        <f>HYPERLINK("http://mystore1.ru/price_items/search?utf8=%E2%9C%93&amp;oem=2034AGN","2034AGN")</f>
        <v>2034AGN</v>
      </c>
      <c r="B65" s="1" t="s">
        <v>119</v>
      </c>
      <c r="C65" s="9" t="s">
        <v>120</v>
      </c>
      <c r="D65" s="14" t="s">
        <v>121</v>
      </c>
      <c r="E65" s="9" t="s">
        <v>8</v>
      </c>
    </row>
    <row r="66" spans="1:5" ht="15" customHeight="1" outlineLevel="2" x14ac:dyDescent="0.25">
      <c r="A66" s="3" t="str">
        <f>HYPERLINK("http://mystore1.ru/price_items/search?utf8=%E2%9C%93&amp;oem=2034AGNP1B","2034AGNP1B")</f>
        <v>2034AGNP1B</v>
      </c>
      <c r="B66" s="1" t="s">
        <v>122</v>
      </c>
      <c r="C66" s="9" t="s">
        <v>120</v>
      </c>
      <c r="D66" s="14" t="s">
        <v>123</v>
      </c>
      <c r="E66" s="9" t="s">
        <v>8</v>
      </c>
    </row>
    <row r="67" spans="1:5" ht="15" customHeight="1" outlineLevel="2" x14ac:dyDescent="0.25">
      <c r="A67" s="3" t="str">
        <f>HYPERLINK("http://mystore1.ru/price_items/search?utf8=%E2%9C%93&amp;oem=2034ASMS","2034ASMS")</f>
        <v>2034ASMS</v>
      </c>
      <c r="B67" s="1" t="s">
        <v>124</v>
      </c>
      <c r="C67" s="9" t="s">
        <v>25</v>
      </c>
      <c r="D67" s="14" t="s">
        <v>125</v>
      </c>
      <c r="E67" s="9" t="s">
        <v>27</v>
      </c>
    </row>
    <row r="68" spans="1:5" ht="15" customHeight="1" outlineLevel="2" x14ac:dyDescent="0.25">
      <c r="A68" s="3" t="str">
        <f>HYPERLINK("http://mystore1.ru/price_items/search?utf8=%E2%9C%93&amp;oem=2034BGNSA","2034BGNSA")</f>
        <v>2034BGNSA</v>
      </c>
      <c r="B68" s="1" t="s">
        <v>126</v>
      </c>
      <c r="C68" s="9" t="s">
        <v>120</v>
      </c>
      <c r="D68" s="14" t="s">
        <v>127</v>
      </c>
      <c r="E68" s="9" t="s">
        <v>30</v>
      </c>
    </row>
    <row r="69" spans="1:5" ht="15" customHeight="1" outlineLevel="2" x14ac:dyDescent="0.25">
      <c r="A69" s="3" t="str">
        <f>HYPERLINK("http://mystore1.ru/price_items/search?utf8=%E2%9C%93&amp;oem=2034BSMS","2034BSMS")</f>
        <v>2034BSMS</v>
      </c>
      <c r="B69" s="1" t="s">
        <v>128</v>
      </c>
      <c r="C69" s="9" t="s">
        <v>25</v>
      </c>
      <c r="D69" s="14" t="s">
        <v>129</v>
      </c>
      <c r="E69" s="9" t="s">
        <v>27</v>
      </c>
    </row>
    <row r="70" spans="1:5" ht="15" customHeight="1" outlineLevel="2" x14ac:dyDescent="0.25">
      <c r="A70" s="3" t="str">
        <f>HYPERLINK("http://mystore1.ru/price_items/search?utf8=%E2%9C%93&amp;oem=2034LGNS4FDW","2034LGNS4FDW")</f>
        <v>2034LGNS4FDW</v>
      </c>
      <c r="B70" s="1" t="s">
        <v>130</v>
      </c>
      <c r="C70" s="9" t="s">
        <v>120</v>
      </c>
      <c r="D70" s="14" t="s">
        <v>131</v>
      </c>
      <c r="E70" s="9" t="s">
        <v>11</v>
      </c>
    </row>
    <row r="71" spans="1:5" ht="15" customHeight="1" outlineLevel="2" x14ac:dyDescent="0.25">
      <c r="A71" s="3" t="str">
        <f>HYPERLINK("http://mystore1.ru/price_items/search?utf8=%E2%9C%93&amp;oem=2034LGNS4RDW","2034LGNS4RDW")</f>
        <v>2034LGNS4RDW</v>
      </c>
      <c r="B71" s="1" t="s">
        <v>132</v>
      </c>
      <c r="C71" s="9" t="s">
        <v>120</v>
      </c>
      <c r="D71" s="14" t="s">
        <v>133</v>
      </c>
      <c r="E71" s="9" t="s">
        <v>11</v>
      </c>
    </row>
    <row r="72" spans="1:5" ht="15" customHeight="1" outlineLevel="2" x14ac:dyDescent="0.25">
      <c r="A72" s="3" t="str">
        <f>HYPERLINK("http://mystore1.ru/price_items/search?utf8=%E2%9C%93&amp;oem=2034RGNS4FDW","2034RGNS4FDW")</f>
        <v>2034RGNS4FDW</v>
      </c>
      <c r="B72" s="1" t="s">
        <v>134</v>
      </c>
      <c r="C72" s="9" t="s">
        <v>120</v>
      </c>
      <c r="D72" s="14" t="s">
        <v>135</v>
      </c>
      <c r="E72" s="9" t="s">
        <v>11</v>
      </c>
    </row>
    <row r="73" spans="1:5" ht="15" customHeight="1" outlineLevel="2" x14ac:dyDescent="0.25">
      <c r="A73" s="3" t="str">
        <f>HYPERLINK("http://mystore1.ru/price_items/search?utf8=%E2%9C%93&amp;oem=2034RGNS4RDW","2034RGNS4RDW")</f>
        <v>2034RGNS4RDW</v>
      </c>
      <c r="B73" s="1" t="s">
        <v>136</v>
      </c>
      <c r="C73" s="9" t="s">
        <v>120</v>
      </c>
      <c r="D73" s="14" t="s">
        <v>137</v>
      </c>
      <c r="E73" s="9" t="s">
        <v>11</v>
      </c>
    </row>
    <row r="74" spans="1:5" outlineLevel="1" x14ac:dyDescent="0.25">
      <c r="A74" s="2"/>
      <c r="B74" s="6" t="s">
        <v>138</v>
      </c>
      <c r="C74" s="12"/>
      <c r="D74" s="13"/>
      <c r="E74" s="12"/>
    </row>
    <row r="75" spans="1:5" ht="15" customHeight="1" outlineLevel="2" x14ac:dyDescent="0.25">
      <c r="A75" s="3" t="str">
        <f>HYPERLINK("http://mystore1.ru/price_items/search?utf8=%E2%9C%93&amp;oem=2039AGS","2039AGS")</f>
        <v>2039AGS</v>
      </c>
      <c r="B75" s="1" t="s">
        <v>139</v>
      </c>
      <c r="C75" s="9" t="s">
        <v>140</v>
      </c>
      <c r="D75" s="14" t="s">
        <v>141</v>
      </c>
      <c r="E75" s="9" t="s">
        <v>8</v>
      </c>
    </row>
    <row r="76" spans="1:5" ht="15" customHeight="1" outlineLevel="2" x14ac:dyDescent="0.25">
      <c r="A76" s="3" t="str">
        <f>HYPERLINK("http://mystore1.ru/price_items/search?utf8=%E2%9C%93&amp;oem=2039AGSM1B","2039AGSM1B")</f>
        <v>2039AGSM1B</v>
      </c>
      <c r="B76" s="1" t="s">
        <v>142</v>
      </c>
      <c r="C76" s="9" t="s">
        <v>140</v>
      </c>
      <c r="D76" s="14" t="s">
        <v>143</v>
      </c>
      <c r="E76" s="9" t="s">
        <v>8</v>
      </c>
    </row>
    <row r="77" spans="1:5" ht="15" customHeight="1" outlineLevel="2" x14ac:dyDescent="0.25">
      <c r="A77" s="3" t="str">
        <f>HYPERLINK("http://mystore1.ru/price_items/search?utf8=%E2%9C%93&amp;oem=2039BGPEZ","2039BGPEZ")</f>
        <v>2039BGPEZ</v>
      </c>
      <c r="B77" s="1" t="s">
        <v>144</v>
      </c>
      <c r="C77" s="9" t="s">
        <v>140</v>
      </c>
      <c r="D77" s="14" t="s">
        <v>145</v>
      </c>
      <c r="E77" s="9" t="s">
        <v>30</v>
      </c>
    </row>
    <row r="78" spans="1:5" ht="15" customHeight="1" outlineLevel="2" x14ac:dyDescent="0.25">
      <c r="A78" s="3" t="str">
        <f>HYPERLINK("http://mystore1.ru/price_items/search?utf8=%E2%9C%93&amp;oem=2039BGSEZ","2039BGSEZ")</f>
        <v>2039BGSEZ</v>
      </c>
      <c r="B78" s="1" t="s">
        <v>146</v>
      </c>
      <c r="C78" s="9" t="s">
        <v>140</v>
      </c>
      <c r="D78" s="14" t="s">
        <v>147</v>
      </c>
      <c r="E78" s="9" t="s">
        <v>30</v>
      </c>
    </row>
    <row r="79" spans="1:5" ht="15" customHeight="1" outlineLevel="2" x14ac:dyDescent="0.25">
      <c r="A79" s="3" t="str">
        <f>HYPERLINK("http://mystore1.ru/price_items/search?utf8=%E2%9C%93&amp;oem=2039BGSSB","2039BGSSB")</f>
        <v>2039BGSSB</v>
      </c>
      <c r="B79" s="1" t="s">
        <v>148</v>
      </c>
      <c r="C79" s="9" t="s">
        <v>140</v>
      </c>
      <c r="D79" s="14" t="s">
        <v>149</v>
      </c>
      <c r="E79" s="9" t="s">
        <v>30</v>
      </c>
    </row>
    <row r="80" spans="1:5" ht="15" customHeight="1" outlineLevel="2" x14ac:dyDescent="0.25">
      <c r="A80" s="3" t="str">
        <f>HYPERLINK("http://mystore1.ru/price_items/search?utf8=%E2%9C%93&amp;oem=2039LGPE5RDW","2039LGPE5RDW")</f>
        <v>2039LGPE5RDW</v>
      </c>
      <c r="B80" s="1" t="s">
        <v>150</v>
      </c>
      <c r="C80" s="9" t="s">
        <v>140</v>
      </c>
      <c r="D80" s="14" t="s">
        <v>151</v>
      </c>
      <c r="E80" s="9" t="s">
        <v>11</v>
      </c>
    </row>
    <row r="81" spans="1:5" ht="15" customHeight="1" outlineLevel="2" x14ac:dyDescent="0.25">
      <c r="A81" s="3" t="str">
        <f>HYPERLINK("http://mystore1.ru/price_items/search?utf8=%E2%9C%93&amp;oem=2039LGPE5RQZ","2039LGPE5RQZ")</f>
        <v>2039LGPE5RQZ</v>
      </c>
      <c r="B81" s="1" t="s">
        <v>152</v>
      </c>
      <c r="C81" s="9" t="s">
        <v>140</v>
      </c>
      <c r="D81" s="14" t="s">
        <v>153</v>
      </c>
      <c r="E81" s="9" t="s">
        <v>11</v>
      </c>
    </row>
    <row r="82" spans="1:5" ht="15" customHeight="1" outlineLevel="2" x14ac:dyDescent="0.25">
      <c r="A82" s="3" t="str">
        <f>HYPERLINK("http://mystore1.ru/price_items/search?utf8=%E2%9C%93&amp;oem=2039LGSE5RDW","2039LGSE5RDW")</f>
        <v>2039LGSE5RDW</v>
      </c>
      <c r="B82" s="1" t="s">
        <v>154</v>
      </c>
      <c r="C82" s="9" t="s">
        <v>140</v>
      </c>
      <c r="D82" s="14" t="s">
        <v>155</v>
      </c>
      <c r="E82" s="9" t="s">
        <v>11</v>
      </c>
    </row>
    <row r="83" spans="1:5" ht="15" customHeight="1" outlineLevel="2" x14ac:dyDescent="0.25">
      <c r="A83" s="3" t="str">
        <f>HYPERLINK("http://mystore1.ru/price_items/search?utf8=%E2%9C%93&amp;oem=2039LGSE5RQZ","2039LGSE5RQZ")</f>
        <v>2039LGSE5RQZ</v>
      </c>
      <c r="B83" s="1" t="s">
        <v>156</v>
      </c>
      <c r="C83" s="9" t="s">
        <v>140</v>
      </c>
      <c r="D83" s="14" t="s">
        <v>157</v>
      </c>
      <c r="E83" s="9" t="s">
        <v>11</v>
      </c>
    </row>
    <row r="84" spans="1:5" ht="15" customHeight="1" outlineLevel="2" x14ac:dyDescent="0.25">
      <c r="A84" s="3" t="str">
        <f>HYPERLINK("http://mystore1.ru/price_items/search?utf8=%E2%9C%93&amp;oem=2039LGSS4FD","2039LGSS4FD")</f>
        <v>2039LGSS4FD</v>
      </c>
      <c r="B84" s="1" t="s">
        <v>158</v>
      </c>
      <c r="C84" s="9" t="s">
        <v>140</v>
      </c>
      <c r="D84" s="14" t="s">
        <v>159</v>
      </c>
      <c r="E84" s="9" t="s">
        <v>11</v>
      </c>
    </row>
    <row r="85" spans="1:5" ht="15" customHeight="1" outlineLevel="2" x14ac:dyDescent="0.25">
      <c r="A85" s="3" t="str">
        <f>HYPERLINK("http://mystore1.ru/price_items/search?utf8=%E2%9C%93&amp;oem=2039LGSS4RDW","2039LGSS4RDW")</f>
        <v>2039LGSS4RDW</v>
      </c>
      <c r="B85" s="1" t="s">
        <v>160</v>
      </c>
      <c r="C85" s="9" t="s">
        <v>140</v>
      </c>
      <c r="D85" s="14" t="s">
        <v>161</v>
      </c>
      <c r="E85" s="9" t="s">
        <v>11</v>
      </c>
    </row>
    <row r="86" spans="1:5" ht="15" customHeight="1" outlineLevel="2" x14ac:dyDescent="0.25">
      <c r="A86" s="3" t="str">
        <f>HYPERLINK("http://mystore1.ru/price_items/search?utf8=%E2%9C%93&amp;oem=2039RGPE5RDW","2039RGPE5RDW")</f>
        <v>2039RGPE5RDW</v>
      </c>
      <c r="B86" s="1" t="s">
        <v>162</v>
      </c>
      <c r="C86" s="9" t="s">
        <v>140</v>
      </c>
      <c r="D86" s="14" t="s">
        <v>163</v>
      </c>
      <c r="E86" s="9" t="s">
        <v>11</v>
      </c>
    </row>
    <row r="87" spans="1:5" ht="15" customHeight="1" outlineLevel="2" x14ac:dyDescent="0.25">
      <c r="A87" s="3" t="str">
        <f>HYPERLINK("http://mystore1.ru/price_items/search?utf8=%E2%9C%93&amp;oem=2039RGPE5RQZ","2039RGPE5RQZ")</f>
        <v>2039RGPE5RQZ</v>
      </c>
      <c r="B87" s="1" t="s">
        <v>164</v>
      </c>
      <c r="C87" s="9" t="s">
        <v>140</v>
      </c>
      <c r="D87" s="14" t="s">
        <v>165</v>
      </c>
      <c r="E87" s="9" t="s">
        <v>11</v>
      </c>
    </row>
    <row r="88" spans="1:5" ht="15" customHeight="1" outlineLevel="2" x14ac:dyDescent="0.25">
      <c r="A88" s="3" t="str">
        <f>HYPERLINK("http://mystore1.ru/price_items/search?utf8=%E2%9C%93&amp;oem=2039RGSE5RDW","2039RGSE5RDW")</f>
        <v>2039RGSE5RDW</v>
      </c>
      <c r="B88" s="1" t="s">
        <v>166</v>
      </c>
      <c r="C88" s="9" t="s">
        <v>140</v>
      </c>
      <c r="D88" s="14" t="s">
        <v>167</v>
      </c>
      <c r="E88" s="9" t="s">
        <v>11</v>
      </c>
    </row>
    <row r="89" spans="1:5" ht="15" customHeight="1" outlineLevel="2" x14ac:dyDescent="0.25">
      <c r="A89" s="3" t="str">
        <f>HYPERLINK("http://mystore1.ru/price_items/search?utf8=%E2%9C%93&amp;oem=2039RGSE5RQZ","2039RGSE5RQZ")</f>
        <v>2039RGSE5RQZ</v>
      </c>
      <c r="B89" s="1" t="s">
        <v>168</v>
      </c>
      <c r="C89" s="9" t="s">
        <v>140</v>
      </c>
      <c r="D89" s="14" t="s">
        <v>169</v>
      </c>
      <c r="E89" s="9" t="s">
        <v>11</v>
      </c>
    </row>
    <row r="90" spans="1:5" ht="15" customHeight="1" outlineLevel="2" x14ac:dyDescent="0.25">
      <c r="A90" s="3" t="str">
        <f>HYPERLINK("http://mystore1.ru/price_items/search?utf8=%E2%9C%93&amp;oem=2039RGSS4FD","2039RGSS4FD")</f>
        <v>2039RGSS4FD</v>
      </c>
      <c r="B90" s="1" t="s">
        <v>170</v>
      </c>
      <c r="C90" s="9" t="s">
        <v>140</v>
      </c>
      <c r="D90" s="14" t="s">
        <v>171</v>
      </c>
      <c r="E90" s="9" t="s">
        <v>11</v>
      </c>
    </row>
    <row r="91" spans="1:5" ht="15" customHeight="1" outlineLevel="2" x14ac:dyDescent="0.25">
      <c r="A91" s="3" t="str">
        <f>HYPERLINK("http://mystore1.ru/price_items/search?utf8=%E2%9C%93&amp;oem=2039RGSS4RDW","2039RGSS4RDW")</f>
        <v>2039RGSS4RDW</v>
      </c>
      <c r="B91" s="1" t="s">
        <v>172</v>
      </c>
      <c r="C91" s="9" t="s">
        <v>140</v>
      </c>
      <c r="D91" s="14" t="s">
        <v>173</v>
      </c>
      <c r="E91" s="9" t="s">
        <v>11</v>
      </c>
    </row>
    <row r="92" spans="1:5" outlineLevel="1" x14ac:dyDescent="0.25">
      <c r="A92" s="2"/>
      <c r="B92" s="6" t="s">
        <v>174</v>
      </c>
      <c r="C92" s="12"/>
      <c r="D92" s="13"/>
      <c r="E92" s="12"/>
    </row>
    <row r="93" spans="1:5" ht="15" customHeight="1" outlineLevel="2" x14ac:dyDescent="0.25">
      <c r="A93" s="3" t="str">
        <f>HYPERLINK("http://mystore1.ru/price_items/search?utf8=%E2%9C%93&amp;oem=2027AGNGN","2027AGNGN")</f>
        <v>2027AGNGN</v>
      </c>
      <c r="B93" s="1" t="s">
        <v>175</v>
      </c>
      <c r="C93" s="9" t="s">
        <v>176</v>
      </c>
      <c r="D93" s="14" t="s">
        <v>177</v>
      </c>
      <c r="E93" s="9" t="s">
        <v>8</v>
      </c>
    </row>
    <row r="94" spans="1:5" ht="15" customHeight="1" outlineLevel="2" x14ac:dyDescent="0.25">
      <c r="A94" s="3" t="str">
        <f>HYPERLINK("http://mystore1.ru/price_items/search?utf8=%E2%9C%93&amp;oem=2027LGNS4FD","2027LGNS4FD")</f>
        <v>2027LGNS4FD</v>
      </c>
      <c r="B94" s="1" t="s">
        <v>178</v>
      </c>
      <c r="C94" s="9" t="s">
        <v>176</v>
      </c>
      <c r="D94" s="14" t="s">
        <v>179</v>
      </c>
      <c r="E94" s="9" t="s">
        <v>11</v>
      </c>
    </row>
    <row r="95" spans="1:5" ht="15" customHeight="1" outlineLevel="2" x14ac:dyDescent="0.25">
      <c r="A95" s="3" t="str">
        <f>HYPERLINK("http://mystore1.ru/price_items/search?utf8=%E2%9C%93&amp;oem=2027LGNS4RD","2027LGNS4RD")</f>
        <v>2027LGNS4RD</v>
      </c>
      <c r="B95" s="1" t="s">
        <v>180</v>
      </c>
      <c r="C95" s="9" t="s">
        <v>176</v>
      </c>
      <c r="D95" s="14" t="s">
        <v>181</v>
      </c>
      <c r="E95" s="9" t="s">
        <v>11</v>
      </c>
    </row>
    <row r="96" spans="1:5" ht="15" customHeight="1" outlineLevel="2" x14ac:dyDescent="0.25">
      <c r="A96" s="3" t="str">
        <f>HYPERLINK("http://mystore1.ru/price_items/search?utf8=%E2%9C%93&amp;oem=2027RGNS4FD","2027RGNS4FD")</f>
        <v>2027RGNS4FD</v>
      </c>
      <c r="B96" s="1" t="s">
        <v>182</v>
      </c>
      <c r="C96" s="9" t="s">
        <v>176</v>
      </c>
      <c r="D96" s="14" t="s">
        <v>183</v>
      </c>
      <c r="E96" s="9" t="s">
        <v>11</v>
      </c>
    </row>
    <row r="97" spans="1:5" ht="15" customHeight="1" outlineLevel="2" x14ac:dyDescent="0.25">
      <c r="A97" s="3" t="str">
        <f>HYPERLINK("http://mystore1.ru/price_items/search?utf8=%E2%9C%93&amp;oem=2027RGNS4RD","2027RGNS4RD")</f>
        <v>2027RGNS4RD</v>
      </c>
      <c r="B97" s="1" t="s">
        <v>184</v>
      </c>
      <c r="C97" s="9" t="s">
        <v>176</v>
      </c>
      <c r="D97" s="14" t="s">
        <v>185</v>
      </c>
      <c r="E97" s="9" t="s">
        <v>11</v>
      </c>
    </row>
    <row r="98" spans="1:5" ht="15" customHeight="1" outlineLevel="2" x14ac:dyDescent="0.25">
      <c r="A98" s="3" t="str">
        <f>HYPERLINK("http://mystore1.ru/price_items/search?utf8=%E2%9C%93&amp;oem=2027RGNS4RV","2027RGNS4RV")</f>
        <v>2027RGNS4RV</v>
      </c>
      <c r="B98" s="1" t="s">
        <v>186</v>
      </c>
      <c r="C98" s="9" t="s">
        <v>176</v>
      </c>
      <c r="D98" s="14" t="s">
        <v>187</v>
      </c>
      <c r="E98" s="9" t="s">
        <v>11</v>
      </c>
    </row>
    <row r="99" spans="1:5" outlineLevel="1" x14ac:dyDescent="0.25">
      <c r="A99" s="2"/>
      <c r="B99" s="6" t="s">
        <v>188</v>
      </c>
      <c r="C99" s="12"/>
      <c r="D99" s="13"/>
      <c r="E99" s="12"/>
    </row>
    <row r="100" spans="1:5" ht="15" customHeight="1" outlineLevel="2" x14ac:dyDescent="0.25">
      <c r="A100" s="3" t="str">
        <f>HYPERLINK("http://mystore1.ru/price_items/search?utf8=%E2%9C%93&amp;oem=2036AGSBL","2036AGSBL")</f>
        <v>2036AGSBL</v>
      </c>
      <c r="B100" s="1" t="s">
        <v>189</v>
      </c>
      <c r="C100" s="9" t="s">
        <v>190</v>
      </c>
      <c r="D100" s="14" t="s">
        <v>191</v>
      </c>
      <c r="E100" s="9" t="s">
        <v>8</v>
      </c>
    </row>
    <row r="101" spans="1:5" ht="15" customHeight="1" outlineLevel="2" x14ac:dyDescent="0.25">
      <c r="A101" s="3" t="str">
        <f>HYPERLINK("http://mystore1.ru/price_items/search?utf8=%E2%9C%93&amp;oem=2036AGSBLH","2036AGSBLH")</f>
        <v>2036AGSBLH</v>
      </c>
      <c r="B101" s="1" t="s">
        <v>192</v>
      </c>
      <c r="C101" s="9" t="s">
        <v>190</v>
      </c>
      <c r="D101" s="14" t="s">
        <v>193</v>
      </c>
      <c r="E101" s="9" t="s">
        <v>8</v>
      </c>
    </row>
    <row r="102" spans="1:5" ht="15" customHeight="1" outlineLevel="2" x14ac:dyDescent="0.25">
      <c r="A102" s="3" t="str">
        <f>HYPERLINK("http://mystore1.ru/price_items/search?utf8=%E2%9C%93&amp;oem=2036AGSBLHM","2036AGSBLHM")</f>
        <v>2036AGSBLHM</v>
      </c>
      <c r="B102" s="1" t="s">
        <v>194</v>
      </c>
      <c r="C102" s="9" t="s">
        <v>190</v>
      </c>
      <c r="D102" s="14" t="s">
        <v>195</v>
      </c>
      <c r="E102" s="9" t="s">
        <v>8</v>
      </c>
    </row>
    <row r="103" spans="1:5" ht="15" customHeight="1" outlineLevel="2" x14ac:dyDescent="0.25">
      <c r="A103" s="3" t="str">
        <f>HYPERLINK("http://mystore1.ru/price_items/search?utf8=%E2%9C%93&amp;oem=2036AGSBLM","2036AGSBLM")</f>
        <v>2036AGSBLM</v>
      </c>
      <c r="B103" s="1" t="s">
        <v>196</v>
      </c>
      <c r="C103" s="9" t="s">
        <v>190</v>
      </c>
      <c r="D103" s="14" t="s">
        <v>197</v>
      </c>
      <c r="E103" s="9" t="s">
        <v>8</v>
      </c>
    </row>
    <row r="104" spans="1:5" ht="15" customHeight="1" outlineLevel="2" x14ac:dyDescent="0.25">
      <c r="A104" s="3" t="str">
        <f>HYPERLINK("http://mystore1.ru/price_items/search?utf8=%E2%9C%93&amp;oem=2036ASMST","2036ASMST")</f>
        <v>2036ASMST</v>
      </c>
      <c r="B104" s="1" t="s">
        <v>198</v>
      </c>
      <c r="C104" s="9" t="s">
        <v>25</v>
      </c>
      <c r="D104" s="14" t="s">
        <v>199</v>
      </c>
      <c r="E104" s="9" t="s">
        <v>27</v>
      </c>
    </row>
    <row r="105" spans="1:5" ht="15" customHeight="1" outlineLevel="2" x14ac:dyDescent="0.25">
      <c r="A105" s="3" t="str">
        <f>HYPERLINK("http://mystore1.ru/price_items/search?utf8=%E2%9C%93&amp;oem=2036BGSSABW","2036BGSSABW")</f>
        <v>2036BGSSABW</v>
      </c>
      <c r="B105" s="1" t="s">
        <v>200</v>
      </c>
      <c r="C105" s="9" t="s">
        <v>190</v>
      </c>
      <c r="D105" s="14" t="s">
        <v>201</v>
      </c>
      <c r="E105" s="9" t="s">
        <v>30</v>
      </c>
    </row>
    <row r="106" spans="1:5" ht="15" customHeight="1" outlineLevel="2" x14ac:dyDescent="0.25">
      <c r="A106" s="3" t="str">
        <f>HYPERLINK("http://mystore1.ru/price_items/search?utf8=%E2%9C%93&amp;oem=2036LGSS4FD","2036LGSS4FD")</f>
        <v>2036LGSS4FD</v>
      </c>
      <c r="B106" s="1" t="s">
        <v>202</v>
      </c>
      <c r="C106" s="9" t="s">
        <v>190</v>
      </c>
      <c r="D106" s="14" t="s">
        <v>203</v>
      </c>
      <c r="E106" s="9" t="s">
        <v>11</v>
      </c>
    </row>
    <row r="107" spans="1:5" ht="15" customHeight="1" outlineLevel="2" x14ac:dyDescent="0.25">
      <c r="A107" s="3" t="str">
        <f>HYPERLINK("http://mystore1.ru/price_items/search?utf8=%E2%9C%93&amp;oem=2036LGSS4RDW","2036LGSS4RDW")</f>
        <v>2036LGSS4RDW</v>
      </c>
      <c r="B107" s="1" t="s">
        <v>204</v>
      </c>
      <c r="C107" s="9" t="s">
        <v>190</v>
      </c>
      <c r="D107" s="14" t="s">
        <v>205</v>
      </c>
      <c r="E107" s="9" t="s">
        <v>11</v>
      </c>
    </row>
    <row r="108" spans="1:5" ht="15" customHeight="1" outlineLevel="2" x14ac:dyDescent="0.25">
      <c r="A108" s="3" t="str">
        <f>HYPERLINK("http://mystore1.ru/price_items/search?utf8=%E2%9C%93&amp;oem=2036RGSS4FD","2036RGSS4FD")</f>
        <v>2036RGSS4FD</v>
      </c>
      <c r="B108" s="1" t="s">
        <v>206</v>
      </c>
      <c r="C108" s="9" t="s">
        <v>190</v>
      </c>
      <c r="D108" s="14" t="s">
        <v>207</v>
      </c>
      <c r="E108" s="9" t="s">
        <v>11</v>
      </c>
    </row>
    <row r="109" spans="1:5" ht="15" customHeight="1" outlineLevel="2" x14ac:dyDescent="0.25">
      <c r="A109" s="3" t="str">
        <f>HYPERLINK("http://mystore1.ru/price_items/search?utf8=%E2%9C%93&amp;oem=2036RGSS4RDW","2036RGSS4RDW")</f>
        <v>2036RGSS4RDW</v>
      </c>
      <c r="B109" s="1" t="s">
        <v>208</v>
      </c>
      <c r="C109" s="9" t="s">
        <v>190</v>
      </c>
      <c r="D109" s="14" t="s">
        <v>209</v>
      </c>
      <c r="E109" s="9" t="s">
        <v>11</v>
      </c>
    </row>
    <row r="110" spans="1:5" outlineLevel="1" x14ac:dyDescent="0.25">
      <c r="A110" s="2"/>
      <c r="B110" s="6" t="s">
        <v>210</v>
      </c>
      <c r="C110" s="12"/>
      <c r="D110" s="13"/>
      <c r="E110" s="12"/>
    </row>
    <row r="111" spans="1:5" ht="15" customHeight="1" outlineLevel="2" x14ac:dyDescent="0.25">
      <c r="A111" s="3" t="str">
        <f>HYPERLINK("http://mystore1.ru/price_items/search?utf8=%E2%9C%93&amp;oem=2038AGS","2038AGS")</f>
        <v>2038AGS</v>
      </c>
      <c r="B111" s="1" t="s">
        <v>211</v>
      </c>
      <c r="C111" s="9" t="s">
        <v>212</v>
      </c>
      <c r="D111" s="14" t="s">
        <v>213</v>
      </c>
      <c r="E111" s="9" t="s">
        <v>8</v>
      </c>
    </row>
    <row r="112" spans="1:5" ht="15" customHeight="1" outlineLevel="2" x14ac:dyDescent="0.25">
      <c r="A112" s="3" t="str">
        <f>HYPERLINK("http://mystore1.ru/price_items/search?utf8=%E2%9C%93&amp;oem=2038AGSM1B","2038AGSM1B")</f>
        <v>2038AGSM1B</v>
      </c>
      <c r="B112" s="1" t="s">
        <v>214</v>
      </c>
      <c r="C112" s="9" t="s">
        <v>212</v>
      </c>
      <c r="D112" s="14" t="s">
        <v>215</v>
      </c>
      <c r="E112" s="9" t="s">
        <v>8</v>
      </c>
    </row>
    <row r="113" spans="1:5" ht="15" customHeight="1" outlineLevel="2" x14ac:dyDescent="0.25">
      <c r="A113" s="3" t="str">
        <f>HYPERLINK("http://mystore1.ru/price_items/search?utf8=%E2%9C%93&amp;oem=2038BGDCZ","2038BGDCZ")</f>
        <v>2038BGDCZ</v>
      </c>
      <c r="B113" s="1" t="s">
        <v>216</v>
      </c>
      <c r="C113" s="9" t="s">
        <v>212</v>
      </c>
      <c r="D113" s="14" t="s">
        <v>217</v>
      </c>
      <c r="E113" s="9" t="s">
        <v>30</v>
      </c>
    </row>
    <row r="114" spans="1:5" ht="15" customHeight="1" outlineLevel="2" x14ac:dyDescent="0.25">
      <c r="A114" s="3" t="str">
        <f>HYPERLINK("http://mystore1.ru/price_items/search?utf8=%E2%9C%93&amp;oem=2038BGSCZ","2038BGSCZ")</f>
        <v>2038BGSCZ</v>
      </c>
      <c r="B114" s="1" t="s">
        <v>218</v>
      </c>
      <c r="C114" s="9" t="s">
        <v>212</v>
      </c>
      <c r="D114" s="14" t="s">
        <v>219</v>
      </c>
      <c r="E114" s="9" t="s">
        <v>30</v>
      </c>
    </row>
    <row r="115" spans="1:5" ht="15" customHeight="1" outlineLevel="2" x14ac:dyDescent="0.25">
      <c r="A115" s="3" t="str">
        <f>HYPERLINK("http://mystore1.ru/price_items/search?utf8=%E2%9C%93&amp;oem=2038LGDC2RQZ","2038LGDC2RQZ")</f>
        <v>2038LGDC2RQZ</v>
      </c>
      <c r="B115" s="1" t="s">
        <v>220</v>
      </c>
      <c r="C115" s="9" t="s">
        <v>212</v>
      </c>
      <c r="D115" s="14" t="s">
        <v>221</v>
      </c>
      <c r="E115" s="9" t="s">
        <v>11</v>
      </c>
    </row>
    <row r="116" spans="1:5" ht="15" customHeight="1" outlineLevel="2" x14ac:dyDescent="0.25">
      <c r="A116" s="3" t="str">
        <f>HYPERLINK("http://mystore1.ru/price_items/search?utf8=%E2%9C%93&amp;oem=2038LGSC2FDW","2038LGSC2FDW")</f>
        <v>2038LGSC2FDW</v>
      </c>
      <c r="B116" s="1" t="s">
        <v>222</v>
      </c>
      <c r="C116" s="9" t="s">
        <v>212</v>
      </c>
      <c r="D116" s="14" t="s">
        <v>223</v>
      </c>
      <c r="E116" s="9" t="s">
        <v>11</v>
      </c>
    </row>
    <row r="117" spans="1:5" ht="15" customHeight="1" outlineLevel="2" x14ac:dyDescent="0.25">
      <c r="A117" s="3" t="str">
        <f>HYPERLINK("http://mystore1.ru/price_items/search?utf8=%E2%9C%93&amp;oem=2038LGSC2RQZ","2038LGSC2RQZ")</f>
        <v>2038LGSC2RQZ</v>
      </c>
      <c r="B117" s="1" t="s">
        <v>224</v>
      </c>
      <c r="C117" s="9" t="s">
        <v>212</v>
      </c>
      <c r="D117" s="14" t="s">
        <v>225</v>
      </c>
      <c r="E117" s="9" t="s">
        <v>11</v>
      </c>
    </row>
    <row r="118" spans="1:5" ht="15" customHeight="1" outlineLevel="2" x14ac:dyDescent="0.25">
      <c r="A118" s="3" t="str">
        <f>HYPERLINK("http://mystore1.ru/price_items/search?utf8=%E2%9C%93&amp;oem=2038RGDC2RQZ","2038RGDC2RQZ")</f>
        <v>2038RGDC2RQZ</v>
      </c>
      <c r="B118" s="1" t="s">
        <v>226</v>
      </c>
      <c r="C118" s="9" t="s">
        <v>212</v>
      </c>
      <c r="D118" s="14" t="s">
        <v>227</v>
      </c>
      <c r="E118" s="9" t="s">
        <v>11</v>
      </c>
    </row>
    <row r="119" spans="1:5" ht="15" customHeight="1" outlineLevel="2" x14ac:dyDescent="0.25">
      <c r="A119" s="3" t="str">
        <f>HYPERLINK("http://mystore1.ru/price_items/search?utf8=%E2%9C%93&amp;oem=2038RGSC2FDW","2038RGSC2FDW")</f>
        <v>2038RGSC2FDW</v>
      </c>
      <c r="B119" s="1" t="s">
        <v>228</v>
      </c>
      <c r="C119" s="9" t="s">
        <v>212</v>
      </c>
      <c r="D119" s="14" t="s">
        <v>229</v>
      </c>
      <c r="E119" s="9" t="s">
        <v>11</v>
      </c>
    </row>
    <row r="120" spans="1:5" ht="15" customHeight="1" outlineLevel="2" x14ac:dyDescent="0.25">
      <c r="A120" s="3" t="str">
        <f>HYPERLINK("http://mystore1.ru/price_items/search?utf8=%E2%9C%93&amp;oem=2038RGSC2RQZ","2038RGSC2RQZ")</f>
        <v>2038RGSC2RQZ</v>
      </c>
      <c r="B120" s="1" t="s">
        <v>230</v>
      </c>
      <c r="C120" s="9" t="s">
        <v>212</v>
      </c>
      <c r="D120" s="14" t="s">
        <v>231</v>
      </c>
      <c r="E120" s="9" t="s">
        <v>11</v>
      </c>
    </row>
    <row r="121" spans="1:5" outlineLevel="1" x14ac:dyDescent="0.25">
      <c r="A121" s="2"/>
      <c r="B121" s="6" t="s">
        <v>232</v>
      </c>
      <c r="C121" s="12"/>
      <c r="D121" s="13"/>
      <c r="E121" s="12"/>
    </row>
    <row r="122" spans="1:5" outlineLevel="2" x14ac:dyDescent="0.25">
      <c r="A122" s="3" t="str">
        <f>HYPERLINK("http://mystore1.ru/price_items/search?utf8=%E2%9C%93&amp;oem=2032AGN","2032AGN")</f>
        <v>2032AGN</v>
      </c>
      <c r="B122" s="1" t="s">
        <v>233</v>
      </c>
      <c r="C122" s="9" t="s">
        <v>234</v>
      </c>
      <c r="D122" s="14" t="s">
        <v>235</v>
      </c>
      <c r="E122" s="9" t="s">
        <v>8</v>
      </c>
    </row>
    <row r="123" spans="1:5" outlineLevel="2" x14ac:dyDescent="0.25">
      <c r="A123" s="3" t="str">
        <f>HYPERLINK("http://mystore1.ru/price_items/search?utf8=%E2%9C%93&amp;oem=2032ASMC","2032ASMC")</f>
        <v>2032ASMC</v>
      </c>
      <c r="B123" s="1" t="s">
        <v>236</v>
      </c>
      <c r="C123" s="9" t="s">
        <v>25</v>
      </c>
      <c r="D123" s="14" t="s">
        <v>237</v>
      </c>
      <c r="E123" s="9" t="s">
        <v>27</v>
      </c>
    </row>
    <row r="124" spans="1:5" x14ac:dyDescent="0.25">
      <c r="A124" s="61" t="s">
        <v>238</v>
      </c>
      <c r="B124" s="61"/>
      <c r="C124" s="61"/>
      <c r="D124" s="61"/>
      <c r="E124" s="61"/>
    </row>
    <row r="125" spans="1:5" outlineLevel="1" x14ac:dyDescent="0.25">
      <c r="A125" s="2"/>
      <c r="B125" s="6" t="s">
        <v>239</v>
      </c>
      <c r="C125" s="8"/>
      <c r="D125" s="8"/>
      <c r="E125" s="8"/>
    </row>
    <row r="126" spans="1:5" outlineLevel="2" x14ac:dyDescent="0.25">
      <c r="A126" s="3" t="str">
        <f>HYPERLINK("http://mystore1.ru/price_items/search?utf8=%E2%9C%93&amp;oem=9323ACL","9323ACL")</f>
        <v>9323ACL</v>
      </c>
      <c r="B126" s="1" t="s">
        <v>240</v>
      </c>
      <c r="C126" s="9" t="s">
        <v>241</v>
      </c>
      <c r="D126" s="14" t="s">
        <v>242</v>
      </c>
      <c r="E126" s="9" t="s">
        <v>8</v>
      </c>
    </row>
    <row r="127" spans="1:5" x14ac:dyDescent="0.25">
      <c r="A127" s="61" t="s">
        <v>243</v>
      </c>
      <c r="B127" s="61"/>
      <c r="C127" s="61"/>
      <c r="D127" s="61"/>
      <c r="E127" s="61"/>
    </row>
    <row r="128" spans="1:5" outlineLevel="1" x14ac:dyDescent="0.25">
      <c r="A128" s="2"/>
      <c r="B128" s="6" t="s">
        <v>244</v>
      </c>
      <c r="C128" s="12"/>
      <c r="D128" s="13"/>
      <c r="E128" s="12"/>
    </row>
    <row r="129" spans="1:5" outlineLevel="2" x14ac:dyDescent="0.25">
      <c r="A129" s="3" t="str">
        <f>HYPERLINK("http://mystore1.ru/price_items/search?utf8=%E2%9C%93&amp;oem=8528AGNGN","8528AGNGN")</f>
        <v>8528AGNGN</v>
      </c>
      <c r="B129" s="1" t="s">
        <v>245</v>
      </c>
      <c r="C129" s="9" t="s">
        <v>246</v>
      </c>
      <c r="D129" s="14" t="s">
        <v>247</v>
      </c>
      <c r="E129" s="9" t="s">
        <v>8</v>
      </c>
    </row>
    <row r="130" spans="1:5" outlineLevel="1" x14ac:dyDescent="0.25">
      <c r="A130" s="2"/>
      <c r="B130" s="6" t="s">
        <v>248</v>
      </c>
      <c r="C130" s="12"/>
      <c r="D130" s="13"/>
      <c r="E130" s="12"/>
    </row>
    <row r="131" spans="1:5" outlineLevel="2" x14ac:dyDescent="0.25">
      <c r="A131" s="3" t="str">
        <f>HYPERLINK("http://mystore1.ru/price_items/search?utf8=%E2%9C%93&amp;oem=8526ACL1C","8526ACL1C")</f>
        <v>8526ACL1C</v>
      </c>
      <c r="B131" s="1" t="s">
        <v>249</v>
      </c>
      <c r="C131" s="9" t="s">
        <v>250</v>
      </c>
      <c r="D131" s="14" t="s">
        <v>251</v>
      </c>
      <c r="E131" s="9" t="s">
        <v>8</v>
      </c>
    </row>
    <row r="132" spans="1:5" outlineLevel="2" x14ac:dyDescent="0.25">
      <c r="A132" s="3" t="str">
        <f>HYPERLINK("http://mystore1.ru/price_items/search?utf8=%E2%9C%93&amp;oem=8526AGNGN1C","8526AGNGN1C")</f>
        <v>8526AGNGN1C</v>
      </c>
      <c r="B132" s="1" t="s">
        <v>252</v>
      </c>
      <c r="C132" s="9" t="s">
        <v>250</v>
      </c>
      <c r="D132" s="14" t="s">
        <v>253</v>
      </c>
      <c r="E132" s="9" t="s">
        <v>8</v>
      </c>
    </row>
    <row r="133" spans="1:5" outlineLevel="2" x14ac:dyDescent="0.25">
      <c r="A133" s="3" t="str">
        <f>HYPERLINK("http://mystore1.ru/price_items/search?utf8=%E2%9C%93&amp;oem=8526ASRS","8526ASRS")</f>
        <v>8526ASRS</v>
      </c>
      <c r="B133" s="1" t="s">
        <v>254</v>
      </c>
      <c r="C133" s="9" t="s">
        <v>25</v>
      </c>
      <c r="D133" s="14" t="s">
        <v>255</v>
      </c>
      <c r="E133" s="9" t="s">
        <v>27</v>
      </c>
    </row>
    <row r="134" spans="1:5" outlineLevel="2" x14ac:dyDescent="0.25">
      <c r="A134" s="3" t="str">
        <f>HYPERLINK("http://mystore1.ru/price_items/search?utf8=%E2%9C%93&amp;oem=8526BCLS","8526BCLS")</f>
        <v>8526BCLS</v>
      </c>
      <c r="B134" s="1" t="s">
        <v>256</v>
      </c>
      <c r="C134" s="9" t="s">
        <v>250</v>
      </c>
      <c r="D134" s="14" t="s">
        <v>257</v>
      </c>
      <c r="E134" s="9" t="s">
        <v>30</v>
      </c>
    </row>
    <row r="135" spans="1:5" outlineLevel="1" x14ac:dyDescent="0.25">
      <c r="A135" s="2"/>
      <c r="B135" s="6" t="s">
        <v>258</v>
      </c>
      <c r="C135" s="12"/>
      <c r="D135" s="13"/>
      <c r="E135" s="12"/>
    </row>
    <row r="136" spans="1:5" outlineLevel="2" x14ac:dyDescent="0.25">
      <c r="A136" s="3" t="str">
        <f>HYPERLINK("http://mystore1.ru/price_items/search?utf8=%E2%9C%93&amp;oem=8534AGNBL","8534AGNBL")</f>
        <v>8534AGNBL</v>
      </c>
      <c r="B136" s="1" t="s">
        <v>259</v>
      </c>
      <c r="C136" s="9" t="s">
        <v>260</v>
      </c>
      <c r="D136" s="14" t="s">
        <v>261</v>
      </c>
      <c r="E136" s="9" t="s">
        <v>8</v>
      </c>
    </row>
    <row r="137" spans="1:5" outlineLevel="2" x14ac:dyDescent="0.25">
      <c r="A137" s="3" t="str">
        <f>HYPERLINK("http://mystore1.ru/price_items/search?utf8=%E2%9C%93&amp;oem=8534AGNGN","8534AGNGN")</f>
        <v>8534AGNGN</v>
      </c>
      <c r="B137" s="1" t="s">
        <v>262</v>
      </c>
      <c r="C137" s="9" t="s">
        <v>260</v>
      </c>
      <c r="D137" s="14" t="s">
        <v>263</v>
      </c>
      <c r="E137" s="9" t="s">
        <v>8</v>
      </c>
    </row>
    <row r="138" spans="1:5" outlineLevel="2" x14ac:dyDescent="0.25">
      <c r="A138" s="3" t="str">
        <f>HYPERLINK("http://mystore1.ru/price_items/search?utf8=%E2%9C%93&amp;oem=8534AGNGNV","8534AGNGNV")</f>
        <v>8534AGNGNV</v>
      </c>
      <c r="B138" s="1" t="s">
        <v>264</v>
      </c>
      <c r="C138" s="9" t="s">
        <v>260</v>
      </c>
      <c r="D138" s="14" t="s">
        <v>265</v>
      </c>
      <c r="E138" s="9" t="s">
        <v>8</v>
      </c>
    </row>
    <row r="139" spans="1:5" outlineLevel="2" x14ac:dyDescent="0.25">
      <c r="A139" s="3" t="str">
        <f>HYPERLINK("http://mystore1.ru/price_items/search?utf8=%E2%9C%93&amp;oem=8534AKMS","8534AKMS")</f>
        <v>8534AKMS</v>
      </c>
      <c r="B139" s="1" t="s">
        <v>266</v>
      </c>
      <c r="C139" s="9" t="s">
        <v>25</v>
      </c>
      <c r="D139" s="14" t="s">
        <v>267</v>
      </c>
      <c r="E139" s="9" t="s">
        <v>27</v>
      </c>
    </row>
    <row r="140" spans="1:5" outlineLevel="2" x14ac:dyDescent="0.25">
      <c r="A140" s="3" t="str">
        <f>HYPERLINK("http://mystore1.ru/price_items/search?utf8=%E2%9C%93&amp;oem=8534AKMSC","8534AKMSC")</f>
        <v>8534AKMSC</v>
      </c>
      <c r="B140" s="1" t="s">
        <v>268</v>
      </c>
      <c r="C140" s="9" t="s">
        <v>25</v>
      </c>
      <c r="D140" s="14" t="s">
        <v>269</v>
      </c>
      <c r="E140" s="9" t="s">
        <v>27</v>
      </c>
    </row>
    <row r="141" spans="1:5" outlineLevel="2" x14ac:dyDescent="0.25">
      <c r="A141" s="3" t="str">
        <f>HYPERLINK("http://mystore1.ru/price_items/search?utf8=%E2%9C%93&amp;oem=8534ASMS","8534ASMS")</f>
        <v>8534ASMS</v>
      </c>
      <c r="B141" s="1" t="s">
        <v>270</v>
      </c>
      <c r="C141" s="9" t="s">
        <v>25</v>
      </c>
      <c r="D141" s="14" t="s">
        <v>271</v>
      </c>
      <c r="E141" s="9" t="s">
        <v>27</v>
      </c>
    </row>
    <row r="142" spans="1:5" outlineLevel="2" x14ac:dyDescent="0.25">
      <c r="A142" s="3" t="str">
        <f>HYPERLINK("http://mystore1.ru/price_items/search?utf8=%E2%9C%93&amp;oem=8534BGNEZ","8534BGNEZ")</f>
        <v>8534BGNEZ</v>
      </c>
      <c r="B142" s="1" t="s">
        <v>272</v>
      </c>
      <c r="C142" s="9" t="s">
        <v>273</v>
      </c>
      <c r="D142" s="14" t="s">
        <v>274</v>
      </c>
      <c r="E142" s="9" t="s">
        <v>30</v>
      </c>
    </row>
    <row r="143" spans="1:5" outlineLevel="2" x14ac:dyDescent="0.25">
      <c r="A143" s="3" t="str">
        <f>HYPERLINK("http://mystore1.ru/price_items/search?utf8=%E2%9C%93&amp;oem=8534BGNSA","8534BGNSA")</f>
        <v>8534BGNSA</v>
      </c>
      <c r="B143" s="1" t="s">
        <v>275</v>
      </c>
      <c r="C143" s="9" t="s">
        <v>260</v>
      </c>
      <c r="D143" s="14" t="s">
        <v>276</v>
      </c>
      <c r="E143" s="9" t="s">
        <v>30</v>
      </c>
    </row>
    <row r="144" spans="1:5" outlineLevel="2" x14ac:dyDescent="0.25">
      <c r="A144" s="3" t="str">
        <f>HYPERLINK("http://mystore1.ru/price_items/search?utf8=%E2%9C%93&amp;oem=8534BGNSA1C","8534BGNSA1C")</f>
        <v>8534BGNSA1C</v>
      </c>
      <c r="B144" s="1" t="s">
        <v>277</v>
      </c>
      <c r="C144" s="9" t="s">
        <v>260</v>
      </c>
      <c r="D144" s="14" t="s">
        <v>278</v>
      </c>
      <c r="E144" s="9" t="s">
        <v>30</v>
      </c>
    </row>
    <row r="145" spans="1:5" outlineLevel="2" x14ac:dyDescent="0.25">
      <c r="A145" s="3" t="str">
        <f>HYPERLINK("http://mystore1.ru/price_items/search?utf8=%E2%9C%93&amp;oem=8534BSMS","8534BSMS")</f>
        <v>8534BSMS</v>
      </c>
      <c r="B145" s="1" t="s">
        <v>279</v>
      </c>
      <c r="C145" s="9" t="s">
        <v>25</v>
      </c>
      <c r="D145" s="14" t="s">
        <v>280</v>
      </c>
      <c r="E145" s="9" t="s">
        <v>27</v>
      </c>
    </row>
    <row r="146" spans="1:5" outlineLevel="2" x14ac:dyDescent="0.25">
      <c r="A146" s="3" t="str">
        <f>HYPERLINK("http://mystore1.ru/price_items/search?utf8=%E2%9C%93&amp;oem=8534AR","8534AR")</f>
        <v>8534AR</v>
      </c>
      <c r="B146" s="1" t="s">
        <v>281</v>
      </c>
      <c r="C146" s="9" t="s">
        <v>25</v>
      </c>
      <c r="D146" s="14" t="s">
        <v>282</v>
      </c>
      <c r="E146" s="9" t="s">
        <v>27</v>
      </c>
    </row>
    <row r="147" spans="1:5" outlineLevel="2" x14ac:dyDescent="0.25">
      <c r="A147" s="3" t="str">
        <f>HYPERLINK("http://mystore1.ru/price_items/search?utf8=%E2%9C%93&amp;oem=8534LGNS4FD","8534LGNS4FD")</f>
        <v>8534LGNS4FD</v>
      </c>
      <c r="B147" s="1" t="s">
        <v>283</v>
      </c>
      <c r="C147" s="9" t="s">
        <v>260</v>
      </c>
      <c r="D147" s="14" t="s">
        <v>284</v>
      </c>
      <c r="E147" s="9" t="s">
        <v>11</v>
      </c>
    </row>
    <row r="148" spans="1:5" outlineLevel="2" x14ac:dyDescent="0.25">
      <c r="A148" s="3" t="str">
        <f>HYPERLINK("http://mystore1.ru/price_items/search?utf8=%E2%9C%93&amp;oem=8534LGNS4FDW","8534LGNS4FDW")</f>
        <v>8534LGNS4FDW</v>
      </c>
      <c r="B148" s="1" t="s">
        <v>285</v>
      </c>
      <c r="C148" s="9" t="s">
        <v>260</v>
      </c>
      <c r="D148" s="14" t="s">
        <v>286</v>
      </c>
      <c r="E148" s="9" t="s">
        <v>11</v>
      </c>
    </row>
    <row r="149" spans="1:5" outlineLevel="2" x14ac:dyDescent="0.25">
      <c r="A149" s="3" t="str">
        <f>HYPERLINK("http://mystore1.ru/price_items/search?utf8=%E2%9C%93&amp;oem=8534LGNS4RD","8534LGNS4RD")</f>
        <v>8534LGNS4RD</v>
      </c>
      <c r="B149" s="1" t="s">
        <v>287</v>
      </c>
      <c r="C149" s="9" t="s">
        <v>260</v>
      </c>
      <c r="D149" s="14" t="s">
        <v>288</v>
      </c>
      <c r="E149" s="9" t="s">
        <v>11</v>
      </c>
    </row>
    <row r="150" spans="1:5" outlineLevel="2" x14ac:dyDescent="0.25">
      <c r="A150" s="3" t="str">
        <f>HYPERLINK("http://mystore1.ru/price_items/search?utf8=%E2%9C%93&amp;oem=8534LGNS4RDW","8534LGNS4RDW")</f>
        <v>8534LGNS4RDW</v>
      </c>
      <c r="B150" s="1" t="s">
        <v>289</v>
      </c>
      <c r="C150" s="9" t="s">
        <v>260</v>
      </c>
      <c r="D150" s="14" t="s">
        <v>290</v>
      </c>
      <c r="E150" s="9" t="s">
        <v>11</v>
      </c>
    </row>
    <row r="151" spans="1:5" outlineLevel="2" x14ac:dyDescent="0.25">
      <c r="A151" s="3" t="str">
        <f>HYPERLINK("http://mystore1.ru/price_items/search?utf8=%E2%9C%93&amp;oem=8534LGNS4RQ","8534LGNS4RQ")</f>
        <v>8534LGNS4RQ</v>
      </c>
      <c r="B151" s="1" t="s">
        <v>291</v>
      </c>
      <c r="C151" s="9" t="s">
        <v>260</v>
      </c>
      <c r="D151" s="14" t="s">
        <v>292</v>
      </c>
      <c r="E151" s="9" t="s">
        <v>11</v>
      </c>
    </row>
    <row r="152" spans="1:5" outlineLevel="2" x14ac:dyDescent="0.25">
      <c r="A152" s="3" t="str">
        <f>HYPERLINK("http://mystore1.ru/price_items/search?utf8=%E2%9C%93&amp;oem=8534LGNS4RQZ","8534LGNS4RQZ")</f>
        <v>8534LGNS4RQZ</v>
      </c>
      <c r="B152" s="1" t="s">
        <v>293</v>
      </c>
      <c r="C152" s="9" t="s">
        <v>260</v>
      </c>
      <c r="D152" s="14" t="s">
        <v>294</v>
      </c>
      <c r="E152" s="9" t="s">
        <v>11</v>
      </c>
    </row>
    <row r="153" spans="1:5" outlineLevel="2" x14ac:dyDescent="0.25">
      <c r="A153" s="3" t="str">
        <f>HYPERLINK("http://mystore1.ru/price_items/search?utf8=%E2%9C%93&amp;oem=8534RGNS4FD","8534RGNS4FD")</f>
        <v>8534RGNS4FD</v>
      </c>
      <c r="B153" s="1" t="s">
        <v>295</v>
      </c>
      <c r="C153" s="9" t="s">
        <v>260</v>
      </c>
      <c r="D153" s="14" t="s">
        <v>296</v>
      </c>
      <c r="E153" s="9" t="s">
        <v>11</v>
      </c>
    </row>
    <row r="154" spans="1:5" outlineLevel="2" x14ac:dyDescent="0.25">
      <c r="A154" s="3" t="str">
        <f>HYPERLINK("http://mystore1.ru/price_items/search?utf8=%E2%9C%93&amp;oem=8534RGNS4FDW","8534RGNS4FDW")</f>
        <v>8534RGNS4FDW</v>
      </c>
      <c r="B154" s="1" t="s">
        <v>297</v>
      </c>
      <c r="C154" s="9" t="s">
        <v>260</v>
      </c>
      <c r="D154" s="14" t="s">
        <v>298</v>
      </c>
      <c r="E154" s="9" t="s">
        <v>11</v>
      </c>
    </row>
    <row r="155" spans="1:5" outlineLevel="2" x14ac:dyDescent="0.25">
      <c r="A155" s="3" t="str">
        <f>HYPERLINK("http://mystore1.ru/price_items/search?utf8=%E2%9C%93&amp;oem=8534RGNS4RD","8534RGNS4RD")</f>
        <v>8534RGNS4RD</v>
      </c>
      <c r="B155" s="1" t="s">
        <v>299</v>
      </c>
      <c r="C155" s="9" t="s">
        <v>260</v>
      </c>
      <c r="D155" s="14" t="s">
        <v>300</v>
      </c>
      <c r="E155" s="9" t="s">
        <v>11</v>
      </c>
    </row>
    <row r="156" spans="1:5" outlineLevel="2" x14ac:dyDescent="0.25">
      <c r="A156" s="3" t="str">
        <f>HYPERLINK("http://mystore1.ru/price_items/search?utf8=%E2%9C%93&amp;oem=8534RGNS4RDW","8534RGNS4RDW")</f>
        <v>8534RGNS4RDW</v>
      </c>
      <c r="B156" s="1" t="s">
        <v>301</v>
      </c>
      <c r="C156" s="9" t="s">
        <v>260</v>
      </c>
      <c r="D156" s="14" t="s">
        <v>302</v>
      </c>
      <c r="E156" s="9" t="s">
        <v>11</v>
      </c>
    </row>
    <row r="157" spans="1:5" outlineLevel="2" x14ac:dyDescent="0.25">
      <c r="A157" s="3" t="str">
        <f>HYPERLINK("http://mystore1.ru/price_items/search?utf8=%E2%9C%93&amp;oem=8534RGNS4RQZ","8534RGNS4RQZ")</f>
        <v>8534RGNS4RQZ</v>
      </c>
      <c r="B157" s="1" t="s">
        <v>303</v>
      </c>
      <c r="C157" s="9" t="s">
        <v>260</v>
      </c>
      <c r="D157" s="14" t="s">
        <v>304</v>
      </c>
      <c r="E157" s="9" t="s">
        <v>11</v>
      </c>
    </row>
    <row r="158" spans="1:5" outlineLevel="1" x14ac:dyDescent="0.25">
      <c r="A158" s="2"/>
      <c r="B158" s="6" t="s">
        <v>305</v>
      </c>
      <c r="C158" s="12"/>
      <c r="D158" s="13"/>
      <c r="E158" s="12"/>
    </row>
    <row r="159" spans="1:5" outlineLevel="2" x14ac:dyDescent="0.25">
      <c r="A159" s="3" t="str">
        <f>HYPERLINK("http://mystore1.ru/price_items/search?utf8=%E2%9C%93&amp;oem=8542AGNGN","8542AGNGN")</f>
        <v>8542AGNGN</v>
      </c>
      <c r="B159" s="1" t="s">
        <v>306</v>
      </c>
      <c r="C159" s="9" t="s">
        <v>307</v>
      </c>
      <c r="D159" s="14" t="s">
        <v>308</v>
      </c>
      <c r="E159" s="9" t="s">
        <v>8</v>
      </c>
    </row>
    <row r="160" spans="1:5" outlineLevel="1" x14ac:dyDescent="0.25">
      <c r="A160" s="2"/>
      <c r="B160" s="6" t="s">
        <v>309</v>
      </c>
      <c r="C160" s="12"/>
      <c r="D160" s="13"/>
      <c r="E160" s="12"/>
    </row>
    <row r="161" spans="1:5" outlineLevel="2" x14ac:dyDescent="0.25">
      <c r="A161" s="3" t="str">
        <f>HYPERLINK("http://mystore1.ru/price_items/search?utf8=%E2%9C%93&amp;oem=8532AGNGN","8532AGNGN")</f>
        <v>8532AGNGN</v>
      </c>
      <c r="B161" s="1" t="s">
        <v>310</v>
      </c>
      <c r="C161" s="9" t="s">
        <v>311</v>
      </c>
      <c r="D161" s="14" t="s">
        <v>312</v>
      </c>
      <c r="E161" s="9" t="s">
        <v>8</v>
      </c>
    </row>
    <row r="162" spans="1:5" outlineLevel="2" x14ac:dyDescent="0.25">
      <c r="A162" s="3" t="str">
        <f>HYPERLINK("http://mystore1.ru/price_items/search?utf8=%E2%9C%93&amp;oem=8532AGNGN1C","8532AGNGN1C")</f>
        <v>8532AGNGN1C</v>
      </c>
      <c r="B162" s="1" t="s">
        <v>313</v>
      </c>
      <c r="C162" s="9" t="s">
        <v>311</v>
      </c>
      <c r="D162" s="14" t="s">
        <v>314</v>
      </c>
      <c r="E162" s="9" t="s">
        <v>8</v>
      </c>
    </row>
    <row r="163" spans="1:5" outlineLevel="2" x14ac:dyDescent="0.25">
      <c r="A163" s="3" t="str">
        <f>HYPERLINK("http://mystore1.ru/price_items/search?utf8=%E2%9C%93&amp;oem=8532AGNBL1C","8532AGNBL1C")</f>
        <v>8532AGNBL1C</v>
      </c>
      <c r="B163" s="1" t="s">
        <v>315</v>
      </c>
      <c r="C163" s="9" t="s">
        <v>311</v>
      </c>
      <c r="D163" s="14" t="s">
        <v>316</v>
      </c>
      <c r="E163" s="9" t="s">
        <v>8</v>
      </c>
    </row>
    <row r="164" spans="1:5" outlineLevel="2" x14ac:dyDescent="0.25">
      <c r="A164" s="3" t="str">
        <f>HYPERLINK("http://mystore1.ru/price_items/search?utf8=%E2%9C%93&amp;oem=8532AKMSC","8532AKMSC")</f>
        <v>8532AKMSC</v>
      </c>
      <c r="B164" s="1" t="s">
        <v>317</v>
      </c>
      <c r="C164" s="9" t="s">
        <v>311</v>
      </c>
      <c r="D164" s="14" t="s">
        <v>318</v>
      </c>
      <c r="E164" s="9" t="s">
        <v>27</v>
      </c>
    </row>
    <row r="165" spans="1:5" outlineLevel="2" x14ac:dyDescent="0.25">
      <c r="A165" s="3" t="str">
        <f>HYPERLINK("http://mystore1.ru/price_items/search?utf8=%E2%9C%93&amp;oem=8532BGNS","8532BGNS")</f>
        <v>8532BGNS</v>
      </c>
      <c r="B165" s="1" t="s">
        <v>319</v>
      </c>
      <c r="C165" s="9" t="s">
        <v>311</v>
      </c>
      <c r="D165" s="14" t="s">
        <v>320</v>
      </c>
      <c r="E165" s="9" t="s">
        <v>30</v>
      </c>
    </row>
    <row r="166" spans="1:5" outlineLevel="2" x14ac:dyDescent="0.25">
      <c r="A166" s="3" t="str">
        <f>HYPERLINK("http://mystore1.ru/price_items/search?utf8=%E2%9C%93&amp;oem=8532LGNS4FD","8532LGNS4FD")</f>
        <v>8532LGNS4FD</v>
      </c>
      <c r="B166" s="1" t="s">
        <v>321</v>
      </c>
      <c r="C166" s="9" t="s">
        <v>311</v>
      </c>
      <c r="D166" s="14" t="s">
        <v>322</v>
      </c>
      <c r="E166" s="9" t="s">
        <v>11</v>
      </c>
    </row>
    <row r="167" spans="1:5" outlineLevel="2" x14ac:dyDescent="0.25">
      <c r="A167" s="3" t="str">
        <f>HYPERLINK("http://mystore1.ru/price_items/search?utf8=%E2%9C%93&amp;oem=8532LGNS4RD","8532LGNS4RD")</f>
        <v>8532LGNS4RD</v>
      </c>
      <c r="B167" s="1" t="s">
        <v>323</v>
      </c>
      <c r="C167" s="9" t="s">
        <v>311</v>
      </c>
      <c r="D167" s="14" t="s">
        <v>324</v>
      </c>
      <c r="E167" s="9" t="s">
        <v>11</v>
      </c>
    </row>
    <row r="168" spans="1:5" outlineLevel="2" x14ac:dyDescent="0.25">
      <c r="A168" s="3" t="str">
        <f>HYPERLINK("http://mystore1.ru/price_items/search?utf8=%E2%9C%93&amp;oem=8532LGNS4RQ","8532LGNS4RQ")</f>
        <v>8532LGNS4RQ</v>
      </c>
      <c r="B168" s="1" t="s">
        <v>325</v>
      </c>
      <c r="C168" s="9" t="s">
        <v>311</v>
      </c>
      <c r="D168" s="14" t="s">
        <v>326</v>
      </c>
      <c r="E168" s="9" t="s">
        <v>11</v>
      </c>
    </row>
    <row r="169" spans="1:5" outlineLevel="2" x14ac:dyDescent="0.25">
      <c r="A169" s="3" t="str">
        <f>HYPERLINK("http://mystore1.ru/price_items/search?utf8=%E2%9C%93&amp;oem=8532RGNS4FD","8532RGNS4FD")</f>
        <v>8532RGNS4FD</v>
      </c>
      <c r="B169" s="1" t="s">
        <v>327</v>
      </c>
      <c r="C169" s="9" t="s">
        <v>311</v>
      </c>
      <c r="D169" s="14" t="s">
        <v>328</v>
      </c>
      <c r="E169" s="9" t="s">
        <v>11</v>
      </c>
    </row>
    <row r="170" spans="1:5" outlineLevel="2" x14ac:dyDescent="0.25">
      <c r="A170" s="3" t="str">
        <f>HYPERLINK("http://mystore1.ru/price_items/search?utf8=%E2%9C%93&amp;oem=8532RGNS4RD","8532RGNS4RD")</f>
        <v>8532RGNS4RD</v>
      </c>
      <c r="B170" s="1" t="s">
        <v>329</v>
      </c>
      <c r="C170" s="9" t="s">
        <v>311</v>
      </c>
      <c r="D170" s="14" t="s">
        <v>330</v>
      </c>
      <c r="E170" s="9" t="s">
        <v>11</v>
      </c>
    </row>
    <row r="171" spans="1:5" outlineLevel="2" x14ac:dyDescent="0.25">
      <c r="A171" s="3" t="str">
        <f>HYPERLINK("http://mystore1.ru/price_items/search?utf8=%E2%9C%93&amp;oem=8532RGNS4RQ","8532RGNS4RQ")</f>
        <v>8532RGNS4RQ</v>
      </c>
      <c r="B171" s="1" t="s">
        <v>331</v>
      </c>
      <c r="C171" s="9" t="s">
        <v>311</v>
      </c>
      <c r="D171" s="14" t="s">
        <v>332</v>
      </c>
      <c r="E171" s="9" t="s">
        <v>11</v>
      </c>
    </row>
    <row r="172" spans="1:5" outlineLevel="1" x14ac:dyDescent="0.25">
      <c r="A172" s="2"/>
      <c r="B172" s="6" t="s">
        <v>333</v>
      </c>
      <c r="C172" s="12"/>
      <c r="D172" s="13"/>
      <c r="E172" s="12"/>
    </row>
    <row r="173" spans="1:5" outlineLevel="2" x14ac:dyDescent="0.25">
      <c r="A173" s="3" t="str">
        <f>HYPERLINK("http://mystore1.ru/price_items/search?utf8=%E2%9C%93&amp;oem=8540AGNBL","8540AGNBL")</f>
        <v>8540AGNBL</v>
      </c>
      <c r="B173" s="1" t="s">
        <v>334</v>
      </c>
      <c r="C173" s="9" t="s">
        <v>335</v>
      </c>
      <c r="D173" s="14" t="s">
        <v>336</v>
      </c>
      <c r="E173" s="9" t="s">
        <v>8</v>
      </c>
    </row>
    <row r="174" spans="1:5" outlineLevel="2" x14ac:dyDescent="0.25">
      <c r="A174" s="3" t="str">
        <f>HYPERLINK("http://mystore1.ru/price_items/search?utf8=%E2%9C%93&amp;oem=8540AGNGN","8540AGNGN")</f>
        <v>8540AGNGN</v>
      </c>
      <c r="B174" s="1" t="s">
        <v>337</v>
      </c>
      <c r="C174" s="9" t="s">
        <v>335</v>
      </c>
      <c r="D174" s="14" t="s">
        <v>338</v>
      </c>
      <c r="E174" s="9" t="s">
        <v>8</v>
      </c>
    </row>
    <row r="175" spans="1:5" outlineLevel="2" x14ac:dyDescent="0.25">
      <c r="A175" s="3" t="str">
        <f>HYPERLINK("http://mystore1.ru/price_items/search?utf8=%E2%9C%93&amp;oem=8540AGNGNV","8540AGNGNV")</f>
        <v>8540AGNGNV</v>
      </c>
      <c r="B175" s="1" t="s">
        <v>339</v>
      </c>
      <c r="C175" s="9" t="s">
        <v>335</v>
      </c>
      <c r="D175" s="14" t="s">
        <v>340</v>
      </c>
      <c r="E175" s="9" t="s">
        <v>8</v>
      </c>
    </row>
    <row r="176" spans="1:5" outlineLevel="2" x14ac:dyDescent="0.25">
      <c r="A176" s="3" t="str">
        <f>HYPERLINK("http://mystore1.ru/price_items/search?utf8=%E2%9C%93&amp;oem=8540ASMS","8540ASMS")</f>
        <v>8540ASMS</v>
      </c>
      <c r="B176" s="1" t="s">
        <v>341</v>
      </c>
      <c r="C176" s="9" t="s">
        <v>25</v>
      </c>
      <c r="D176" s="14" t="s">
        <v>342</v>
      </c>
      <c r="E176" s="9" t="s">
        <v>27</v>
      </c>
    </row>
    <row r="177" spans="1:5" outlineLevel="2" x14ac:dyDescent="0.25">
      <c r="A177" s="3" t="str">
        <f>HYPERLINK("http://mystore1.ru/price_items/search?utf8=%E2%9C%93&amp;oem=8540BGNEZ1B","8540BGNEZ1B")</f>
        <v>8540BGNEZ1B</v>
      </c>
      <c r="B177" s="1" t="s">
        <v>343</v>
      </c>
      <c r="C177" s="9" t="s">
        <v>335</v>
      </c>
      <c r="D177" s="14" t="s">
        <v>344</v>
      </c>
      <c r="E177" s="9" t="s">
        <v>30</v>
      </c>
    </row>
    <row r="178" spans="1:5" outlineLevel="2" x14ac:dyDescent="0.25">
      <c r="A178" s="3" t="str">
        <f>HYPERLINK("http://mystore1.ru/price_items/search?utf8=%E2%9C%93&amp;oem=8540BGNSA","8540BGNSA")</f>
        <v>8540BGNSA</v>
      </c>
      <c r="B178" s="1" t="s">
        <v>345</v>
      </c>
      <c r="C178" s="9" t="s">
        <v>335</v>
      </c>
      <c r="D178" s="14" t="s">
        <v>346</v>
      </c>
      <c r="E178" s="9" t="s">
        <v>30</v>
      </c>
    </row>
    <row r="179" spans="1:5" outlineLevel="2" x14ac:dyDescent="0.25">
      <c r="A179" s="3" t="str">
        <f>HYPERLINK("http://mystore1.ru/price_items/search?utf8=%E2%9C%93&amp;oem=8540BGNSAB","8540BGNSAB")</f>
        <v>8540BGNSAB</v>
      </c>
      <c r="B179" s="1" t="s">
        <v>347</v>
      </c>
      <c r="C179" s="9" t="s">
        <v>335</v>
      </c>
      <c r="D179" s="14" t="s">
        <v>348</v>
      </c>
      <c r="E179" s="9" t="s">
        <v>30</v>
      </c>
    </row>
    <row r="180" spans="1:5" outlineLevel="2" x14ac:dyDescent="0.25">
      <c r="A180" s="3" t="str">
        <f>HYPERLINK("http://mystore1.ru/price_items/search?utf8=%E2%9C%93&amp;oem=8540BSMS","8540BSMS")</f>
        <v>8540BSMS</v>
      </c>
      <c r="B180" s="1" t="s">
        <v>349</v>
      </c>
      <c r="C180" s="9" t="s">
        <v>25</v>
      </c>
      <c r="D180" s="14" t="s">
        <v>350</v>
      </c>
      <c r="E180" s="9" t="s">
        <v>27</v>
      </c>
    </row>
    <row r="181" spans="1:5" outlineLevel="2" x14ac:dyDescent="0.25">
      <c r="A181" s="3" t="str">
        <f>HYPERLINK("http://mystore1.ru/price_items/search?utf8=%E2%9C%93&amp;oem=8540LGNS4FD","8540LGNS4FD")</f>
        <v>8540LGNS4FD</v>
      </c>
      <c r="B181" s="1" t="s">
        <v>351</v>
      </c>
      <c r="C181" s="9" t="s">
        <v>335</v>
      </c>
      <c r="D181" s="14" t="s">
        <v>352</v>
      </c>
      <c r="E181" s="9" t="s">
        <v>11</v>
      </c>
    </row>
    <row r="182" spans="1:5" outlineLevel="2" x14ac:dyDescent="0.25">
      <c r="A182" s="3" t="str">
        <f>HYPERLINK("http://mystore1.ru/price_items/search?utf8=%E2%9C%93&amp;oem=8540LGNS4FDW","8540LGNS4FDW")</f>
        <v>8540LGNS4FDW</v>
      </c>
      <c r="B182" s="1" t="s">
        <v>353</v>
      </c>
      <c r="C182" s="9" t="s">
        <v>335</v>
      </c>
      <c r="D182" s="14" t="s">
        <v>354</v>
      </c>
      <c r="E182" s="9" t="s">
        <v>11</v>
      </c>
    </row>
    <row r="183" spans="1:5" outlineLevel="2" x14ac:dyDescent="0.25">
      <c r="A183" s="3" t="str">
        <f>HYPERLINK("http://mystore1.ru/price_items/search?utf8=%E2%9C%93&amp;oem=8540LGNS4RD","8540LGNS4RD")</f>
        <v>8540LGNS4RD</v>
      </c>
      <c r="B183" s="1" t="s">
        <v>355</v>
      </c>
      <c r="C183" s="9" t="s">
        <v>335</v>
      </c>
      <c r="D183" s="14" t="s">
        <v>356</v>
      </c>
      <c r="E183" s="9" t="s">
        <v>11</v>
      </c>
    </row>
    <row r="184" spans="1:5" outlineLevel="2" x14ac:dyDescent="0.25">
      <c r="A184" s="3" t="str">
        <f>HYPERLINK("http://mystore1.ru/price_items/search?utf8=%E2%9C%93&amp;oem=8540LGNS4RDW","8540LGNS4RDW")</f>
        <v>8540LGNS4RDW</v>
      </c>
      <c r="B184" s="1" t="s">
        <v>357</v>
      </c>
      <c r="C184" s="9" t="s">
        <v>335</v>
      </c>
      <c r="D184" s="14" t="s">
        <v>358</v>
      </c>
      <c r="E184" s="9" t="s">
        <v>11</v>
      </c>
    </row>
    <row r="185" spans="1:5" outlineLevel="2" x14ac:dyDescent="0.25">
      <c r="A185" s="3" t="str">
        <f>HYPERLINK("http://mystore1.ru/price_items/search?utf8=%E2%9C%93&amp;oem=8540RGNS4FD","8540RGNS4FD")</f>
        <v>8540RGNS4FD</v>
      </c>
      <c r="B185" s="1" t="s">
        <v>359</v>
      </c>
      <c r="C185" s="9" t="s">
        <v>335</v>
      </c>
      <c r="D185" s="14" t="s">
        <v>360</v>
      </c>
      <c r="E185" s="9" t="s">
        <v>11</v>
      </c>
    </row>
    <row r="186" spans="1:5" outlineLevel="2" x14ac:dyDescent="0.25">
      <c r="A186" s="3" t="str">
        <f>HYPERLINK("http://mystore1.ru/price_items/search?utf8=%E2%9C%93&amp;oem=8540RGNS4FDW","8540RGNS4FDW")</f>
        <v>8540RGNS4FDW</v>
      </c>
      <c r="B186" s="1" t="s">
        <v>361</v>
      </c>
      <c r="C186" s="9" t="s">
        <v>335</v>
      </c>
      <c r="D186" s="14" t="s">
        <v>362</v>
      </c>
      <c r="E186" s="9" t="s">
        <v>11</v>
      </c>
    </row>
    <row r="187" spans="1:5" outlineLevel="2" x14ac:dyDescent="0.25">
      <c r="A187" s="3" t="str">
        <f>HYPERLINK("http://mystore1.ru/price_items/search?utf8=%E2%9C%93&amp;oem=8540RGNS4RD","8540RGNS4RD")</f>
        <v>8540RGNS4RD</v>
      </c>
      <c r="B187" s="1" t="s">
        <v>363</v>
      </c>
      <c r="C187" s="9" t="s">
        <v>335</v>
      </c>
      <c r="D187" s="14" t="s">
        <v>364</v>
      </c>
      <c r="E187" s="9" t="s">
        <v>11</v>
      </c>
    </row>
    <row r="188" spans="1:5" outlineLevel="2" x14ac:dyDescent="0.25">
      <c r="A188" s="3" t="str">
        <f>HYPERLINK("http://mystore1.ru/price_items/search?utf8=%E2%9C%93&amp;oem=8540RGNS4RDW","8540RGNS4RDW")</f>
        <v>8540RGNS4RDW</v>
      </c>
      <c r="B188" s="1" t="s">
        <v>365</v>
      </c>
      <c r="C188" s="9" t="s">
        <v>335</v>
      </c>
      <c r="D188" s="14" t="s">
        <v>366</v>
      </c>
      <c r="E188" s="9" t="s">
        <v>11</v>
      </c>
    </row>
    <row r="189" spans="1:5" outlineLevel="1" x14ac:dyDescent="0.25">
      <c r="A189" s="2"/>
      <c r="B189" s="6" t="s">
        <v>367</v>
      </c>
      <c r="C189" s="12"/>
      <c r="D189" s="13"/>
      <c r="E189" s="12"/>
    </row>
    <row r="190" spans="1:5" outlineLevel="2" x14ac:dyDescent="0.25">
      <c r="A190" s="3" t="str">
        <f>HYPERLINK("http://mystore1.ru/price_items/search?utf8=%E2%9C%93&amp;oem=8604AGSGYMVWZ1C","8604AGSGYMVWZ1C")</f>
        <v>8604AGSGYMVWZ1C</v>
      </c>
      <c r="B190" s="1" t="s">
        <v>368</v>
      </c>
      <c r="C190" s="9" t="s">
        <v>369</v>
      </c>
      <c r="D190" s="14" t="s">
        <v>370</v>
      </c>
      <c r="E190" s="9" t="s">
        <v>8</v>
      </c>
    </row>
    <row r="191" spans="1:5" outlineLevel="2" x14ac:dyDescent="0.25">
      <c r="A191" s="3" t="str">
        <f>HYPERLINK("http://mystore1.ru/price_items/search?utf8=%E2%9C%93&amp;oem=8604AGSGYVWZ","8604AGSGYVWZ")</f>
        <v>8604AGSGYVWZ</v>
      </c>
      <c r="B191" s="1" t="s">
        <v>371</v>
      </c>
      <c r="C191" s="9" t="s">
        <v>369</v>
      </c>
      <c r="D191" s="14" t="s">
        <v>372</v>
      </c>
      <c r="E191" s="9" t="s">
        <v>8</v>
      </c>
    </row>
    <row r="192" spans="1:5" outlineLevel="2" x14ac:dyDescent="0.25">
      <c r="A192" s="3" t="str">
        <f>HYPERLINK("http://mystore1.ru/price_items/search?utf8=%E2%9C%93&amp;oem=8604AGSVWZ","8604AGSVWZ")</f>
        <v>8604AGSVWZ</v>
      </c>
      <c r="B192" s="1" t="s">
        <v>373</v>
      </c>
      <c r="C192" s="9" t="s">
        <v>369</v>
      </c>
      <c r="D192" s="14" t="s">
        <v>374</v>
      </c>
      <c r="E192" s="9" t="s">
        <v>8</v>
      </c>
    </row>
    <row r="193" spans="1:5" outlineLevel="1" x14ac:dyDescent="0.25">
      <c r="A193" s="2"/>
      <c r="B193" s="6" t="s">
        <v>375</v>
      </c>
      <c r="C193" s="12"/>
      <c r="D193" s="13"/>
      <c r="E193" s="12"/>
    </row>
    <row r="194" spans="1:5" outlineLevel="2" x14ac:dyDescent="0.25">
      <c r="A194" s="3" t="str">
        <f>HYPERLINK("http://mystore1.ru/price_items/search?utf8=%E2%9C%93&amp;oem=8562AGSGYZ","8562AGSGYZ")</f>
        <v>8562AGSGYZ</v>
      </c>
      <c r="B194" s="1" t="s">
        <v>376</v>
      </c>
      <c r="C194" s="9" t="s">
        <v>377</v>
      </c>
      <c r="D194" s="14" t="s">
        <v>378</v>
      </c>
      <c r="E194" s="9" t="s">
        <v>8</v>
      </c>
    </row>
    <row r="195" spans="1:5" outlineLevel="2" x14ac:dyDescent="0.25">
      <c r="A195" s="3" t="str">
        <f>HYPERLINK("http://mystore1.ru/price_items/search?utf8=%E2%9C%93&amp;oem=8562LGSH5FD","8562LGSH5FD")</f>
        <v>8562LGSH5FD</v>
      </c>
      <c r="B195" s="1" t="s">
        <v>379</v>
      </c>
      <c r="C195" s="9" t="s">
        <v>377</v>
      </c>
      <c r="D195" s="14" t="s">
        <v>380</v>
      </c>
      <c r="E195" s="9" t="s">
        <v>11</v>
      </c>
    </row>
    <row r="196" spans="1:5" outlineLevel="2" x14ac:dyDescent="0.25">
      <c r="A196" s="3" t="str">
        <f>HYPERLINK("http://mystore1.ru/price_items/search?utf8=%E2%9C%93&amp;oem=8562RGSH5FD","8562RGSH5FD")</f>
        <v>8562RGSH5FD</v>
      </c>
      <c r="B196" s="1" t="s">
        <v>381</v>
      </c>
      <c r="C196" s="9" t="s">
        <v>377</v>
      </c>
      <c r="D196" s="14" t="s">
        <v>382</v>
      </c>
      <c r="E196" s="9" t="s">
        <v>11</v>
      </c>
    </row>
    <row r="197" spans="1:5" outlineLevel="1" x14ac:dyDescent="0.25">
      <c r="A197" s="2"/>
      <c r="B197" s="6" t="s">
        <v>383</v>
      </c>
      <c r="C197" s="12"/>
      <c r="D197" s="13"/>
      <c r="E197" s="12"/>
    </row>
    <row r="198" spans="1:5" outlineLevel="2" x14ac:dyDescent="0.25">
      <c r="A198" s="3" t="str">
        <f>HYPERLINK("http://mystore1.ru/price_items/search?utf8=%E2%9C%93&amp;oem=8580AGSGYMVW1B","8580AGSGYMVW1B")</f>
        <v>8580AGSGYMVW1B</v>
      </c>
      <c r="B198" s="1" t="s">
        <v>384</v>
      </c>
      <c r="C198" s="9" t="s">
        <v>385</v>
      </c>
      <c r="D198" s="14" t="s">
        <v>386</v>
      </c>
      <c r="E198" s="9" t="s">
        <v>8</v>
      </c>
    </row>
    <row r="199" spans="1:5" outlineLevel="2" x14ac:dyDescent="0.25">
      <c r="A199" s="3" t="str">
        <f>HYPERLINK("http://mystore1.ru/price_items/search?utf8=%E2%9C%93&amp;oem=8580AGSGYVW","8580AGSGYVW")</f>
        <v>8580AGSGYVW</v>
      </c>
      <c r="B199" s="1" t="s">
        <v>387</v>
      </c>
      <c r="C199" s="9" t="s">
        <v>385</v>
      </c>
      <c r="D199" s="14" t="s">
        <v>388</v>
      </c>
      <c r="E199" s="9" t="s">
        <v>8</v>
      </c>
    </row>
    <row r="200" spans="1:5" outlineLevel="2" x14ac:dyDescent="0.25">
      <c r="A200" s="3" t="str">
        <f>HYPERLINK("http://mystore1.ru/price_items/search?utf8=%E2%9C%93&amp;oem=8580AGSGYW","8580AGSGYW")</f>
        <v>8580AGSGYW</v>
      </c>
      <c r="B200" s="1" t="s">
        <v>389</v>
      </c>
      <c r="C200" s="9" t="s">
        <v>385</v>
      </c>
      <c r="D200" s="14" t="s">
        <v>390</v>
      </c>
      <c r="E200" s="9" t="s">
        <v>8</v>
      </c>
    </row>
    <row r="201" spans="1:5" outlineLevel="2" x14ac:dyDescent="0.25">
      <c r="A201" s="3" t="str">
        <f>HYPERLINK("http://mystore1.ru/price_items/search?utf8=%E2%9C%93&amp;oem=8580AGSVW","8580AGSVW")</f>
        <v>8580AGSVW</v>
      </c>
      <c r="B201" s="1" t="s">
        <v>391</v>
      </c>
      <c r="C201" s="9" t="s">
        <v>385</v>
      </c>
      <c r="D201" s="14" t="s">
        <v>392</v>
      </c>
      <c r="E201" s="9" t="s">
        <v>8</v>
      </c>
    </row>
    <row r="202" spans="1:5" outlineLevel="2" x14ac:dyDescent="0.25">
      <c r="A202" s="3" t="str">
        <f>HYPERLINK("http://mystore1.ru/price_items/search?utf8=%E2%9C%93&amp;oem=8580BGSEAGJXW","8580BGSEAGJXW")</f>
        <v>8580BGSEAGJXW</v>
      </c>
      <c r="B202" s="1" t="s">
        <v>393</v>
      </c>
      <c r="C202" s="9" t="s">
        <v>394</v>
      </c>
      <c r="D202" s="14" t="s">
        <v>395</v>
      </c>
      <c r="E202" s="9" t="s">
        <v>30</v>
      </c>
    </row>
    <row r="203" spans="1:5" outlineLevel="2" x14ac:dyDescent="0.25">
      <c r="A203" s="3" t="str">
        <f>HYPERLINK("http://mystore1.ru/price_items/search?utf8=%E2%9C%93&amp;oem=8580BGSHAGZ","8580BGSHAGZ")</f>
        <v>8580BGSHAGZ</v>
      </c>
      <c r="B203" s="1" t="s">
        <v>396</v>
      </c>
      <c r="C203" s="9" t="s">
        <v>385</v>
      </c>
      <c r="D203" s="14" t="s">
        <v>397</v>
      </c>
      <c r="E203" s="9" t="s">
        <v>30</v>
      </c>
    </row>
    <row r="204" spans="1:5" outlineLevel="2" x14ac:dyDescent="0.25">
      <c r="A204" s="3" t="str">
        <f>HYPERLINK("http://mystore1.ru/price_items/search?utf8=%E2%9C%93&amp;oem=8580LGSE5FD","8580LGSE5FD")</f>
        <v>8580LGSE5FD</v>
      </c>
      <c r="B204" s="1" t="s">
        <v>398</v>
      </c>
      <c r="C204" s="9" t="s">
        <v>394</v>
      </c>
      <c r="D204" s="14" t="s">
        <v>399</v>
      </c>
      <c r="E204" s="9" t="s">
        <v>11</v>
      </c>
    </row>
    <row r="205" spans="1:5" outlineLevel="2" x14ac:dyDescent="0.25">
      <c r="A205" s="3" t="str">
        <f>HYPERLINK("http://mystore1.ru/price_items/search?utf8=%E2%9C%93&amp;oem=8580LGSE5RD","8580LGSE5RD")</f>
        <v>8580LGSE5RD</v>
      </c>
      <c r="B205" s="1" t="s">
        <v>400</v>
      </c>
      <c r="C205" s="9" t="s">
        <v>394</v>
      </c>
      <c r="D205" s="14" t="s">
        <v>401</v>
      </c>
      <c r="E205" s="9" t="s">
        <v>11</v>
      </c>
    </row>
    <row r="206" spans="1:5" outlineLevel="2" x14ac:dyDescent="0.25">
      <c r="A206" s="3" t="str">
        <f>HYPERLINK("http://mystore1.ru/price_items/search?utf8=%E2%9C%93&amp;oem=8580LGSE5RQZ1M","8580LGSE5RQZ1M")</f>
        <v>8580LGSE5RQZ1M</v>
      </c>
      <c r="B206" s="1" t="s">
        <v>402</v>
      </c>
      <c r="C206" s="9" t="s">
        <v>394</v>
      </c>
      <c r="D206" s="14" t="s">
        <v>403</v>
      </c>
      <c r="E206" s="9" t="s">
        <v>11</v>
      </c>
    </row>
    <row r="207" spans="1:5" outlineLevel="2" x14ac:dyDescent="0.25">
      <c r="A207" s="3" t="str">
        <f>HYPERLINK("http://mystore1.ru/price_items/search?utf8=%E2%9C%93&amp;oem=8580LGSH3FD","8580LGSH3FD")</f>
        <v>8580LGSH3FD</v>
      </c>
      <c r="B207" s="1" t="s">
        <v>404</v>
      </c>
      <c r="C207" s="9" t="s">
        <v>385</v>
      </c>
      <c r="D207" s="14" t="s">
        <v>405</v>
      </c>
      <c r="E207" s="9" t="s">
        <v>11</v>
      </c>
    </row>
    <row r="208" spans="1:5" outlineLevel="2" x14ac:dyDescent="0.25">
      <c r="A208" s="3" t="str">
        <f>HYPERLINK("http://mystore1.ru/price_items/search?utf8=%E2%9C%93&amp;oem=8580LGSH3RQZ","8580LGSH3RQZ")</f>
        <v>8580LGSH3RQZ</v>
      </c>
      <c r="B208" s="1" t="s">
        <v>406</v>
      </c>
      <c r="C208" s="9" t="s">
        <v>385</v>
      </c>
      <c r="D208" s="14" t="s">
        <v>407</v>
      </c>
      <c r="E208" s="9" t="s">
        <v>11</v>
      </c>
    </row>
    <row r="209" spans="1:5" outlineLevel="2" x14ac:dyDescent="0.25">
      <c r="A209" s="3" t="str">
        <f>HYPERLINK("http://mystore1.ru/price_items/search?utf8=%E2%9C%93&amp;oem=8580RGSE5FD","8580RGSE5FD")</f>
        <v>8580RGSE5FD</v>
      </c>
      <c r="B209" s="1" t="s">
        <v>408</v>
      </c>
      <c r="C209" s="9" t="s">
        <v>394</v>
      </c>
      <c r="D209" s="14" t="s">
        <v>409</v>
      </c>
      <c r="E209" s="9" t="s">
        <v>11</v>
      </c>
    </row>
    <row r="210" spans="1:5" outlineLevel="2" x14ac:dyDescent="0.25">
      <c r="A210" s="3" t="str">
        <f>HYPERLINK("http://mystore1.ru/price_items/search?utf8=%E2%9C%93&amp;oem=8580RGSE5RD","8580RGSE5RD")</f>
        <v>8580RGSE5RD</v>
      </c>
      <c r="B210" s="1" t="s">
        <v>410</v>
      </c>
      <c r="C210" s="9" t="s">
        <v>394</v>
      </c>
      <c r="D210" s="14" t="s">
        <v>411</v>
      </c>
      <c r="E210" s="9" t="s">
        <v>11</v>
      </c>
    </row>
    <row r="211" spans="1:5" outlineLevel="2" x14ac:dyDescent="0.25">
      <c r="A211" s="3" t="str">
        <f>HYPERLINK("http://mystore1.ru/price_items/search?utf8=%E2%9C%93&amp;oem=8580RGSE5RQZ1M","8580RGSE5RQZ1M")</f>
        <v>8580RGSE5RQZ1M</v>
      </c>
      <c r="B211" s="1" t="s">
        <v>412</v>
      </c>
      <c r="C211" s="9" t="s">
        <v>394</v>
      </c>
      <c r="D211" s="14" t="s">
        <v>413</v>
      </c>
      <c r="E211" s="9" t="s">
        <v>11</v>
      </c>
    </row>
    <row r="212" spans="1:5" outlineLevel="2" x14ac:dyDescent="0.25">
      <c r="A212" s="3" t="str">
        <f>HYPERLINK("http://mystore1.ru/price_items/search?utf8=%E2%9C%93&amp;oem=8580RGSH3FD","8580RGSH3FD")</f>
        <v>8580RGSH3FD</v>
      </c>
      <c r="B212" s="1" t="s">
        <v>414</v>
      </c>
      <c r="C212" s="9" t="s">
        <v>385</v>
      </c>
      <c r="D212" s="14" t="s">
        <v>415</v>
      </c>
      <c r="E212" s="9" t="s">
        <v>11</v>
      </c>
    </row>
    <row r="213" spans="1:5" outlineLevel="2" x14ac:dyDescent="0.25">
      <c r="A213" s="3" t="str">
        <f>HYPERLINK("http://mystore1.ru/price_items/search?utf8=%E2%9C%93&amp;oem=8580RGSH3RQZ","8580RGSH3RQZ")</f>
        <v>8580RGSH3RQZ</v>
      </c>
      <c r="B213" s="1" t="s">
        <v>416</v>
      </c>
      <c r="C213" s="9" t="s">
        <v>385</v>
      </c>
      <c r="D213" s="14" t="s">
        <v>417</v>
      </c>
      <c r="E213" s="9" t="s">
        <v>11</v>
      </c>
    </row>
    <row r="214" spans="1:5" outlineLevel="1" x14ac:dyDescent="0.25">
      <c r="A214" s="2"/>
      <c r="B214" s="6" t="s">
        <v>418</v>
      </c>
      <c r="C214" s="12"/>
      <c r="D214" s="13"/>
      <c r="E214" s="12"/>
    </row>
    <row r="215" spans="1:5" outlineLevel="2" x14ac:dyDescent="0.25">
      <c r="A215" s="3" t="str">
        <f>HYPERLINK("http://mystore1.ru/price_items/search?utf8=%E2%9C%93&amp;oem=8554AGNGNVW","8554AGNGNVW")</f>
        <v>8554AGNGNVW</v>
      </c>
      <c r="B215" s="1" t="s">
        <v>419</v>
      </c>
      <c r="C215" s="9" t="s">
        <v>420</v>
      </c>
      <c r="D215" s="14" t="s">
        <v>421</v>
      </c>
      <c r="E215" s="9" t="s">
        <v>8</v>
      </c>
    </row>
    <row r="216" spans="1:5" outlineLevel="2" x14ac:dyDescent="0.25">
      <c r="A216" s="3" t="str">
        <f>HYPERLINK("http://mystore1.ru/price_items/search?utf8=%E2%9C%93&amp;oem=8554AGNGNW","8554AGNGNW")</f>
        <v>8554AGNGNW</v>
      </c>
      <c r="B216" s="1" t="s">
        <v>422</v>
      </c>
      <c r="C216" s="9" t="s">
        <v>420</v>
      </c>
      <c r="D216" s="14" t="s">
        <v>423</v>
      </c>
      <c r="E216" s="9" t="s">
        <v>8</v>
      </c>
    </row>
    <row r="217" spans="1:5" outlineLevel="2" x14ac:dyDescent="0.25">
      <c r="A217" s="3" t="str">
        <f>HYPERLINK("http://mystore1.ru/price_items/search?utf8=%E2%9C%93&amp;oem=8554AGNGYVW","8554AGNGYVW")</f>
        <v>8554AGNGYVW</v>
      </c>
      <c r="B217" s="1" t="s">
        <v>424</v>
      </c>
      <c r="C217" s="9" t="s">
        <v>420</v>
      </c>
      <c r="D217" s="14" t="s">
        <v>425</v>
      </c>
      <c r="E217" s="9" t="s">
        <v>8</v>
      </c>
    </row>
    <row r="218" spans="1:5" outlineLevel="2" x14ac:dyDescent="0.25">
      <c r="A218" s="3" t="str">
        <f>HYPERLINK("http://mystore1.ru/price_items/search?utf8=%E2%9C%93&amp;oem=8554AGNGYW","8554AGNGYW")</f>
        <v>8554AGNGYW</v>
      </c>
      <c r="B218" s="1" t="s">
        <v>426</v>
      </c>
      <c r="C218" s="9" t="s">
        <v>420</v>
      </c>
      <c r="D218" s="14" t="s">
        <v>427</v>
      </c>
      <c r="E218" s="9" t="s">
        <v>8</v>
      </c>
    </row>
    <row r="219" spans="1:5" outlineLevel="2" x14ac:dyDescent="0.25">
      <c r="A219" s="3" t="str">
        <f>HYPERLINK("http://mystore1.ru/price_items/search?utf8=%E2%9C%93&amp;oem=8554ASMHB","8554ASMHB")</f>
        <v>8554ASMHB</v>
      </c>
      <c r="B219" s="1" t="s">
        <v>428</v>
      </c>
      <c r="C219" s="9" t="s">
        <v>25</v>
      </c>
      <c r="D219" s="14" t="s">
        <v>429</v>
      </c>
      <c r="E219" s="9" t="s">
        <v>27</v>
      </c>
    </row>
    <row r="220" spans="1:5" outlineLevel="2" x14ac:dyDescent="0.25">
      <c r="A220" s="3" t="str">
        <f>HYPERLINK("http://mystore1.ru/price_items/search?utf8=%E2%9C%93&amp;oem=8554ASMHT","8554ASMHT")</f>
        <v>8554ASMHT</v>
      </c>
      <c r="B220" s="1" t="s">
        <v>430</v>
      </c>
      <c r="C220" s="9" t="s">
        <v>25</v>
      </c>
      <c r="D220" s="14" t="s">
        <v>431</v>
      </c>
      <c r="E220" s="9" t="s">
        <v>27</v>
      </c>
    </row>
    <row r="221" spans="1:5" outlineLevel="2" x14ac:dyDescent="0.25">
      <c r="A221" s="3" t="str">
        <f>HYPERLINK("http://mystore1.ru/price_items/search?utf8=%E2%9C%93&amp;oem=8554BGNHBZ","8554BGNHBZ")</f>
        <v>8554BGNHBZ</v>
      </c>
      <c r="B221" s="1" t="s">
        <v>432</v>
      </c>
      <c r="C221" s="9" t="s">
        <v>420</v>
      </c>
      <c r="D221" s="14" t="s">
        <v>433</v>
      </c>
      <c r="E221" s="9" t="s">
        <v>30</v>
      </c>
    </row>
    <row r="222" spans="1:5" outlineLevel="2" x14ac:dyDescent="0.25">
      <c r="A222" s="3" t="str">
        <f>HYPERLINK("http://mystore1.ru/price_items/search?utf8=%E2%9C%93&amp;oem=8554LGNH3FD","8554LGNH3FD")</f>
        <v>8554LGNH3FD</v>
      </c>
      <c r="B222" s="1" t="s">
        <v>434</v>
      </c>
      <c r="C222" s="9" t="s">
        <v>420</v>
      </c>
      <c r="D222" s="14" t="s">
        <v>435</v>
      </c>
      <c r="E222" s="9" t="s">
        <v>11</v>
      </c>
    </row>
    <row r="223" spans="1:5" outlineLevel="2" x14ac:dyDescent="0.25">
      <c r="A223" s="3" t="str">
        <f>HYPERLINK("http://mystore1.ru/price_items/search?utf8=%E2%9C%93&amp;oem=8554LGNH3RQOW","8554LGNH3RQOW")</f>
        <v>8554LGNH3RQOW</v>
      </c>
      <c r="B223" s="1" t="s">
        <v>436</v>
      </c>
      <c r="C223" s="9" t="s">
        <v>420</v>
      </c>
      <c r="D223" s="14" t="s">
        <v>437</v>
      </c>
      <c r="E223" s="9" t="s">
        <v>11</v>
      </c>
    </row>
    <row r="224" spans="1:5" outlineLevel="2" x14ac:dyDescent="0.25">
      <c r="A224" s="3" t="str">
        <f>HYPERLINK("http://mystore1.ru/price_items/search?utf8=%E2%9C%93&amp;oem=8554LGNH5FD","8554LGNH5FD")</f>
        <v>8554LGNH5FD</v>
      </c>
      <c r="B224" s="1" t="s">
        <v>438</v>
      </c>
      <c r="C224" s="9" t="s">
        <v>439</v>
      </c>
      <c r="D224" s="14" t="s">
        <v>440</v>
      </c>
      <c r="E224" s="9" t="s">
        <v>11</v>
      </c>
    </row>
    <row r="225" spans="1:5" outlineLevel="2" x14ac:dyDescent="0.25">
      <c r="A225" s="3" t="str">
        <f>HYPERLINK("http://mystore1.ru/price_items/search?utf8=%E2%9C%93&amp;oem=8554RGNH3FD","8554RGNH3FD")</f>
        <v>8554RGNH3FD</v>
      </c>
      <c r="B225" s="1" t="s">
        <v>441</v>
      </c>
      <c r="C225" s="9" t="s">
        <v>420</v>
      </c>
      <c r="D225" s="14" t="s">
        <v>442</v>
      </c>
      <c r="E225" s="9" t="s">
        <v>11</v>
      </c>
    </row>
    <row r="226" spans="1:5" outlineLevel="2" x14ac:dyDescent="0.25">
      <c r="A226" s="3" t="str">
        <f>HYPERLINK("http://mystore1.ru/price_items/search?utf8=%E2%9C%93&amp;oem=8554RGNH3RQOW","8554RGNH3RQOW")</f>
        <v>8554RGNH3RQOW</v>
      </c>
      <c r="B226" s="1" t="s">
        <v>443</v>
      </c>
      <c r="C226" s="9" t="s">
        <v>420</v>
      </c>
      <c r="D226" s="14" t="s">
        <v>444</v>
      </c>
      <c r="E226" s="9" t="s">
        <v>11</v>
      </c>
    </row>
    <row r="227" spans="1:5" outlineLevel="2" x14ac:dyDescent="0.25">
      <c r="A227" s="3" t="str">
        <f>HYPERLINK("http://mystore1.ru/price_items/search?utf8=%E2%9C%93&amp;oem=8554RGNH5FD","8554RGNH5FD")</f>
        <v>8554RGNH5FD</v>
      </c>
      <c r="B227" s="1" t="s">
        <v>445</v>
      </c>
      <c r="C227" s="9" t="s">
        <v>439</v>
      </c>
      <c r="D227" s="14" t="s">
        <v>446</v>
      </c>
      <c r="E227" s="9" t="s">
        <v>11</v>
      </c>
    </row>
    <row r="228" spans="1:5" outlineLevel="1" x14ac:dyDescent="0.25">
      <c r="A228" s="2"/>
      <c r="B228" s="6" t="s">
        <v>447</v>
      </c>
      <c r="C228" s="12"/>
      <c r="D228" s="13"/>
      <c r="E228" s="12"/>
    </row>
    <row r="229" spans="1:5" outlineLevel="2" x14ac:dyDescent="0.25">
      <c r="A229" s="3" t="str">
        <f>HYPERLINK("http://mystore1.ru/price_items/search?utf8=%E2%9C%93&amp;oem=8599LGST2FD","8599LGST2FD")</f>
        <v>8599LGST2FD</v>
      </c>
      <c r="B229" s="1" t="s">
        <v>448</v>
      </c>
      <c r="C229" s="9" t="s">
        <v>449</v>
      </c>
      <c r="D229" s="14" t="s">
        <v>450</v>
      </c>
      <c r="E229" s="9" t="s">
        <v>11</v>
      </c>
    </row>
    <row r="230" spans="1:5" outlineLevel="2" x14ac:dyDescent="0.25">
      <c r="A230" s="3" t="str">
        <f>HYPERLINK("http://mystore1.ru/price_items/search?utf8=%E2%9C%93&amp;oem=8599RGST2FD","8599RGST2FD")</f>
        <v>8599RGST2FD</v>
      </c>
      <c r="B230" s="1" t="s">
        <v>451</v>
      </c>
      <c r="C230" s="9" t="s">
        <v>449</v>
      </c>
      <c r="D230" s="14" t="s">
        <v>452</v>
      </c>
      <c r="E230" s="9" t="s">
        <v>11</v>
      </c>
    </row>
    <row r="231" spans="1:5" outlineLevel="1" x14ac:dyDescent="0.25">
      <c r="A231" s="2"/>
      <c r="B231" s="6" t="s">
        <v>453</v>
      </c>
      <c r="C231" s="12"/>
      <c r="D231" s="13"/>
      <c r="E231" s="12"/>
    </row>
    <row r="232" spans="1:5" outlineLevel="2" x14ac:dyDescent="0.25">
      <c r="A232" s="3" t="str">
        <f>HYPERLINK("http://mystore1.ru/price_items/search?utf8=%E2%9C%93&amp;oem=8572AGAGYMVW1B","8572AGAGYMVW1B")</f>
        <v>8572AGAGYMVW1B</v>
      </c>
      <c r="B232" s="1" t="s">
        <v>454</v>
      </c>
      <c r="C232" s="9" t="s">
        <v>377</v>
      </c>
      <c r="D232" s="14" t="s">
        <v>455</v>
      </c>
      <c r="E232" s="9" t="s">
        <v>8</v>
      </c>
    </row>
    <row r="233" spans="1:5" outlineLevel="2" x14ac:dyDescent="0.25">
      <c r="A233" s="3" t="str">
        <f>HYPERLINK("http://mystore1.ru/price_items/search?utf8=%E2%9C%93&amp;oem=8572AGSGYMVW1B","8572AGSGYMVW1B")</f>
        <v>8572AGSGYMVW1B</v>
      </c>
      <c r="B233" s="1" t="s">
        <v>456</v>
      </c>
      <c r="C233" s="9" t="s">
        <v>457</v>
      </c>
      <c r="D233" s="14" t="s">
        <v>458</v>
      </c>
      <c r="E233" s="9" t="s">
        <v>8</v>
      </c>
    </row>
    <row r="234" spans="1:5" outlineLevel="2" x14ac:dyDescent="0.25">
      <c r="A234" s="3" t="str">
        <f>HYPERLINK("http://mystore1.ru/price_items/search?utf8=%E2%9C%93&amp;oem=8572AGSGYVW","8572AGSGYVW")</f>
        <v>8572AGSGYVW</v>
      </c>
      <c r="B234" s="1" t="s">
        <v>459</v>
      </c>
      <c r="C234" s="9" t="s">
        <v>457</v>
      </c>
      <c r="D234" s="14" t="s">
        <v>460</v>
      </c>
      <c r="E234" s="9" t="s">
        <v>8</v>
      </c>
    </row>
    <row r="235" spans="1:5" outlineLevel="2" x14ac:dyDescent="0.25">
      <c r="A235" s="3" t="str">
        <f>HYPERLINK("http://mystore1.ru/price_items/search?utf8=%E2%9C%93&amp;oem=8572AGSGYW","8572AGSGYW")</f>
        <v>8572AGSGYW</v>
      </c>
      <c r="B235" s="1" t="s">
        <v>461</v>
      </c>
      <c r="C235" s="9" t="s">
        <v>457</v>
      </c>
      <c r="D235" s="14" t="s">
        <v>462</v>
      </c>
      <c r="E235" s="9" t="s">
        <v>8</v>
      </c>
    </row>
    <row r="236" spans="1:5" outlineLevel="2" x14ac:dyDescent="0.25">
      <c r="A236" s="3" t="str">
        <f>HYPERLINK("http://mystore1.ru/price_items/search?utf8=%E2%9C%93&amp;oem=8572AGSGYVW1B","8572AGSGYVW1B")</f>
        <v>8572AGSGYVW1B</v>
      </c>
      <c r="B236" s="1" t="s">
        <v>463</v>
      </c>
      <c r="C236" s="9" t="s">
        <v>464</v>
      </c>
      <c r="D236" s="14" t="s">
        <v>465</v>
      </c>
      <c r="E236" s="9" t="s">
        <v>8</v>
      </c>
    </row>
    <row r="237" spans="1:5" outlineLevel="2" x14ac:dyDescent="0.25">
      <c r="A237" s="3" t="str">
        <f>HYPERLINK("http://mystore1.ru/price_items/search?utf8=%E2%9C%93&amp;oem=8572AGSVW1B","8572AGSVW1B")</f>
        <v>8572AGSVW1B</v>
      </c>
      <c r="B237" s="1" t="s">
        <v>466</v>
      </c>
      <c r="C237" s="9" t="s">
        <v>464</v>
      </c>
      <c r="D237" s="14" t="s">
        <v>467</v>
      </c>
      <c r="E237" s="9" t="s">
        <v>8</v>
      </c>
    </row>
    <row r="238" spans="1:5" outlineLevel="2" x14ac:dyDescent="0.25">
      <c r="A238" s="3" t="str">
        <f>HYPERLINK("http://mystore1.ru/price_items/search?utf8=%E2%9C%93&amp;oem=8572AKMSS","8572AKMSS")</f>
        <v>8572AKMSS</v>
      </c>
      <c r="B238" s="1" t="s">
        <v>468</v>
      </c>
      <c r="C238" s="9" t="s">
        <v>25</v>
      </c>
      <c r="D238" s="14" t="s">
        <v>469</v>
      </c>
      <c r="E238" s="9" t="s">
        <v>27</v>
      </c>
    </row>
    <row r="239" spans="1:5" outlineLevel="2" x14ac:dyDescent="0.25">
      <c r="A239" s="3" t="str">
        <f>HYPERLINK("http://mystore1.ru/price_items/search?utf8=%E2%9C%93&amp;oem=8572BGSEAZ","8572BGSEAZ")</f>
        <v>8572BGSEAZ</v>
      </c>
      <c r="B239" s="1" t="s">
        <v>470</v>
      </c>
      <c r="C239" s="9" t="s">
        <v>457</v>
      </c>
      <c r="D239" s="14" t="s">
        <v>471</v>
      </c>
      <c r="E239" s="9" t="s">
        <v>30</v>
      </c>
    </row>
    <row r="240" spans="1:5" outlineLevel="2" x14ac:dyDescent="0.25">
      <c r="A240" s="3" t="str">
        <f>HYPERLINK("http://mystore1.ru/price_items/search?utf8=%E2%9C%93&amp;oem=8572LGSS4FDW","8572LGSS4FDW")</f>
        <v>8572LGSS4FDW</v>
      </c>
      <c r="B240" s="1" t="s">
        <v>472</v>
      </c>
      <c r="C240" s="9" t="s">
        <v>457</v>
      </c>
      <c r="D240" s="14" t="s">
        <v>473</v>
      </c>
      <c r="E240" s="9" t="s">
        <v>11</v>
      </c>
    </row>
    <row r="241" spans="1:5" outlineLevel="2" x14ac:dyDescent="0.25">
      <c r="A241" s="3" t="str">
        <f>HYPERLINK("http://mystore1.ru/price_items/search?utf8=%E2%9C%93&amp;oem=8572LGSS4RDW","8572LGSS4RDW")</f>
        <v>8572LGSS4RDW</v>
      </c>
      <c r="B241" s="1" t="s">
        <v>474</v>
      </c>
      <c r="C241" s="9" t="s">
        <v>457</v>
      </c>
      <c r="D241" s="14" t="s">
        <v>475</v>
      </c>
      <c r="E241" s="9" t="s">
        <v>11</v>
      </c>
    </row>
    <row r="242" spans="1:5" outlineLevel="2" x14ac:dyDescent="0.25">
      <c r="A242" s="3" t="str">
        <f>HYPERLINK("http://mystore1.ru/price_items/search?utf8=%E2%9C%93&amp;oem=8572RGSS4FDW","8572RGSS4FDW")</f>
        <v>8572RGSS4FDW</v>
      </c>
      <c r="B242" s="1" t="s">
        <v>476</v>
      </c>
      <c r="C242" s="9" t="s">
        <v>457</v>
      </c>
      <c r="D242" s="14" t="s">
        <v>477</v>
      </c>
      <c r="E242" s="9" t="s">
        <v>11</v>
      </c>
    </row>
    <row r="243" spans="1:5" outlineLevel="2" x14ac:dyDescent="0.25">
      <c r="A243" s="3" t="str">
        <f>HYPERLINK("http://mystore1.ru/price_items/search?utf8=%E2%9C%93&amp;oem=8572RGSS4RDW","8572RGSS4RDW")</f>
        <v>8572RGSS4RDW</v>
      </c>
      <c r="B243" s="1" t="s">
        <v>478</v>
      </c>
      <c r="C243" s="9" t="s">
        <v>457</v>
      </c>
      <c r="D243" s="14" t="s">
        <v>479</v>
      </c>
      <c r="E243" s="9" t="s">
        <v>11</v>
      </c>
    </row>
    <row r="244" spans="1:5" outlineLevel="1" x14ac:dyDescent="0.25">
      <c r="A244" s="2"/>
      <c r="B244" s="6" t="s">
        <v>480</v>
      </c>
      <c r="C244" s="12"/>
      <c r="D244" s="13"/>
      <c r="E244" s="12"/>
    </row>
    <row r="245" spans="1:5" outlineLevel="2" x14ac:dyDescent="0.25">
      <c r="A245" s="3" t="str">
        <f>HYPERLINK("http://mystore1.ru/price_items/search?utf8=%E2%9C%93&amp;oem=8547AGNBL","8547AGNBL")</f>
        <v>8547AGNBL</v>
      </c>
      <c r="B245" s="1" t="s">
        <v>481</v>
      </c>
      <c r="C245" s="9" t="s">
        <v>47</v>
      </c>
      <c r="D245" s="14" t="s">
        <v>482</v>
      </c>
      <c r="E245" s="9" t="s">
        <v>8</v>
      </c>
    </row>
    <row r="246" spans="1:5" outlineLevel="2" x14ac:dyDescent="0.25">
      <c r="A246" s="3" t="str">
        <f>HYPERLINK("http://mystore1.ru/price_items/search?utf8=%E2%9C%93&amp;oem=8547AGNBLV","8547AGNBLV")</f>
        <v>8547AGNBLV</v>
      </c>
      <c r="B246" s="1" t="s">
        <v>483</v>
      </c>
      <c r="C246" s="9" t="s">
        <v>47</v>
      </c>
      <c r="D246" s="14" t="s">
        <v>484</v>
      </c>
      <c r="E246" s="9" t="s">
        <v>8</v>
      </c>
    </row>
    <row r="247" spans="1:5" outlineLevel="2" x14ac:dyDescent="0.25">
      <c r="A247" s="3" t="str">
        <f>HYPERLINK("http://mystore1.ru/price_items/search?utf8=%E2%9C%93&amp;oem=8547AGNGN","8547AGNGN")</f>
        <v>8547AGNGN</v>
      </c>
      <c r="B247" s="1" t="s">
        <v>485</v>
      </c>
      <c r="C247" s="9" t="s">
        <v>47</v>
      </c>
      <c r="D247" s="14" t="s">
        <v>486</v>
      </c>
      <c r="E247" s="9" t="s">
        <v>8</v>
      </c>
    </row>
    <row r="248" spans="1:5" outlineLevel="2" x14ac:dyDescent="0.25">
      <c r="A248" s="3" t="str">
        <f>HYPERLINK("http://mystore1.ru/price_items/search?utf8=%E2%9C%93&amp;oem=8547AGNGNV1V","8547AGNGNV1V")</f>
        <v>8547AGNGNV1V</v>
      </c>
      <c r="B248" s="1" t="s">
        <v>487</v>
      </c>
      <c r="C248" s="9" t="s">
        <v>47</v>
      </c>
      <c r="D248" s="14" t="s">
        <v>488</v>
      </c>
      <c r="E248" s="9" t="s">
        <v>8</v>
      </c>
    </row>
    <row r="249" spans="1:5" outlineLevel="2" x14ac:dyDescent="0.25">
      <c r="A249" s="3" t="str">
        <f>HYPERLINK("http://mystore1.ru/price_items/search?utf8=%E2%9C%93&amp;oem=8547AGNGYV1V","8547AGNGYV1V")</f>
        <v>8547AGNGYV1V</v>
      </c>
      <c r="B249" s="1" t="s">
        <v>489</v>
      </c>
      <c r="C249" s="9" t="s">
        <v>47</v>
      </c>
      <c r="D249" s="14" t="s">
        <v>490</v>
      </c>
      <c r="E249" s="9" t="s">
        <v>8</v>
      </c>
    </row>
    <row r="250" spans="1:5" outlineLevel="2" x14ac:dyDescent="0.25">
      <c r="A250" s="3" t="str">
        <f>HYPERLINK("http://mystore1.ru/price_items/search?utf8=%E2%9C%93&amp;oem=8547ASMST","8547ASMST")</f>
        <v>8547ASMST</v>
      </c>
      <c r="B250" s="1" t="s">
        <v>491</v>
      </c>
      <c r="C250" s="9" t="s">
        <v>25</v>
      </c>
      <c r="D250" s="14" t="s">
        <v>492</v>
      </c>
      <c r="E250" s="9" t="s">
        <v>27</v>
      </c>
    </row>
    <row r="251" spans="1:5" outlineLevel="2" x14ac:dyDescent="0.25">
      <c r="A251" s="3" t="str">
        <f>HYPERLINK("http://mystore1.ru/price_items/search?utf8=%E2%9C%93&amp;oem=8547BGNEBZ","8547BGNEBZ")</f>
        <v>8547BGNEBZ</v>
      </c>
      <c r="B251" s="1" t="s">
        <v>493</v>
      </c>
      <c r="C251" s="9" t="s">
        <v>47</v>
      </c>
      <c r="D251" s="14" t="s">
        <v>494</v>
      </c>
      <c r="E251" s="9" t="s">
        <v>30</v>
      </c>
    </row>
    <row r="252" spans="1:5" outlineLevel="2" x14ac:dyDescent="0.25">
      <c r="A252" s="3" t="str">
        <f>HYPERLINK("http://mystore1.ru/price_items/search?utf8=%E2%9C%93&amp;oem=8547BGNSA","8547BGNSA")</f>
        <v>8547BGNSA</v>
      </c>
      <c r="B252" s="1" t="s">
        <v>495</v>
      </c>
      <c r="C252" s="9" t="s">
        <v>47</v>
      </c>
      <c r="D252" s="14" t="s">
        <v>496</v>
      </c>
      <c r="E252" s="9" t="s">
        <v>30</v>
      </c>
    </row>
    <row r="253" spans="1:5" outlineLevel="2" x14ac:dyDescent="0.25">
      <c r="A253" s="3" t="str">
        <f>HYPERLINK("http://mystore1.ru/price_items/search?utf8=%E2%9C%93&amp;oem=8547LGNE5RD","8547LGNE5RD")</f>
        <v>8547LGNE5RD</v>
      </c>
      <c r="B253" s="1" t="s">
        <v>497</v>
      </c>
      <c r="C253" s="9" t="s">
        <v>47</v>
      </c>
      <c r="D253" s="14" t="s">
        <v>498</v>
      </c>
      <c r="E253" s="9" t="s">
        <v>11</v>
      </c>
    </row>
    <row r="254" spans="1:5" outlineLevel="2" x14ac:dyDescent="0.25">
      <c r="A254" s="3" t="str">
        <f>HYPERLINK("http://mystore1.ru/price_items/search?utf8=%E2%9C%93&amp;oem=8547LGNS4FD","8547LGNS4FD")</f>
        <v>8547LGNS4FD</v>
      </c>
      <c r="B254" s="1" t="s">
        <v>499</v>
      </c>
      <c r="C254" s="9" t="s">
        <v>47</v>
      </c>
      <c r="D254" s="14" t="s">
        <v>500</v>
      </c>
      <c r="E254" s="9" t="s">
        <v>11</v>
      </c>
    </row>
    <row r="255" spans="1:5" outlineLevel="2" x14ac:dyDescent="0.25">
      <c r="A255" s="3" t="str">
        <f>HYPERLINK("http://mystore1.ru/price_items/search?utf8=%E2%9C%93&amp;oem=8547LGNS4RD","8547LGNS4RD")</f>
        <v>8547LGNS4RD</v>
      </c>
      <c r="B255" s="1" t="s">
        <v>501</v>
      </c>
      <c r="C255" s="9" t="s">
        <v>47</v>
      </c>
      <c r="D255" s="14" t="s">
        <v>502</v>
      </c>
      <c r="E255" s="9" t="s">
        <v>11</v>
      </c>
    </row>
    <row r="256" spans="1:5" outlineLevel="2" x14ac:dyDescent="0.25">
      <c r="A256" s="3" t="str">
        <f>HYPERLINK("http://mystore1.ru/price_items/search?utf8=%E2%9C%93&amp;oem=8547RGNE5RD","8547RGNE5RD")</f>
        <v>8547RGNE5RD</v>
      </c>
      <c r="B256" s="1" t="s">
        <v>503</v>
      </c>
      <c r="C256" s="9" t="s">
        <v>47</v>
      </c>
      <c r="D256" s="14" t="s">
        <v>504</v>
      </c>
      <c r="E256" s="9" t="s">
        <v>11</v>
      </c>
    </row>
    <row r="257" spans="1:5" outlineLevel="2" x14ac:dyDescent="0.25">
      <c r="A257" s="3" t="str">
        <f>HYPERLINK("http://mystore1.ru/price_items/search?utf8=%E2%9C%93&amp;oem=8547RGNS4FD","8547RGNS4FD")</f>
        <v>8547RGNS4FD</v>
      </c>
      <c r="B257" s="1" t="s">
        <v>505</v>
      </c>
      <c r="C257" s="9" t="s">
        <v>47</v>
      </c>
      <c r="D257" s="14" t="s">
        <v>506</v>
      </c>
      <c r="E257" s="9" t="s">
        <v>11</v>
      </c>
    </row>
    <row r="258" spans="1:5" outlineLevel="2" x14ac:dyDescent="0.25">
      <c r="A258" s="3" t="str">
        <f>HYPERLINK("http://mystore1.ru/price_items/search?utf8=%E2%9C%93&amp;oem=8547RGNS4RD","8547RGNS4RD")</f>
        <v>8547RGNS4RD</v>
      </c>
      <c r="B258" s="1" t="s">
        <v>507</v>
      </c>
      <c r="C258" s="9" t="s">
        <v>47</v>
      </c>
      <c r="D258" s="14" t="s">
        <v>508</v>
      </c>
      <c r="E258" s="9" t="s">
        <v>11</v>
      </c>
    </row>
    <row r="259" spans="1:5" outlineLevel="1" x14ac:dyDescent="0.25">
      <c r="A259" s="2"/>
      <c r="B259" s="6" t="s">
        <v>509</v>
      </c>
      <c r="C259" s="12"/>
      <c r="D259" s="13"/>
      <c r="E259" s="12"/>
    </row>
    <row r="260" spans="1:5" outlineLevel="2" x14ac:dyDescent="0.25">
      <c r="A260" s="3" t="str">
        <f>HYPERLINK("http://mystore1.ru/price_items/search?utf8=%E2%9C%93&amp;oem=8589AGNGYMVZ1P","8589AGNGYMVZ1P")</f>
        <v>8589AGNGYMVZ1P</v>
      </c>
      <c r="B260" s="1" t="s">
        <v>510</v>
      </c>
      <c r="C260" s="9" t="s">
        <v>511</v>
      </c>
      <c r="D260" s="14" t="s">
        <v>512</v>
      </c>
      <c r="E260" s="9" t="s">
        <v>8</v>
      </c>
    </row>
    <row r="261" spans="1:5" outlineLevel="2" x14ac:dyDescent="0.25">
      <c r="A261" s="3" t="str">
        <f>HYPERLINK("http://mystore1.ru/price_items/search?utf8=%E2%9C%93&amp;oem=8589AGNGYVZ","8589AGNGYVZ")</f>
        <v>8589AGNGYVZ</v>
      </c>
      <c r="B261" s="1" t="s">
        <v>513</v>
      </c>
      <c r="C261" s="9" t="s">
        <v>511</v>
      </c>
      <c r="D261" s="14" t="s">
        <v>514</v>
      </c>
      <c r="E261" s="9" t="s">
        <v>8</v>
      </c>
    </row>
    <row r="262" spans="1:5" outlineLevel="2" x14ac:dyDescent="0.25">
      <c r="A262" s="3" t="str">
        <f>HYPERLINK("http://mystore1.ru/price_items/search?utf8=%E2%9C%93&amp;oem=8589AGNVZ","8589AGNVZ")</f>
        <v>8589AGNVZ</v>
      </c>
      <c r="B262" s="1" t="s">
        <v>515</v>
      </c>
      <c r="C262" s="9" t="s">
        <v>511</v>
      </c>
      <c r="D262" s="14" t="s">
        <v>516</v>
      </c>
      <c r="E262" s="9" t="s">
        <v>8</v>
      </c>
    </row>
    <row r="263" spans="1:5" outlineLevel="2" x14ac:dyDescent="0.25">
      <c r="A263" s="3" t="str">
        <f>HYPERLINK("http://mystore1.ru/price_items/search?utf8=%E2%9C%93&amp;oem=8589BGNSABW","8589BGNSABW")</f>
        <v>8589BGNSABW</v>
      </c>
      <c r="B263" s="1" t="s">
        <v>517</v>
      </c>
      <c r="C263" s="9" t="s">
        <v>511</v>
      </c>
      <c r="D263" s="14" t="s">
        <v>518</v>
      </c>
      <c r="E263" s="9" t="s">
        <v>30</v>
      </c>
    </row>
    <row r="264" spans="1:5" outlineLevel="2" x14ac:dyDescent="0.25">
      <c r="A264" s="3" t="str">
        <f>HYPERLINK("http://mystore1.ru/price_items/search?utf8=%E2%9C%93&amp;oem=8589LGSS4FD","8589LGSS4FD")</f>
        <v>8589LGSS4FD</v>
      </c>
      <c r="B264" s="1" t="s">
        <v>519</v>
      </c>
      <c r="C264" s="9" t="s">
        <v>511</v>
      </c>
      <c r="D264" s="14" t="s">
        <v>520</v>
      </c>
      <c r="E264" s="9" t="s">
        <v>11</v>
      </c>
    </row>
    <row r="265" spans="1:5" outlineLevel="2" x14ac:dyDescent="0.25">
      <c r="A265" s="3" t="str">
        <f>HYPERLINK("http://mystore1.ru/price_items/search?utf8=%E2%9C%93&amp;oem=8589LGSS4RD","8589LGSS4RD")</f>
        <v>8589LGSS4RD</v>
      </c>
      <c r="B265" s="1" t="s">
        <v>521</v>
      </c>
      <c r="C265" s="9" t="s">
        <v>511</v>
      </c>
      <c r="D265" s="14" t="s">
        <v>522</v>
      </c>
      <c r="E265" s="9" t="s">
        <v>11</v>
      </c>
    </row>
    <row r="266" spans="1:5" outlineLevel="2" x14ac:dyDescent="0.25">
      <c r="A266" s="3" t="str">
        <f>HYPERLINK("http://mystore1.ru/price_items/search?utf8=%E2%9C%93&amp;oem=8589RGSS4FD","8589RGSS4FD")</f>
        <v>8589RGSS4FD</v>
      </c>
      <c r="B266" s="1" t="s">
        <v>523</v>
      </c>
      <c r="C266" s="9" t="s">
        <v>511</v>
      </c>
      <c r="D266" s="14" t="s">
        <v>524</v>
      </c>
      <c r="E266" s="9" t="s">
        <v>11</v>
      </c>
    </row>
    <row r="267" spans="1:5" outlineLevel="2" x14ac:dyDescent="0.25">
      <c r="A267" s="3" t="str">
        <f>HYPERLINK("http://mystore1.ru/price_items/search?utf8=%E2%9C%93&amp;oem=8589RGSS4RD","8589RGSS4RD")</f>
        <v>8589RGSS4RD</v>
      </c>
      <c r="B267" s="1" t="s">
        <v>525</v>
      </c>
      <c r="C267" s="9" t="s">
        <v>511</v>
      </c>
      <c r="D267" s="14" t="s">
        <v>526</v>
      </c>
      <c r="E267" s="9" t="s">
        <v>11</v>
      </c>
    </row>
    <row r="268" spans="1:5" outlineLevel="1" x14ac:dyDescent="0.25">
      <c r="A268" s="2"/>
      <c r="B268" s="6" t="s">
        <v>527</v>
      </c>
      <c r="C268" s="12"/>
      <c r="D268" s="13"/>
      <c r="E268" s="12"/>
    </row>
    <row r="269" spans="1:5" outlineLevel="2" x14ac:dyDescent="0.25">
      <c r="A269" s="3" t="str">
        <f>HYPERLINK("http://mystore1.ru/price_items/search?utf8=%E2%9C%93&amp;oem=8592AGSGYMVZ1P","8592AGSGYMVZ1P")</f>
        <v>8592AGSGYMVZ1P</v>
      </c>
      <c r="B269" s="1" t="s">
        <v>528</v>
      </c>
      <c r="C269" s="9" t="s">
        <v>511</v>
      </c>
      <c r="D269" s="14" t="s">
        <v>529</v>
      </c>
      <c r="E269" s="9" t="s">
        <v>8</v>
      </c>
    </row>
    <row r="270" spans="1:5" outlineLevel="2" x14ac:dyDescent="0.25">
      <c r="A270" s="3" t="str">
        <f>HYPERLINK("http://mystore1.ru/price_items/search?utf8=%E2%9C%93&amp;oem=8592AGSVZ","8592AGSVZ")</f>
        <v>8592AGSVZ</v>
      </c>
      <c r="B270" s="1" t="s">
        <v>530</v>
      </c>
      <c r="C270" s="9" t="s">
        <v>511</v>
      </c>
      <c r="D270" s="14" t="s">
        <v>531</v>
      </c>
      <c r="E270" s="9" t="s">
        <v>8</v>
      </c>
    </row>
    <row r="271" spans="1:5" outlineLevel="2" x14ac:dyDescent="0.25">
      <c r="A271" s="3" t="str">
        <f>HYPERLINK("http://mystore1.ru/price_items/search?utf8=%E2%9C%93&amp;oem=8592LGSC2FD","8592LGSC2FD")</f>
        <v>8592LGSC2FD</v>
      </c>
      <c r="B271" s="1" t="s">
        <v>532</v>
      </c>
      <c r="C271" s="9" t="s">
        <v>511</v>
      </c>
      <c r="D271" s="14" t="s">
        <v>533</v>
      </c>
      <c r="E271" s="9" t="s">
        <v>11</v>
      </c>
    </row>
    <row r="272" spans="1:5" outlineLevel="2" x14ac:dyDescent="0.25">
      <c r="A272" s="3" t="str">
        <f>HYPERLINK("http://mystore1.ru/price_items/search?utf8=%E2%9C%93&amp;oem=8592RGSC2FD","8592RGSC2FD")</f>
        <v>8592RGSC2FD</v>
      </c>
      <c r="B272" s="1" t="s">
        <v>534</v>
      </c>
      <c r="C272" s="9" t="s">
        <v>511</v>
      </c>
      <c r="D272" s="14" t="s">
        <v>535</v>
      </c>
      <c r="E272" s="9" t="s">
        <v>11</v>
      </c>
    </row>
    <row r="273" spans="1:5" outlineLevel="1" x14ac:dyDescent="0.25">
      <c r="A273" s="2"/>
      <c r="B273" s="6" t="s">
        <v>536</v>
      </c>
      <c r="C273" s="12"/>
      <c r="D273" s="13"/>
      <c r="E273" s="12"/>
    </row>
    <row r="274" spans="1:5" outlineLevel="2" x14ac:dyDescent="0.25">
      <c r="A274" s="3" t="str">
        <f>HYPERLINK("http://mystore1.ru/price_items/search?utf8=%E2%9C%93&amp;oem=8582ACCGYMW1B","8582ACCGYMW1B")</f>
        <v>8582ACCGYMW1B</v>
      </c>
      <c r="B274" s="1" t="s">
        <v>537</v>
      </c>
      <c r="C274" s="9" t="s">
        <v>538</v>
      </c>
      <c r="D274" s="14" t="s">
        <v>539</v>
      </c>
      <c r="E274" s="9" t="s">
        <v>8</v>
      </c>
    </row>
    <row r="275" spans="1:5" outlineLevel="2" x14ac:dyDescent="0.25">
      <c r="A275" s="3" t="str">
        <f>HYPERLINK("http://mystore1.ru/price_items/search?utf8=%E2%9C%93&amp;oem=8582AGSGYMVW","8582AGSGYMVW")</f>
        <v>8582AGSGYMVW</v>
      </c>
      <c r="B275" s="1" t="s">
        <v>540</v>
      </c>
      <c r="C275" s="9" t="s">
        <v>538</v>
      </c>
      <c r="D275" s="14" t="s">
        <v>541</v>
      </c>
      <c r="E275" s="9" t="s">
        <v>8</v>
      </c>
    </row>
    <row r="276" spans="1:5" outlineLevel="2" x14ac:dyDescent="0.25">
      <c r="A276" s="3" t="str">
        <f>HYPERLINK("http://mystore1.ru/price_items/search?utf8=%E2%9C%93&amp;oem=8582BCCSABGJKPZ","8582BCCSABGJKPZ")</f>
        <v>8582BCCSABGJKPZ</v>
      </c>
      <c r="B276" s="1" t="s">
        <v>542</v>
      </c>
      <c r="C276" s="9" t="s">
        <v>538</v>
      </c>
      <c r="D276" s="14" t="s">
        <v>543</v>
      </c>
      <c r="E276" s="9" t="s">
        <v>30</v>
      </c>
    </row>
    <row r="277" spans="1:5" outlineLevel="2" x14ac:dyDescent="0.25">
      <c r="A277" s="3" t="str">
        <f>HYPERLINK("http://mystore1.ru/price_items/search?utf8=%E2%9C%93&amp;oem=8582BGSEAW","8582BGSEAW")</f>
        <v>8582BGSEAW</v>
      </c>
      <c r="B277" s="1" t="s">
        <v>544</v>
      </c>
      <c r="C277" s="9" t="s">
        <v>140</v>
      </c>
      <c r="D277" s="14" t="s">
        <v>545</v>
      </c>
      <c r="E277" s="9" t="s">
        <v>30</v>
      </c>
    </row>
    <row r="278" spans="1:5" outlineLevel="2" x14ac:dyDescent="0.25">
      <c r="A278" s="3" t="str">
        <f>HYPERLINK("http://mystore1.ru/price_items/search?utf8=%E2%9C%93&amp;oem=8582BGSSABGJPZ","8582BGSSABGJPZ")</f>
        <v>8582BGSSABGJPZ</v>
      </c>
      <c r="B278" s="1" t="s">
        <v>546</v>
      </c>
      <c r="C278" s="9" t="s">
        <v>538</v>
      </c>
      <c r="D278" s="14" t="s">
        <v>547</v>
      </c>
      <c r="E278" s="9" t="s">
        <v>30</v>
      </c>
    </row>
    <row r="279" spans="1:5" outlineLevel="2" x14ac:dyDescent="0.25">
      <c r="A279" s="3" t="str">
        <f>HYPERLINK("http://mystore1.ru/price_items/search?utf8=%E2%9C%93&amp;oem=8582BZPEAW","8582BZPEAW")</f>
        <v>8582BZPEAW</v>
      </c>
      <c r="B279" s="1" t="s">
        <v>548</v>
      </c>
      <c r="C279" s="9" t="s">
        <v>140</v>
      </c>
      <c r="D279" s="14" t="s">
        <v>549</v>
      </c>
      <c r="E279" s="9" t="s">
        <v>30</v>
      </c>
    </row>
    <row r="280" spans="1:5" outlineLevel="2" x14ac:dyDescent="0.25">
      <c r="A280" s="3" t="str">
        <f>HYPERLINK("http://mystore1.ru/price_items/search?utf8=%E2%9C%93&amp;oem=8582LGSE5RD","8582LGSE5RD")</f>
        <v>8582LGSE5RD</v>
      </c>
      <c r="B280" s="1" t="s">
        <v>550</v>
      </c>
      <c r="C280" s="9" t="s">
        <v>140</v>
      </c>
      <c r="D280" s="14" t="s">
        <v>551</v>
      </c>
      <c r="E280" s="9" t="s">
        <v>11</v>
      </c>
    </row>
    <row r="281" spans="1:5" outlineLevel="2" x14ac:dyDescent="0.25">
      <c r="A281" s="3" t="str">
        <f>HYPERLINK("http://mystore1.ru/price_items/search?utf8=%E2%9C%93&amp;oem=8582LGSS4FD","8582LGSS4FD")</f>
        <v>8582LGSS4FD</v>
      </c>
      <c r="B281" s="1" t="s">
        <v>552</v>
      </c>
      <c r="C281" s="9" t="s">
        <v>538</v>
      </c>
      <c r="D281" s="14" t="s">
        <v>553</v>
      </c>
      <c r="E281" s="9" t="s">
        <v>11</v>
      </c>
    </row>
    <row r="282" spans="1:5" outlineLevel="2" x14ac:dyDescent="0.25">
      <c r="A282" s="3" t="str">
        <f>HYPERLINK("http://mystore1.ru/price_items/search?utf8=%E2%9C%93&amp;oem=8582LGSS4RD","8582LGSS4RD")</f>
        <v>8582LGSS4RD</v>
      </c>
      <c r="B282" s="1" t="s">
        <v>554</v>
      </c>
      <c r="C282" s="9" t="s">
        <v>538</v>
      </c>
      <c r="D282" s="14" t="s">
        <v>555</v>
      </c>
      <c r="E282" s="9" t="s">
        <v>11</v>
      </c>
    </row>
    <row r="283" spans="1:5" outlineLevel="2" x14ac:dyDescent="0.25">
      <c r="A283" s="3" t="str">
        <f>HYPERLINK("http://mystore1.ru/price_items/search?utf8=%E2%9C%93&amp;oem=8582RGSE5RD","8582RGSE5RD")</f>
        <v>8582RGSE5RD</v>
      </c>
      <c r="B283" s="1" t="s">
        <v>556</v>
      </c>
      <c r="C283" s="9" t="s">
        <v>140</v>
      </c>
      <c r="D283" s="14" t="s">
        <v>557</v>
      </c>
      <c r="E283" s="9" t="s">
        <v>11</v>
      </c>
    </row>
    <row r="284" spans="1:5" outlineLevel="2" x14ac:dyDescent="0.25">
      <c r="A284" s="3" t="str">
        <f>HYPERLINK("http://mystore1.ru/price_items/search?utf8=%E2%9C%93&amp;oem=8582RGSS4FD","8582RGSS4FD")</f>
        <v>8582RGSS4FD</v>
      </c>
      <c r="B284" s="1" t="s">
        <v>558</v>
      </c>
      <c r="C284" s="9" t="s">
        <v>538</v>
      </c>
      <c r="D284" s="14" t="s">
        <v>559</v>
      </c>
      <c r="E284" s="9" t="s">
        <v>11</v>
      </c>
    </row>
    <row r="285" spans="1:5" outlineLevel="2" x14ac:dyDescent="0.25">
      <c r="A285" s="3" t="str">
        <f>HYPERLINK("http://mystore1.ru/price_items/search?utf8=%E2%9C%93&amp;oem=8582RGSS4RD","8582RGSS4RD")</f>
        <v>8582RGSS4RD</v>
      </c>
      <c r="B285" s="1" t="s">
        <v>560</v>
      </c>
      <c r="C285" s="9" t="s">
        <v>538</v>
      </c>
      <c r="D285" s="14" t="s">
        <v>561</v>
      </c>
      <c r="E285" s="9" t="s">
        <v>11</v>
      </c>
    </row>
    <row r="286" spans="1:5" outlineLevel="1" x14ac:dyDescent="0.25">
      <c r="A286" s="2"/>
      <c r="B286" s="6" t="s">
        <v>562</v>
      </c>
      <c r="C286" s="12"/>
      <c r="D286" s="13"/>
      <c r="E286" s="12"/>
    </row>
    <row r="287" spans="1:5" outlineLevel="2" x14ac:dyDescent="0.25">
      <c r="A287" s="3" t="str">
        <f>HYPERLINK("http://mystore1.ru/price_items/search?utf8=%E2%9C%93&amp;oem=8557AGNGYVZ","8557AGNGYVZ")</f>
        <v>8557AGNGYVZ</v>
      </c>
      <c r="B287" s="1" t="s">
        <v>563</v>
      </c>
      <c r="C287" s="9" t="s">
        <v>564</v>
      </c>
      <c r="D287" s="14" t="s">
        <v>565</v>
      </c>
      <c r="E287" s="9" t="s">
        <v>8</v>
      </c>
    </row>
    <row r="288" spans="1:5" outlineLevel="2" x14ac:dyDescent="0.25">
      <c r="A288" s="3" t="str">
        <f>HYPERLINK("http://mystore1.ru/price_items/search?utf8=%E2%9C%93&amp;oem=8557AGNGYVZ1B","8557AGNGYVZ1B")</f>
        <v>8557AGNGYVZ1B</v>
      </c>
      <c r="B288" s="1" t="s">
        <v>566</v>
      </c>
      <c r="C288" s="9" t="s">
        <v>567</v>
      </c>
      <c r="D288" s="14" t="s">
        <v>568</v>
      </c>
      <c r="E288" s="9" t="s">
        <v>8</v>
      </c>
    </row>
    <row r="289" spans="1:5" outlineLevel="2" x14ac:dyDescent="0.25">
      <c r="A289" s="3" t="str">
        <f>HYPERLINK("http://mystore1.ru/price_items/search?utf8=%E2%9C%93&amp;oem=8557AGNGYZ","8557AGNGYZ")</f>
        <v>8557AGNGYZ</v>
      </c>
      <c r="B289" s="1" t="s">
        <v>569</v>
      </c>
      <c r="C289" s="9" t="s">
        <v>570</v>
      </c>
      <c r="D289" s="14" t="s">
        <v>571</v>
      </c>
      <c r="E289" s="9" t="s">
        <v>8</v>
      </c>
    </row>
    <row r="290" spans="1:5" outlineLevel="2" x14ac:dyDescent="0.25">
      <c r="A290" s="3" t="str">
        <f>HYPERLINK("http://mystore1.ru/price_items/search?utf8=%E2%9C%93&amp;oem=8557BGNSAGZ","8557BGNSAGZ")</f>
        <v>8557BGNSAGZ</v>
      </c>
      <c r="B290" s="1" t="s">
        <v>572</v>
      </c>
      <c r="C290" s="9" t="s">
        <v>570</v>
      </c>
      <c r="D290" s="14" t="s">
        <v>573</v>
      </c>
      <c r="E290" s="9" t="s">
        <v>30</v>
      </c>
    </row>
    <row r="291" spans="1:5" outlineLevel="2" x14ac:dyDescent="0.25">
      <c r="A291" s="3" t="str">
        <f>HYPERLINK("http://mystore1.ru/price_items/search?utf8=%E2%9C%93&amp;oem=8557BGNSAZ","8557BGNSAZ")</f>
        <v>8557BGNSAZ</v>
      </c>
      <c r="B291" s="1" t="s">
        <v>574</v>
      </c>
      <c r="C291" s="9" t="s">
        <v>570</v>
      </c>
      <c r="D291" s="14" t="s">
        <v>575</v>
      </c>
      <c r="E291" s="9" t="s">
        <v>30</v>
      </c>
    </row>
    <row r="292" spans="1:5" outlineLevel="2" x14ac:dyDescent="0.25">
      <c r="A292" s="3" t="str">
        <f>HYPERLINK("http://mystore1.ru/price_items/search?utf8=%E2%9C%93&amp;oem=8557LGNS4FD","8557LGNS4FD")</f>
        <v>8557LGNS4FD</v>
      </c>
      <c r="B292" s="1" t="s">
        <v>576</v>
      </c>
      <c r="C292" s="9" t="s">
        <v>570</v>
      </c>
      <c r="D292" s="14" t="s">
        <v>577</v>
      </c>
      <c r="E292" s="9" t="s">
        <v>11</v>
      </c>
    </row>
    <row r="293" spans="1:5" outlineLevel="2" x14ac:dyDescent="0.25">
      <c r="A293" s="3" t="str">
        <f>HYPERLINK("http://mystore1.ru/price_items/search?utf8=%E2%9C%93&amp;oem=8557LGNS4RD","8557LGNS4RD")</f>
        <v>8557LGNS4RD</v>
      </c>
      <c r="B293" s="1" t="s">
        <v>578</v>
      </c>
      <c r="C293" s="9" t="s">
        <v>570</v>
      </c>
      <c r="D293" s="14" t="s">
        <v>579</v>
      </c>
      <c r="E293" s="9" t="s">
        <v>11</v>
      </c>
    </row>
    <row r="294" spans="1:5" outlineLevel="2" x14ac:dyDescent="0.25">
      <c r="A294" s="3" t="str">
        <f>HYPERLINK("http://mystore1.ru/price_items/search?utf8=%E2%9C%93&amp;oem=8557RGNS4FD","8557RGNS4FD")</f>
        <v>8557RGNS4FD</v>
      </c>
      <c r="B294" s="1" t="s">
        <v>580</v>
      </c>
      <c r="C294" s="9" t="s">
        <v>570</v>
      </c>
      <c r="D294" s="14" t="s">
        <v>581</v>
      </c>
      <c r="E294" s="9" t="s">
        <v>11</v>
      </c>
    </row>
    <row r="295" spans="1:5" outlineLevel="2" x14ac:dyDescent="0.25">
      <c r="A295" s="3" t="str">
        <f>HYPERLINK("http://mystore1.ru/price_items/search?utf8=%E2%9C%93&amp;oem=8557RGNS4RD","8557RGNS4RD")</f>
        <v>8557RGNS4RD</v>
      </c>
      <c r="B295" s="1" t="s">
        <v>582</v>
      </c>
      <c r="C295" s="9" t="s">
        <v>570</v>
      </c>
      <c r="D295" s="14" t="s">
        <v>583</v>
      </c>
      <c r="E295" s="9" t="s">
        <v>11</v>
      </c>
    </row>
    <row r="296" spans="1:5" outlineLevel="1" x14ac:dyDescent="0.25">
      <c r="A296" s="2"/>
      <c r="B296" s="6" t="s">
        <v>584</v>
      </c>
      <c r="C296" s="12"/>
      <c r="D296" s="13"/>
      <c r="E296" s="12"/>
    </row>
    <row r="297" spans="1:5" outlineLevel="2" x14ac:dyDescent="0.25">
      <c r="A297" s="3" t="str">
        <f>HYPERLINK("http://mystore1.ru/price_items/search?utf8=%E2%9C%93&amp;oem=8566AGNGYVZ","8566AGNGYVZ")</f>
        <v>8566AGNGYVZ</v>
      </c>
      <c r="B297" s="1" t="s">
        <v>585</v>
      </c>
      <c r="C297" s="9" t="s">
        <v>586</v>
      </c>
      <c r="D297" s="14" t="s">
        <v>587</v>
      </c>
      <c r="E297" s="9" t="s">
        <v>8</v>
      </c>
    </row>
    <row r="298" spans="1:5" outlineLevel="1" x14ac:dyDescent="0.25">
      <c r="A298" s="2"/>
      <c r="B298" s="6" t="s">
        <v>588</v>
      </c>
      <c r="C298" s="12"/>
      <c r="D298" s="13"/>
      <c r="E298" s="12"/>
    </row>
    <row r="299" spans="1:5" outlineLevel="2" x14ac:dyDescent="0.25">
      <c r="A299" s="3" t="str">
        <f>HYPERLINK("http://mystore1.ru/price_items/search?utf8=%E2%9C%93&amp;oem=8565AGNGYVZ","8565AGNGYVZ")</f>
        <v>8565AGNGYVZ</v>
      </c>
      <c r="B299" s="1" t="s">
        <v>589</v>
      </c>
      <c r="C299" s="9" t="s">
        <v>570</v>
      </c>
      <c r="D299" s="14" t="s">
        <v>590</v>
      </c>
      <c r="E299" s="9" t="s">
        <v>8</v>
      </c>
    </row>
    <row r="300" spans="1:5" outlineLevel="2" x14ac:dyDescent="0.25">
      <c r="A300" s="3" t="str">
        <f>HYPERLINK("http://mystore1.ru/price_items/search?utf8=%E2%9C%93&amp;oem=8565AGNGYVZ1B","8565AGNGYVZ1B")</f>
        <v>8565AGNGYVZ1B</v>
      </c>
      <c r="B300" s="1" t="s">
        <v>591</v>
      </c>
      <c r="C300" s="9" t="s">
        <v>570</v>
      </c>
      <c r="D300" s="14" t="s">
        <v>592</v>
      </c>
      <c r="E300" s="9" t="s">
        <v>8</v>
      </c>
    </row>
    <row r="301" spans="1:5" outlineLevel="2" x14ac:dyDescent="0.25">
      <c r="A301" s="3" t="str">
        <f>HYPERLINK("http://mystore1.ru/price_items/search?utf8=%E2%9C%93&amp;oem=8565AGNGYZ","8565AGNGYZ")</f>
        <v>8565AGNGYZ</v>
      </c>
      <c r="B301" s="1" t="s">
        <v>593</v>
      </c>
      <c r="C301" s="9" t="s">
        <v>570</v>
      </c>
      <c r="D301" s="14" t="s">
        <v>594</v>
      </c>
      <c r="E301" s="9" t="s">
        <v>8</v>
      </c>
    </row>
    <row r="302" spans="1:5" outlineLevel="2" x14ac:dyDescent="0.25">
      <c r="A302" s="3" t="str">
        <f>HYPERLINK("http://mystore1.ru/price_items/search?utf8=%E2%9C%93&amp;oem=8565BGNEZ","8565BGNEZ")</f>
        <v>8565BGNEZ</v>
      </c>
      <c r="B302" s="1" t="s">
        <v>595</v>
      </c>
      <c r="C302" s="9" t="s">
        <v>570</v>
      </c>
      <c r="D302" s="14" t="s">
        <v>596</v>
      </c>
      <c r="E302" s="9" t="s">
        <v>30</v>
      </c>
    </row>
    <row r="303" spans="1:5" outlineLevel="2" x14ac:dyDescent="0.25">
      <c r="A303" s="3" t="str">
        <f>HYPERLINK("http://mystore1.ru/price_items/search?utf8=%E2%9C%93&amp;oem=8565RGNE5RD","8565RGNE5RD")</f>
        <v>8565RGNE5RD</v>
      </c>
      <c r="B303" s="1" t="s">
        <v>597</v>
      </c>
      <c r="C303" s="9" t="s">
        <v>570</v>
      </c>
      <c r="D303" s="14" t="s">
        <v>598</v>
      </c>
      <c r="E303" s="9" t="s">
        <v>11</v>
      </c>
    </row>
    <row r="304" spans="1:5" outlineLevel="1" x14ac:dyDescent="0.25">
      <c r="A304" s="2"/>
      <c r="B304" s="6" t="s">
        <v>599</v>
      </c>
      <c r="C304" s="12"/>
      <c r="D304" s="13"/>
      <c r="E304" s="12"/>
    </row>
    <row r="305" spans="1:5" outlineLevel="2" x14ac:dyDescent="0.25">
      <c r="A305" s="3" t="str">
        <f>HYPERLINK("http://mystore1.ru/price_items/search?utf8=%E2%9C%93&amp;oem=8611AGAMVWZ","8611AGAMVWZ")</f>
        <v>8611AGAMVWZ</v>
      </c>
      <c r="B305" s="1" t="s">
        <v>600</v>
      </c>
      <c r="C305" s="9" t="s">
        <v>601</v>
      </c>
      <c r="D305" s="14" t="s">
        <v>602</v>
      </c>
      <c r="E305" s="9" t="s">
        <v>8</v>
      </c>
    </row>
    <row r="306" spans="1:5" outlineLevel="1" x14ac:dyDescent="0.25">
      <c r="A306" s="2"/>
      <c r="B306" s="6" t="s">
        <v>603</v>
      </c>
      <c r="C306" s="12"/>
      <c r="D306" s="13"/>
      <c r="E306" s="12"/>
    </row>
    <row r="307" spans="1:5" outlineLevel="2" x14ac:dyDescent="0.25">
      <c r="A307" s="3" t="str">
        <f>HYPERLINK("http://mystore1.ru/price_items/search?utf8=%E2%9C%93&amp;oem=8608AGAMVWZ","8608AGAMVWZ")</f>
        <v>8608AGAMVWZ</v>
      </c>
      <c r="B307" s="1" t="s">
        <v>604</v>
      </c>
      <c r="C307" s="9" t="s">
        <v>601</v>
      </c>
      <c r="D307" s="14" t="s">
        <v>605</v>
      </c>
      <c r="E307" s="9" t="s">
        <v>8</v>
      </c>
    </row>
    <row r="308" spans="1:5" outlineLevel="2" x14ac:dyDescent="0.25">
      <c r="A308" s="3" t="str">
        <f>HYPERLINK("http://mystore1.ru/price_items/search?utf8=%E2%9C%93&amp;oem=8608LGSH5FD","8608LGSH5FD")</f>
        <v>8608LGSH5FD</v>
      </c>
      <c r="B308" s="1" t="s">
        <v>606</v>
      </c>
      <c r="C308" s="9" t="s">
        <v>601</v>
      </c>
      <c r="D308" s="14" t="s">
        <v>607</v>
      </c>
      <c r="E308" s="9" t="s">
        <v>11</v>
      </c>
    </row>
    <row r="309" spans="1:5" outlineLevel="2" x14ac:dyDescent="0.25">
      <c r="A309" s="3" t="str">
        <f>HYPERLINK("http://mystore1.ru/price_items/search?utf8=%E2%9C%93&amp;oem=8608RGSH5FD","8608RGSH5FD")</f>
        <v>8608RGSH5FD</v>
      </c>
      <c r="B309" s="1" t="s">
        <v>608</v>
      </c>
      <c r="C309" s="9" t="s">
        <v>601</v>
      </c>
      <c r="D309" s="14" t="s">
        <v>609</v>
      </c>
      <c r="E309" s="9" t="s">
        <v>11</v>
      </c>
    </row>
    <row r="310" spans="1:5" outlineLevel="1" x14ac:dyDescent="0.25">
      <c r="A310" s="2"/>
      <c r="B310" s="6" t="s">
        <v>610</v>
      </c>
      <c r="C310" s="12"/>
      <c r="D310" s="13"/>
      <c r="E310" s="12"/>
    </row>
    <row r="311" spans="1:5" outlineLevel="2" x14ac:dyDescent="0.25">
      <c r="A311" s="3" t="str">
        <f>HYPERLINK("http://mystore1.ru/price_items/search?utf8=%E2%9C%93&amp;oem=8578ACCGYMVW6A","8578ACCGYMVW6A")</f>
        <v>8578ACCGYMVW6A</v>
      </c>
      <c r="B311" s="1" t="s">
        <v>611</v>
      </c>
      <c r="C311" s="9" t="s">
        <v>567</v>
      </c>
      <c r="D311" s="14" t="s">
        <v>612</v>
      </c>
      <c r="E311" s="9" t="s">
        <v>8</v>
      </c>
    </row>
    <row r="312" spans="1:5" outlineLevel="2" x14ac:dyDescent="0.25">
      <c r="A312" s="3" t="str">
        <f>HYPERLINK("http://mystore1.ru/price_items/search?utf8=%E2%9C%93&amp;oem=8578AGSGYMOVW","8578AGSGYMOVW")</f>
        <v>8578AGSGYMOVW</v>
      </c>
      <c r="B312" s="1" t="s">
        <v>613</v>
      </c>
      <c r="C312" s="9" t="s">
        <v>567</v>
      </c>
      <c r="D312" s="14" t="s">
        <v>614</v>
      </c>
      <c r="E312" s="9" t="s">
        <v>8</v>
      </c>
    </row>
    <row r="313" spans="1:5" outlineLevel="2" x14ac:dyDescent="0.25">
      <c r="A313" s="3" t="str">
        <f>HYPERLINK("http://mystore1.ru/price_items/search?utf8=%E2%9C%93&amp;oem=8578AGSGYMVW","8578AGSGYMVW")</f>
        <v>8578AGSGYMVW</v>
      </c>
      <c r="B313" s="1" t="s">
        <v>615</v>
      </c>
      <c r="C313" s="9" t="s">
        <v>567</v>
      </c>
      <c r="D313" s="14" t="s">
        <v>616</v>
      </c>
      <c r="E313" s="9" t="s">
        <v>8</v>
      </c>
    </row>
    <row r="314" spans="1:5" outlineLevel="2" x14ac:dyDescent="0.25">
      <c r="A314" s="3" t="str">
        <f>HYPERLINK("http://mystore1.ru/price_items/search?utf8=%E2%9C%93&amp;oem=8578BCCSAKTZ","8578BCCSAKTZ")</f>
        <v>8578BCCSAKTZ</v>
      </c>
      <c r="B314" s="1" t="s">
        <v>617</v>
      </c>
      <c r="C314" s="9" t="s">
        <v>567</v>
      </c>
      <c r="D314" s="14" t="s">
        <v>618</v>
      </c>
      <c r="E314" s="9" t="s">
        <v>30</v>
      </c>
    </row>
    <row r="315" spans="1:5" outlineLevel="2" x14ac:dyDescent="0.25">
      <c r="A315" s="3" t="str">
        <f>HYPERLINK("http://mystore1.ru/price_items/search?utf8=%E2%9C%93&amp;oem=8578BGSSAKZ","8578BGSSAKZ")</f>
        <v>8578BGSSAKZ</v>
      </c>
      <c r="B315" s="1" t="s">
        <v>619</v>
      </c>
      <c r="C315" s="9" t="s">
        <v>567</v>
      </c>
      <c r="D315" s="14" t="s">
        <v>620</v>
      </c>
      <c r="E315" s="9" t="s">
        <v>30</v>
      </c>
    </row>
    <row r="316" spans="1:5" outlineLevel="1" x14ac:dyDescent="0.25">
      <c r="A316" s="2"/>
      <c r="B316" s="6" t="s">
        <v>621</v>
      </c>
      <c r="C316" s="12"/>
      <c r="D316" s="13"/>
      <c r="E316" s="12"/>
    </row>
    <row r="317" spans="1:5" outlineLevel="2" x14ac:dyDescent="0.25">
      <c r="A317" s="3" t="str">
        <f>HYPERLINK("http://mystore1.ru/price_items/search?utf8=%E2%9C%93&amp;oem=8546AGNGY","8546AGNGY")</f>
        <v>8546AGNGY</v>
      </c>
      <c r="B317" s="1" t="s">
        <v>622</v>
      </c>
      <c r="C317" s="9" t="s">
        <v>623</v>
      </c>
      <c r="D317" s="14" t="s">
        <v>624</v>
      </c>
      <c r="E317" s="9" t="s">
        <v>8</v>
      </c>
    </row>
    <row r="318" spans="1:5" outlineLevel="2" x14ac:dyDescent="0.25">
      <c r="A318" s="3" t="str">
        <f>HYPERLINK("http://mystore1.ru/price_items/search?utf8=%E2%9C%93&amp;oem=8546ASMS","8546ASMS")</f>
        <v>8546ASMS</v>
      </c>
      <c r="B318" s="1" t="s">
        <v>625</v>
      </c>
      <c r="C318" s="9" t="s">
        <v>25</v>
      </c>
      <c r="D318" s="14" t="s">
        <v>626</v>
      </c>
      <c r="E318" s="9" t="s">
        <v>27</v>
      </c>
    </row>
    <row r="319" spans="1:5" outlineLevel="2" x14ac:dyDescent="0.25">
      <c r="A319" s="3" t="str">
        <f>HYPERLINK("http://mystore1.ru/price_items/search?utf8=%E2%9C%93&amp;oem=8546BCCSK","8546BCCSK")</f>
        <v>8546BCCSK</v>
      </c>
      <c r="B319" s="1" t="s">
        <v>627</v>
      </c>
      <c r="C319" s="9" t="s">
        <v>623</v>
      </c>
      <c r="D319" s="14" t="s">
        <v>628</v>
      </c>
      <c r="E319" s="9" t="s">
        <v>30</v>
      </c>
    </row>
    <row r="320" spans="1:5" outlineLevel="1" x14ac:dyDescent="0.25">
      <c r="A320" s="2"/>
      <c r="B320" s="6" t="s">
        <v>629</v>
      </c>
      <c r="C320" s="12"/>
      <c r="D320" s="13"/>
      <c r="E320" s="12"/>
    </row>
    <row r="321" spans="1:5" outlineLevel="2" x14ac:dyDescent="0.25">
      <c r="A321" s="3" t="str">
        <f>HYPERLINK("http://mystore1.ru/price_items/search?utf8=%E2%9C%93&amp;oem=8569AGSGY","8569AGSGY")</f>
        <v>8569AGSGY</v>
      </c>
      <c r="B321" s="1" t="s">
        <v>630</v>
      </c>
      <c r="C321" s="9" t="s">
        <v>631</v>
      </c>
      <c r="D321" s="14" t="s">
        <v>632</v>
      </c>
      <c r="E321" s="9" t="s">
        <v>8</v>
      </c>
    </row>
    <row r="322" spans="1:5" outlineLevel="1" x14ac:dyDescent="0.25">
      <c r="A322" s="2"/>
      <c r="B322" s="6" t="s">
        <v>633</v>
      </c>
      <c r="C322" s="12"/>
      <c r="D322" s="13"/>
      <c r="E322" s="12"/>
    </row>
    <row r="323" spans="1:5" outlineLevel="2" x14ac:dyDescent="0.25">
      <c r="A323" s="3" t="str">
        <f>HYPERLINK("http://mystore1.ru/price_items/search?utf8=%E2%9C%93&amp;oem=8593AGSGYVWZ","8593AGSGYVWZ")</f>
        <v>8593AGSGYVWZ</v>
      </c>
      <c r="B323" s="1" t="s">
        <v>634</v>
      </c>
      <c r="C323" s="9" t="s">
        <v>511</v>
      </c>
      <c r="D323" s="14" t="s">
        <v>635</v>
      </c>
      <c r="E323" s="9" t="s">
        <v>8</v>
      </c>
    </row>
    <row r="324" spans="1:5" outlineLevel="2" x14ac:dyDescent="0.25">
      <c r="A324" s="3" t="str">
        <f>HYPERLINK("http://mystore1.ru/price_items/search?utf8=%E2%9C%93&amp;oem=8593LGSC2FDW","8593LGSC2FDW")</f>
        <v>8593LGSC2FDW</v>
      </c>
      <c r="B324" s="1" t="s">
        <v>636</v>
      </c>
      <c r="C324" s="9" t="s">
        <v>511</v>
      </c>
      <c r="D324" s="14" t="s">
        <v>637</v>
      </c>
      <c r="E324" s="9" t="s">
        <v>11</v>
      </c>
    </row>
    <row r="325" spans="1:5" outlineLevel="2" x14ac:dyDescent="0.25">
      <c r="A325" s="3" t="str">
        <f>HYPERLINK("http://mystore1.ru/price_items/search?utf8=%E2%9C%93&amp;oem=8593RGSC2FDW","8593RGSC2FDW")</f>
        <v>8593RGSC2FDW</v>
      </c>
      <c r="B325" s="1" t="s">
        <v>638</v>
      </c>
      <c r="C325" s="9" t="s">
        <v>511</v>
      </c>
      <c r="D325" s="14" t="s">
        <v>639</v>
      </c>
      <c r="E325" s="9" t="s">
        <v>11</v>
      </c>
    </row>
    <row r="326" spans="1:5" outlineLevel="1" x14ac:dyDescent="0.25">
      <c r="A326" s="2"/>
      <c r="B326" s="6" t="s">
        <v>640</v>
      </c>
      <c r="C326" s="12"/>
      <c r="D326" s="13"/>
      <c r="E326" s="12"/>
    </row>
    <row r="327" spans="1:5" outlineLevel="2" x14ac:dyDescent="0.25">
      <c r="A327" s="3" t="str">
        <f>HYPERLINK("http://mystore1.ru/price_items/search?utf8=%E2%9C%93&amp;oem=8596AGSVWZ","8596AGSVWZ")</f>
        <v>8596AGSVWZ</v>
      </c>
      <c r="B327" s="1" t="s">
        <v>641</v>
      </c>
      <c r="C327" s="9" t="s">
        <v>642</v>
      </c>
      <c r="D327" s="14" t="s">
        <v>643</v>
      </c>
      <c r="E327" s="9" t="s">
        <v>8</v>
      </c>
    </row>
    <row r="328" spans="1:5" outlineLevel="2" x14ac:dyDescent="0.25">
      <c r="A328" s="3" t="str">
        <f>HYPERLINK("http://mystore1.ru/price_items/search?utf8=%E2%9C%93&amp;oem=8596AGSGYMVWZ1P","8596AGSGYMVWZ1P")</f>
        <v>8596AGSGYMVWZ1P</v>
      </c>
      <c r="B328" s="1" t="s">
        <v>644</v>
      </c>
      <c r="C328" s="9" t="s">
        <v>642</v>
      </c>
      <c r="D328" s="14" t="s">
        <v>645</v>
      </c>
      <c r="E328" s="9" t="s">
        <v>8</v>
      </c>
    </row>
    <row r="329" spans="1:5" outlineLevel="2" x14ac:dyDescent="0.25">
      <c r="A329" s="3" t="str">
        <f>HYPERLINK("http://mystore1.ru/price_items/search?utf8=%E2%9C%93&amp;oem=8596AGAGYMVWZ1P","8596AGAGYMVWZ1P")</f>
        <v>8596AGAGYMVWZ1P</v>
      </c>
      <c r="B329" s="1" t="s">
        <v>646</v>
      </c>
      <c r="C329" s="9" t="s">
        <v>642</v>
      </c>
      <c r="D329" s="14" t="s">
        <v>647</v>
      </c>
      <c r="E329" s="9" t="s">
        <v>648</v>
      </c>
    </row>
    <row r="330" spans="1:5" outlineLevel="2" x14ac:dyDescent="0.25">
      <c r="A330" s="3" t="str">
        <f>HYPERLINK("http://mystore1.ru/price_items/search?utf8=%E2%9C%93&amp;oem=8596LGSR5RD","8596LGSR5RD")</f>
        <v>8596LGSR5RD</v>
      </c>
      <c r="B330" s="1" t="s">
        <v>649</v>
      </c>
      <c r="C330" s="9" t="s">
        <v>642</v>
      </c>
      <c r="D330" s="14" t="s">
        <v>650</v>
      </c>
      <c r="E330" s="9" t="s">
        <v>11</v>
      </c>
    </row>
    <row r="331" spans="1:5" outlineLevel="2" x14ac:dyDescent="0.25">
      <c r="A331" s="3" t="str">
        <f>HYPERLINK("http://mystore1.ru/price_items/search?utf8=%E2%9C%93&amp;oem=8596LYPR5RD1J","8596LYPR5RD1J")</f>
        <v>8596LYPR5RD1J</v>
      </c>
      <c r="B331" s="1" t="s">
        <v>651</v>
      </c>
      <c r="C331" s="9" t="s">
        <v>642</v>
      </c>
      <c r="D331" s="14" t="s">
        <v>652</v>
      </c>
      <c r="E331" s="9" t="s">
        <v>11</v>
      </c>
    </row>
    <row r="332" spans="1:5" outlineLevel="2" x14ac:dyDescent="0.25">
      <c r="A332" s="3" t="str">
        <f>HYPERLINK("http://mystore1.ru/price_items/search?utf8=%E2%9C%93&amp;oem=8596LGSR5RD1J","8596LGSR5RD1J")</f>
        <v>8596LGSR5RD1J</v>
      </c>
      <c r="B332" s="1" t="s">
        <v>653</v>
      </c>
      <c r="C332" s="9" t="s">
        <v>642</v>
      </c>
      <c r="D332" s="14" t="s">
        <v>650</v>
      </c>
      <c r="E332" s="9" t="s">
        <v>11</v>
      </c>
    </row>
    <row r="333" spans="1:5" outlineLevel="2" x14ac:dyDescent="0.25">
      <c r="A333" s="3" t="str">
        <f>HYPERLINK("http://mystore1.ru/price_items/search?utf8=%E2%9C%93&amp;oem=8596LGSR5FD","8596LGSR5FD")</f>
        <v>8596LGSR5FD</v>
      </c>
      <c r="B333" s="1" t="s">
        <v>654</v>
      </c>
      <c r="C333" s="9" t="s">
        <v>642</v>
      </c>
      <c r="D333" s="14" t="s">
        <v>655</v>
      </c>
      <c r="E333" s="9" t="s">
        <v>11</v>
      </c>
    </row>
    <row r="334" spans="1:5" outlineLevel="2" x14ac:dyDescent="0.25">
      <c r="A334" s="3" t="str">
        <f>HYPERLINK("http://mystore1.ru/price_items/search?utf8=%E2%9C%93&amp;oem=8596LGSR5RQZ1L","8596LGSR5RQZ1L")</f>
        <v>8596LGSR5RQZ1L</v>
      </c>
      <c r="B334" s="1" t="s">
        <v>656</v>
      </c>
      <c r="C334" s="9" t="s">
        <v>642</v>
      </c>
      <c r="D334" s="14" t="s">
        <v>657</v>
      </c>
      <c r="E334" s="9" t="s">
        <v>11</v>
      </c>
    </row>
    <row r="335" spans="1:5" outlineLevel="2" x14ac:dyDescent="0.25">
      <c r="A335" s="3" t="str">
        <f>HYPERLINK("http://mystore1.ru/price_items/search?utf8=%E2%9C%93&amp;oem=8596LGSR5RQZ1M","8596LGSR5RQZ1M")</f>
        <v>8596LGSR5RQZ1M</v>
      </c>
      <c r="B335" s="1" t="s">
        <v>658</v>
      </c>
      <c r="C335" s="9" t="s">
        <v>642</v>
      </c>
      <c r="D335" s="14" t="s">
        <v>659</v>
      </c>
      <c r="E335" s="9" t="s">
        <v>11</v>
      </c>
    </row>
    <row r="336" spans="1:5" outlineLevel="2" x14ac:dyDescent="0.25">
      <c r="A336" s="3" t="str">
        <f>HYPERLINK("http://mystore1.ru/price_items/search?utf8=%E2%9C%93&amp;oem=8596LGSR5RQAZ1L","8596LGSR5RQAZ1L")</f>
        <v>8596LGSR5RQAZ1L</v>
      </c>
      <c r="B336" s="1" t="s">
        <v>660</v>
      </c>
      <c r="C336" s="9" t="s">
        <v>642</v>
      </c>
      <c r="D336" s="14" t="s">
        <v>661</v>
      </c>
      <c r="E336" s="9" t="s">
        <v>11</v>
      </c>
    </row>
    <row r="337" spans="1:5" outlineLevel="2" x14ac:dyDescent="0.25">
      <c r="A337" s="3" t="str">
        <f>HYPERLINK("http://mystore1.ru/price_items/search?utf8=%E2%9C%93&amp;oem=8596LYPR5RQZ1L","8596LYPR5RQZ1L")</f>
        <v>8596LYPR5RQZ1L</v>
      </c>
      <c r="B337" s="1" t="s">
        <v>662</v>
      </c>
      <c r="C337" s="9" t="s">
        <v>642</v>
      </c>
      <c r="D337" s="14" t="s">
        <v>663</v>
      </c>
      <c r="E337" s="9" t="s">
        <v>11</v>
      </c>
    </row>
    <row r="338" spans="1:5" outlineLevel="2" x14ac:dyDescent="0.25">
      <c r="A338" s="3" t="str">
        <f>HYPERLINK("http://mystore1.ru/price_items/search?utf8=%E2%9C%93&amp;oem=8596RGSR5FD","8596RGSR5FD")</f>
        <v>8596RGSR5FD</v>
      </c>
      <c r="B338" s="1" t="s">
        <v>664</v>
      </c>
      <c r="C338" s="9" t="s">
        <v>642</v>
      </c>
      <c r="D338" s="14" t="s">
        <v>665</v>
      </c>
      <c r="E338" s="9" t="s">
        <v>11</v>
      </c>
    </row>
    <row r="339" spans="1:5" outlineLevel="2" x14ac:dyDescent="0.25">
      <c r="A339" s="3" t="str">
        <f>HYPERLINK("http://mystore1.ru/price_items/search?utf8=%E2%9C%93&amp;oem=8596RGSR5RD","8596RGSR5RD")</f>
        <v>8596RGSR5RD</v>
      </c>
      <c r="B339" s="1" t="s">
        <v>666</v>
      </c>
      <c r="C339" s="9" t="s">
        <v>642</v>
      </c>
      <c r="D339" s="14" t="s">
        <v>667</v>
      </c>
      <c r="E339" s="9" t="s">
        <v>11</v>
      </c>
    </row>
    <row r="340" spans="1:5" outlineLevel="2" x14ac:dyDescent="0.25">
      <c r="A340" s="3" t="str">
        <f>HYPERLINK("http://mystore1.ru/price_items/search?utf8=%E2%9C%93&amp;oem=8596RYPR5RD","8596RYPR5RD")</f>
        <v>8596RYPR5RD</v>
      </c>
      <c r="B340" s="1" t="s">
        <v>668</v>
      </c>
      <c r="C340" s="9" t="s">
        <v>642</v>
      </c>
      <c r="D340" s="14" t="s">
        <v>669</v>
      </c>
      <c r="E340" s="9" t="s">
        <v>11</v>
      </c>
    </row>
    <row r="341" spans="1:5" outlineLevel="2" x14ac:dyDescent="0.25">
      <c r="A341" s="3" t="str">
        <f>HYPERLINK("http://mystore1.ru/price_items/search?utf8=%E2%9C%93&amp;oem=8596RYPR5RD1J","8596RYPR5RD1J")</f>
        <v>8596RYPR5RD1J</v>
      </c>
      <c r="B341" s="1" t="s">
        <v>670</v>
      </c>
      <c r="C341" s="9" t="s">
        <v>642</v>
      </c>
      <c r="D341" s="14" t="s">
        <v>671</v>
      </c>
      <c r="E341" s="9" t="s">
        <v>11</v>
      </c>
    </row>
    <row r="342" spans="1:5" outlineLevel="2" x14ac:dyDescent="0.25">
      <c r="A342" s="3" t="str">
        <f>HYPERLINK("http://mystore1.ru/price_items/search?utf8=%E2%9C%93&amp;oem=8596RGSR5RD1J","8596RGSR5RD1J")</f>
        <v>8596RGSR5RD1J</v>
      </c>
      <c r="B342" s="1" t="s">
        <v>672</v>
      </c>
      <c r="C342" s="9" t="s">
        <v>642</v>
      </c>
      <c r="D342" s="14" t="s">
        <v>667</v>
      </c>
      <c r="E342" s="9" t="s">
        <v>11</v>
      </c>
    </row>
    <row r="343" spans="1:5" outlineLevel="2" x14ac:dyDescent="0.25">
      <c r="A343" s="3" t="str">
        <f>HYPERLINK("http://mystore1.ru/price_items/search?utf8=%E2%9C%93&amp;oem=8596RYPR5RQZ1M","8596RYPR5RQZ1M")</f>
        <v>8596RYPR5RQZ1M</v>
      </c>
      <c r="B343" s="1" t="s">
        <v>673</v>
      </c>
      <c r="C343" s="9" t="s">
        <v>642</v>
      </c>
      <c r="D343" s="14" t="s">
        <v>674</v>
      </c>
      <c r="E343" s="9" t="s">
        <v>11</v>
      </c>
    </row>
    <row r="344" spans="1:5" outlineLevel="2" x14ac:dyDescent="0.25">
      <c r="A344" s="3" t="str">
        <f>HYPERLINK("http://mystore1.ru/price_items/search?utf8=%E2%9C%93&amp;oem=8596RGSR5RQZ1L","8596RGSR5RQZ1L")</f>
        <v>8596RGSR5RQZ1L</v>
      </c>
      <c r="B344" s="1" t="s">
        <v>675</v>
      </c>
      <c r="C344" s="9" t="s">
        <v>642</v>
      </c>
      <c r="D344" s="14" t="s">
        <v>676</v>
      </c>
      <c r="E344" s="9" t="s">
        <v>11</v>
      </c>
    </row>
    <row r="345" spans="1:5" outlineLevel="2" x14ac:dyDescent="0.25">
      <c r="A345" s="3" t="str">
        <f>HYPERLINK("http://mystore1.ru/price_items/search?utf8=%E2%9C%93&amp;oem=8596RGSR5RQZ1M","8596RGSR5RQZ1M")</f>
        <v>8596RGSR5RQZ1M</v>
      </c>
      <c r="B345" s="1" t="s">
        <v>677</v>
      </c>
      <c r="C345" s="9" t="s">
        <v>642</v>
      </c>
      <c r="D345" s="14" t="s">
        <v>678</v>
      </c>
      <c r="E345" s="9" t="s">
        <v>11</v>
      </c>
    </row>
    <row r="346" spans="1:5" outlineLevel="2" x14ac:dyDescent="0.25">
      <c r="A346" s="3" t="str">
        <f>HYPERLINK("http://mystore1.ru/price_items/search?utf8=%E2%9C%93&amp;oem=8596RYPR5RQZ1L","8596RYPR5RQZ1L")</f>
        <v>8596RYPR5RQZ1L</v>
      </c>
      <c r="B346" s="1" t="s">
        <v>679</v>
      </c>
      <c r="C346" s="9" t="s">
        <v>642</v>
      </c>
      <c r="D346" s="14" t="s">
        <v>680</v>
      </c>
      <c r="E346" s="9" t="s">
        <v>11</v>
      </c>
    </row>
    <row r="347" spans="1:5" outlineLevel="2" x14ac:dyDescent="0.25">
      <c r="A347" s="3" t="str">
        <f>HYPERLINK("http://mystore1.ru/price_items/search?utf8=%E2%9C%93&amp;oem=8596BGSRAXW","8596BGSRAXW")</f>
        <v>8596BGSRAXW</v>
      </c>
      <c r="B347" s="1" t="s">
        <v>681</v>
      </c>
      <c r="C347" s="9" t="s">
        <v>642</v>
      </c>
      <c r="D347" s="14" t="s">
        <v>682</v>
      </c>
      <c r="E347" s="9" t="s">
        <v>30</v>
      </c>
    </row>
    <row r="348" spans="1:5" outlineLevel="2" x14ac:dyDescent="0.25">
      <c r="A348" s="3" t="str">
        <f>HYPERLINK("http://mystore1.ru/price_items/search?utf8=%E2%9C%93&amp;oem=8596BYPRAXW","8596BYPRAXW")</f>
        <v>8596BYPRAXW</v>
      </c>
      <c r="B348" s="1" t="s">
        <v>683</v>
      </c>
      <c r="C348" s="9" t="s">
        <v>642</v>
      </c>
      <c r="D348" s="14" t="s">
        <v>684</v>
      </c>
      <c r="E348" s="9" t="s">
        <v>30</v>
      </c>
    </row>
    <row r="349" spans="1:5" outlineLevel="1" x14ac:dyDescent="0.25">
      <c r="A349" s="2"/>
      <c r="B349" s="6" t="s">
        <v>685</v>
      </c>
      <c r="C349" s="12"/>
      <c r="D349" s="13"/>
      <c r="E349" s="12"/>
    </row>
    <row r="350" spans="1:5" outlineLevel="2" x14ac:dyDescent="0.25">
      <c r="A350" s="3" t="str">
        <f>HYPERLINK("http://mystore1.ru/price_items/search?utf8=%E2%9C%93&amp;oem=8588AGSCHMVZ1B","8588AGSCHMVZ1B")</f>
        <v>8588AGSCHMVZ1B</v>
      </c>
      <c r="B350" s="1" t="s">
        <v>686</v>
      </c>
      <c r="C350" s="9" t="s">
        <v>687</v>
      </c>
      <c r="D350" s="14" t="s">
        <v>688</v>
      </c>
      <c r="E350" s="9" t="s">
        <v>8</v>
      </c>
    </row>
    <row r="351" spans="1:5" outlineLevel="2" x14ac:dyDescent="0.25">
      <c r="A351" s="3" t="str">
        <f>HYPERLINK("http://mystore1.ru/price_items/search?utf8=%E2%9C%93&amp;oem=8588AGSGYMVZ","8588AGSGYMVZ")</f>
        <v>8588AGSGYMVZ</v>
      </c>
      <c r="B351" s="1" t="s">
        <v>689</v>
      </c>
      <c r="C351" s="9" t="s">
        <v>687</v>
      </c>
      <c r="D351" s="14" t="s">
        <v>690</v>
      </c>
      <c r="E351" s="9" t="s">
        <v>8</v>
      </c>
    </row>
    <row r="352" spans="1:5" outlineLevel="2" x14ac:dyDescent="0.25">
      <c r="A352" s="3" t="str">
        <f>HYPERLINK("http://mystore1.ru/price_items/search?utf8=%E2%9C%93&amp;oem=8588ASMRL","8588ASMRL")</f>
        <v>8588ASMRL</v>
      </c>
      <c r="B352" s="1" t="s">
        <v>691</v>
      </c>
      <c r="C352" s="9" t="s">
        <v>25</v>
      </c>
      <c r="D352" s="14" t="s">
        <v>692</v>
      </c>
      <c r="E352" s="9" t="s">
        <v>27</v>
      </c>
    </row>
    <row r="353" spans="1:5" outlineLevel="2" x14ac:dyDescent="0.25">
      <c r="A353" s="3" t="str">
        <f>HYPERLINK("http://mystore1.ru/price_items/search?utf8=%E2%9C%93&amp;oem=8588ASMRR","8588ASMRR")</f>
        <v>8588ASMRR</v>
      </c>
      <c r="B353" s="1" t="s">
        <v>693</v>
      </c>
      <c r="C353" s="9" t="s">
        <v>25</v>
      </c>
      <c r="D353" s="14" t="s">
        <v>694</v>
      </c>
      <c r="E353" s="9" t="s">
        <v>27</v>
      </c>
    </row>
    <row r="354" spans="1:5" outlineLevel="2" x14ac:dyDescent="0.25">
      <c r="A354" s="3" t="str">
        <f>HYPERLINK("http://mystore1.ru/price_items/search?utf8=%E2%9C%93&amp;oem=8588BGSRAZ","8588BGSRAZ")</f>
        <v>8588BGSRAZ</v>
      </c>
      <c r="B354" s="1" t="s">
        <v>695</v>
      </c>
      <c r="C354" s="9" t="s">
        <v>687</v>
      </c>
      <c r="D354" s="14" t="s">
        <v>696</v>
      </c>
      <c r="E354" s="9" t="s">
        <v>30</v>
      </c>
    </row>
    <row r="355" spans="1:5" outlineLevel="2" x14ac:dyDescent="0.25">
      <c r="A355" s="3" t="str">
        <f>HYPERLINK("http://mystore1.ru/price_items/search?utf8=%E2%9C%93&amp;oem=8588BZPRAZ","8588BZPRAZ")</f>
        <v>8588BZPRAZ</v>
      </c>
      <c r="B355" s="1" t="s">
        <v>697</v>
      </c>
      <c r="C355" s="9" t="s">
        <v>687</v>
      </c>
      <c r="D355" s="14" t="s">
        <v>698</v>
      </c>
      <c r="E355" s="9" t="s">
        <v>30</v>
      </c>
    </row>
    <row r="356" spans="1:5" outlineLevel="2" x14ac:dyDescent="0.25">
      <c r="A356" s="3" t="str">
        <f>HYPERLINK("http://mystore1.ru/price_items/search?utf8=%E2%9C%93&amp;oem=8588LGSR5FD","8588LGSR5FD")</f>
        <v>8588LGSR5FD</v>
      </c>
      <c r="B356" s="1" t="s">
        <v>699</v>
      </c>
      <c r="C356" s="9" t="s">
        <v>687</v>
      </c>
      <c r="D356" s="14" t="s">
        <v>700</v>
      </c>
      <c r="E356" s="9" t="s">
        <v>11</v>
      </c>
    </row>
    <row r="357" spans="1:5" outlineLevel="2" x14ac:dyDescent="0.25">
      <c r="A357" s="3" t="str">
        <f>HYPERLINK("http://mystore1.ru/price_items/search?utf8=%E2%9C%93&amp;oem=8588LGSR5RD","8588LGSR5RD")</f>
        <v>8588LGSR5RD</v>
      </c>
      <c r="B357" s="1" t="s">
        <v>701</v>
      </c>
      <c r="C357" s="9" t="s">
        <v>687</v>
      </c>
      <c r="D357" s="14" t="s">
        <v>702</v>
      </c>
      <c r="E357" s="9" t="s">
        <v>11</v>
      </c>
    </row>
    <row r="358" spans="1:5" outlineLevel="2" x14ac:dyDescent="0.25">
      <c r="A358" s="3" t="str">
        <f>HYPERLINK("http://mystore1.ru/price_items/search?utf8=%E2%9C%93&amp;oem=8588LZPR5RD","8588LZPR5RD")</f>
        <v>8588LZPR5RD</v>
      </c>
      <c r="B358" s="1" t="s">
        <v>703</v>
      </c>
      <c r="C358" s="9" t="s">
        <v>687</v>
      </c>
      <c r="D358" s="14" t="s">
        <v>704</v>
      </c>
      <c r="E358" s="9" t="s">
        <v>11</v>
      </c>
    </row>
    <row r="359" spans="1:5" outlineLevel="2" x14ac:dyDescent="0.25">
      <c r="A359" s="3" t="str">
        <f>HYPERLINK("http://mystore1.ru/price_items/search?utf8=%E2%9C%93&amp;oem=8588RGSR5FD","8588RGSR5FD")</f>
        <v>8588RGSR5FD</v>
      </c>
      <c r="B359" s="1" t="s">
        <v>705</v>
      </c>
      <c r="C359" s="9" t="s">
        <v>687</v>
      </c>
      <c r="D359" s="14" t="s">
        <v>706</v>
      </c>
      <c r="E359" s="9" t="s">
        <v>11</v>
      </c>
    </row>
    <row r="360" spans="1:5" outlineLevel="2" x14ac:dyDescent="0.25">
      <c r="A360" s="3" t="str">
        <f>HYPERLINK("http://mystore1.ru/price_items/search?utf8=%E2%9C%93&amp;oem=8588RGSR5RD","8588RGSR5RD")</f>
        <v>8588RGSR5RD</v>
      </c>
      <c r="B360" s="1" t="s">
        <v>707</v>
      </c>
      <c r="C360" s="9" t="s">
        <v>687</v>
      </c>
      <c r="D360" s="14" t="s">
        <v>708</v>
      </c>
      <c r="E360" s="9" t="s">
        <v>11</v>
      </c>
    </row>
    <row r="361" spans="1:5" outlineLevel="2" x14ac:dyDescent="0.25">
      <c r="A361" s="3" t="str">
        <f>HYPERLINK("http://mystore1.ru/price_items/search?utf8=%E2%9C%93&amp;oem=8588RZPR5RD","8588RZPR5RD")</f>
        <v>8588RZPR5RD</v>
      </c>
      <c r="B361" s="1" t="s">
        <v>709</v>
      </c>
      <c r="C361" s="9" t="s">
        <v>687</v>
      </c>
      <c r="D361" s="14" t="s">
        <v>710</v>
      </c>
      <c r="E361" s="9" t="s">
        <v>11</v>
      </c>
    </row>
    <row r="362" spans="1:5" outlineLevel="1" x14ac:dyDescent="0.25">
      <c r="A362" s="2"/>
      <c r="B362" s="6" t="s">
        <v>711</v>
      </c>
      <c r="C362" s="12"/>
      <c r="D362" s="13"/>
      <c r="E362" s="12"/>
    </row>
    <row r="363" spans="1:5" outlineLevel="2" x14ac:dyDescent="0.25">
      <c r="A363" s="3" t="str">
        <f>HYPERLINK("http://mystore1.ru/price_items/search?utf8=%E2%9C%93&amp;oem=8594AGSGYMVW1P","8594AGSGYMVW1P")</f>
        <v>8594AGSGYMVW1P</v>
      </c>
      <c r="B363" s="1" t="s">
        <v>712</v>
      </c>
      <c r="C363" s="9" t="s">
        <v>511</v>
      </c>
      <c r="D363" s="14" t="s">
        <v>713</v>
      </c>
      <c r="E363" s="9" t="s">
        <v>8</v>
      </c>
    </row>
    <row r="364" spans="1:5" outlineLevel="2" x14ac:dyDescent="0.25">
      <c r="A364" s="3" t="str">
        <f>HYPERLINK("http://mystore1.ru/price_items/search?utf8=%E2%9C%93&amp;oem=8594AGSGYVW","8594AGSGYVW")</f>
        <v>8594AGSGYVW</v>
      </c>
      <c r="B364" s="1" t="s">
        <v>714</v>
      </c>
      <c r="C364" s="9" t="s">
        <v>511</v>
      </c>
      <c r="D364" s="14" t="s">
        <v>715</v>
      </c>
      <c r="E364" s="9" t="s">
        <v>8</v>
      </c>
    </row>
    <row r="365" spans="1:5" outlineLevel="1" x14ac:dyDescent="0.25">
      <c r="A365" s="2"/>
      <c r="B365" s="6" t="s">
        <v>716</v>
      </c>
      <c r="C365" s="12"/>
      <c r="D365" s="13"/>
      <c r="E365" s="12"/>
    </row>
    <row r="366" spans="1:5" outlineLevel="2" x14ac:dyDescent="0.25">
      <c r="A366" s="3" t="str">
        <f>HYPERLINK("http://mystore1.ru/price_items/search?utf8=%E2%9C%93&amp;oem=8591AGSGYMVZ1P","8591AGSGYMVZ1P")</f>
        <v>8591AGSGYMVZ1P</v>
      </c>
      <c r="B366" s="1" t="s">
        <v>717</v>
      </c>
      <c r="C366" s="9" t="s">
        <v>687</v>
      </c>
      <c r="D366" s="14" t="s">
        <v>718</v>
      </c>
      <c r="E366" s="9" t="s">
        <v>8</v>
      </c>
    </row>
    <row r="367" spans="1:5" outlineLevel="2" x14ac:dyDescent="0.25">
      <c r="A367" s="3" t="str">
        <f>HYPERLINK("http://mystore1.ru/price_items/search?utf8=%E2%9C%93&amp;oem=8591AGSGYVZ","8591AGSGYVZ")</f>
        <v>8591AGSGYVZ</v>
      </c>
      <c r="B367" s="1" t="s">
        <v>719</v>
      </c>
      <c r="C367" s="9" t="s">
        <v>687</v>
      </c>
      <c r="D367" s="14" t="s">
        <v>720</v>
      </c>
      <c r="E367" s="9" t="s">
        <v>8</v>
      </c>
    </row>
    <row r="368" spans="1:5" outlineLevel="2" x14ac:dyDescent="0.25">
      <c r="A368" s="3" t="str">
        <f>HYPERLINK("http://mystore1.ru/price_items/search?utf8=%E2%9C%93&amp;oem=8591AGSVZ","8591AGSVZ")</f>
        <v>8591AGSVZ</v>
      </c>
      <c r="B368" s="1" t="s">
        <v>721</v>
      </c>
      <c r="C368" s="9" t="s">
        <v>687</v>
      </c>
      <c r="D368" s="14" t="s">
        <v>722</v>
      </c>
      <c r="E368" s="9" t="s">
        <v>8</v>
      </c>
    </row>
    <row r="369" spans="1:5" outlineLevel="2" x14ac:dyDescent="0.25">
      <c r="A369" s="3" t="str">
        <f>HYPERLINK("http://mystore1.ru/price_items/search?utf8=%E2%9C%93&amp;oem=8591BGSCAJXW","8591BGSCAJXW")</f>
        <v>8591BGSCAJXW</v>
      </c>
      <c r="B369" s="1" t="s">
        <v>723</v>
      </c>
      <c r="C369" s="9" t="s">
        <v>687</v>
      </c>
      <c r="D369" s="14" t="s">
        <v>724</v>
      </c>
      <c r="E369" s="9" t="s">
        <v>30</v>
      </c>
    </row>
    <row r="370" spans="1:5" outlineLevel="1" x14ac:dyDescent="0.25">
      <c r="A370" s="2"/>
      <c r="B370" s="6" t="s">
        <v>725</v>
      </c>
      <c r="C370" s="12"/>
      <c r="D370" s="13"/>
      <c r="E370" s="12"/>
    </row>
    <row r="371" spans="1:5" outlineLevel="2" x14ac:dyDescent="0.25">
      <c r="A371" s="3" t="str">
        <f>HYPERLINK("http://mystore1.ru/price_items/search?utf8=%E2%9C%93&amp;oem=8561AGNGYVZ1C","8561AGNGYVZ1C")</f>
        <v>8561AGNGYVZ1C</v>
      </c>
      <c r="B371" s="1" t="s">
        <v>726</v>
      </c>
      <c r="C371" s="9" t="s">
        <v>727</v>
      </c>
      <c r="D371" s="14" t="s">
        <v>728</v>
      </c>
      <c r="E371" s="9" t="s">
        <v>8</v>
      </c>
    </row>
    <row r="372" spans="1:5" outlineLevel="2" x14ac:dyDescent="0.25">
      <c r="A372" s="3" t="str">
        <f>HYPERLINK("http://mystore1.ru/price_items/search?utf8=%E2%9C%93&amp;oem=8561AGNGYZ1C","8561AGNGYZ1C")</f>
        <v>8561AGNGYZ1C</v>
      </c>
      <c r="B372" s="1" t="s">
        <v>729</v>
      </c>
      <c r="C372" s="9" t="s">
        <v>727</v>
      </c>
      <c r="D372" s="14" t="s">
        <v>730</v>
      </c>
      <c r="E372" s="9" t="s">
        <v>8</v>
      </c>
    </row>
    <row r="373" spans="1:5" outlineLevel="2" x14ac:dyDescent="0.25">
      <c r="A373" s="3" t="str">
        <f>HYPERLINK("http://mystore1.ru/price_items/search?utf8=%E2%9C%93&amp;oem=8561LGNC2FD","8561LGNC2FD")</f>
        <v>8561LGNC2FD</v>
      </c>
      <c r="B373" s="1" t="s">
        <v>731</v>
      </c>
      <c r="C373" s="9" t="s">
        <v>727</v>
      </c>
      <c r="D373" s="14" t="s">
        <v>732</v>
      </c>
      <c r="E373" s="9" t="s">
        <v>11</v>
      </c>
    </row>
    <row r="374" spans="1:5" outlineLevel="2" x14ac:dyDescent="0.25">
      <c r="A374" s="3" t="str">
        <f>HYPERLINK("http://mystore1.ru/price_items/search?utf8=%E2%9C%93&amp;oem=8561RGNC2FD","8561RGNC2FD")</f>
        <v>8561RGNC2FD</v>
      </c>
      <c r="B374" s="1" t="s">
        <v>733</v>
      </c>
      <c r="C374" s="9" t="s">
        <v>727</v>
      </c>
      <c r="D374" s="14" t="s">
        <v>734</v>
      </c>
      <c r="E374" s="9" t="s">
        <v>11</v>
      </c>
    </row>
    <row r="375" spans="1:5" x14ac:dyDescent="0.25">
      <c r="A375" s="61" t="s">
        <v>735</v>
      </c>
      <c r="B375" s="61"/>
      <c r="C375" s="61"/>
      <c r="D375" s="61"/>
      <c r="E375" s="61"/>
    </row>
    <row r="376" spans="1:5" outlineLevel="1" x14ac:dyDescent="0.25">
      <c r="A376" s="2"/>
      <c r="B376" s="6" t="s">
        <v>736</v>
      </c>
      <c r="C376" s="12"/>
      <c r="D376" s="13"/>
      <c r="E376" s="12"/>
    </row>
    <row r="377" spans="1:5" ht="15" customHeight="1" outlineLevel="2" x14ac:dyDescent="0.25">
      <c r="A377" s="3" t="str">
        <f>HYPERLINK("http://mystore1.ru/price_items/search?utf8=%E2%9C%93&amp;oem=2513ACL","2513ACL")</f>
        <v>2513ACL</v>
      </c>
      <c r="B377" s="1" t="s">
        <v>737</v>
      </c>
      <c r="C377" s="9" t="s">
        <v>738</v>
      </c>
      <c r="D377" s="14" t="s">
        <v>739</v>
      </c>
      <c r="E377" s="9" t="s">
        <v>8</v>
      </c>
    </row>
    <row r="378" spans="1:5" outlineLevel="1" x14ac:dyDescent="0.25">
      <c r="A378" s="2"/>
      <c r="B378" s="6" t="s">
        <v>740</v>
      </c>
      <c r="C378" s="12"/>
      <c r="D378" s="13"/>
      <c r="E378" s="12"/>
    </row>
    <row r="379" spans="1:5" outlineLevel="2" x14ac:dyDescent="0.25">
      <c r="A379" s="3" t="str">
        <f>HYPERLINK("http://mystore1.ru/price_items/search?utf8=%E2%9C%93&amp;oem=2514ACL","2514ACL")</f>
        <v>2514ACL</v>
      </c>
      <c r="B379" s="1" t="s">
        <v>741</v>
      </c>
      <c r="C379" s="9" t="s">
        <v>742</v>
      </c>
      <c r="D379" s="14" t="s">
        <v>743</v>
      </c>
      <c r="E379" s="9" t="s">
        <v>8</v>
      </c>
    </row>
    <row r="380" spans="1:5" x14ac:dyDescent="0.25">
      <c r="A380" s="61" t="s">
        <v>744</v>
      </c>
      <c r="B380" s="61"/>
      <c r="C380" s="61"/>
      <c r="D380" s="61"/>
      <c r="E380" s="61"/>
    </row>
    <row r="381" spans="1:5" outlineLevel="1" x14ac:dyDescent="0.25">
      <c r="A381" s="2"/>
      <c r="B381" s="6" t="s">
        <v>745</v>
      </c>
      <c r="C381" s="12"/>
      <c r="D381" s="13"/>
      <c r="E381" s="12"/>
    </row>
    <row r="382" spans="1:5" ht="15" customHeight="1" outlineLevel="2" x14ac:dyDescent="0.25">
      <c r="A382" s="3" t="str">
        <f>HYPERLINK("http://mystore1.ru/price_items/search?utf8=%E2%9C%93&amp;oem=2448AGNGNMV1B","2448AGNGNMV1B")</f>
        <v>2448AGNGNMV1B</v>
      </c>
      <c r="B382" s="1" t="s">
        <v>746</v>
      </c>
      <c r="C382" s="9" t="s">
        <v>747</v>
      </c>
      <c r="D382" s="14" t="s">
        <v>748</v>
      </c>
      <c r="E382" s="9" t="s">
        <v>8</v>
      </c>
    </row>
    <row r="383" spans="1:5" ht="15" customHeight="1" outlineLevel="2" x14ac:dyDescent="0.25">
      <c r="A383" s="3" t="str">
        <f>HYPERLINK("http://mystore1.ru/price_items/search?utf8=%E2%9C%93&amp;oem=2448AGNGNV","2448AGNGNV")</f>
        <v>2448AGNGNV</v>
      </c>
      <c r="B383" s="1" t="s">
        <v>749</v>
      </c>
      <c r="C383" s="9" t="s">
        <v>747</v>
      </c>
      <c r="D383" s="14" t="s">
        <v>750</v>
      </c>
      <c r="E383" s="9" t="s">
        <v>8</v>
      </c>
    </row>
    <row r="384" spans="1:5" ht="15" customHeight="1" outlineLevel="2" x14ac:dyDescent="0.25">
      <c r="A384" s="3" t="str">
        <f>HYPERLINK("http://mystore1.ru/price_items/search?utf8=%E2%9C%93&amp;oem=2448AGNMV1B","2448AGNMV1B")</f>
        <v>2448AGNMV1B</v>
      </c>
      <c r="B384" s="1" t="s">
        <v>751</v>
      </c>
      <c r="C384" s="9" t="s">
        <v>747</v>
      </c>
      <c r="D384" s="14" t="s">
        <v>752</v>
      </c>
      <c r="E384" s="9" t="s">
        <v>8</v>
      </c>
    </row>
    <row r="385" spans="1:5" ht="15" customHeight="1" outlineLevel="2" x14ac:dyDescent="0.25">
      <c r="A385" s="3" t="str">
        <f>HYPERLINK("http://mystore1.ru/price_items/search?utf8=%E2%9C%93&amp;oem=2448AGNV","2448AGNV")</f>
        <v>2448AGNV</v>
      </c>
      <c r="B385" s="1" t="s">
        <v>753</v>
      </c>
      <c r="C385" s="9" t="s">
        <v>747</v>
      </c>
      <c r="D385" s="14" t="s">
        <v>754</v>
      </c>
      <c r="E385" s="9" t="s">
        <v>8</v>
      </c>
    </row>
    <row r="386" spans="1:5" ht="15" customHeight="1" outlineLevel="2" x14ac:dyDescent="0.25">
      <c r="A386" s="3" t="str">
        <f>HYPERLINK("http://mystore1.ru/price_items/search?utf8=%E2%9C%93&amp;oem=2448ASMH","2448ASMH")</f>
        <v>2448ASMH</v>
      </c>
      <c r="B386" s="1" t="s">
        <v>755</v>
      </c>
      <c r="C386" s="9" t="s">
        <v>25</v>
      </c>
      <c r="D386" s="14" t="s">
        <v>756</v>
      </c>
      <c r="E386" s="9" t="s">
        <v>27</v>
      </c>
    </row>
    <row r="387" spans="1:5" ht="15" customHeight="1" outlineLevel="2" x14ac:dyDescent="0.25">
      <c r="A387" s="3" t="str">
        <f>HYPERLINK("http://mystore1.ru/price_items/search?utf8=%E2%9C%93&amp;oem=2448BGNHAB","2448BGNHAB")</f>
        <v>2448BGNHAB</v>
      </c>
      <c r="B387" s="1" t="s">
        <v>757</v>
      </c>
      <c r="C387" s="9" t="s">
        <v>747</v>
      </c>
      <c r="D387" s="14" t="s">
        <v>758</v>
      </c>
      <c r="E387" s="9" t="s">
        <v>30</v>
      </c>
    </row>
    <row r="388" spans="1:5" ht="15" customHeight="1" outlineLevel="2" x14ac:dyDescent="0.25">
      <c r="A388" s="3" t="str">
        <f>HYPERLINK("http://mystore1.ru/price_items/search?utf8=%E2%9C%93&amp;oem=2448BGNHAB1F","2448BGNHAB1F")</f>
        <v>2448BGNHAB1F</v>
      </c>
      <c r="B388" s="1" t="s">
        <v>759</v>
      </c>
      <c r="C388" s="9" t="s">
        <v>747</v>
      </c>
      <c r="D388" s="14" t="s">
        <v>760</v>
      </c>
      <c r="E388" s="9" t="s">
        <v>30</v>
      </c>
    </row>
    <row r="389" spans="1:5" ht="15" customHeight="1" outlineLevel="2" x14ac:dyDescent="0.25">
      <c r="A389" s="3" t="str">
        <f>HYPERLINK("http://mystore1.ru/price_items/search?utf8=%E2%9C%93&amp;oem=2448LGDH5RD","2448LGDH5RD")</f>
        <v>2448LGDH5RD</v>
      </c>
      <c r="B389" s="1" t="s">
        <v>761</v>
      </c>
      <c r="C389" s="9" t="s">
        <v>747</v>
      </c>
      <c r="D389" s="14" t="s">
        <v>762</v>
      </c>
      <c r="E389" s="9" t="s">
        <v>11</v>
      </c>
    </row>
    <row r="390" spans="1:5" ht="15" customHeight="1" outlineLevel="2" x14ac:dyDescent="0.25">
      <c r="A390" s="3" t="str">
        <f>HYPERLINK("http://mystore1.ru/price_items/search?utf8=%E2%9C%93&amp;oem=2448LGDH5RV","2448LGDH5RV")</f>
        <v>2448LGDH5RV</v>
      </c>
      <c r="B390" s="1" t="s">
        <v>763</v>
      </c>
      <c r="C390" s="9" t="s">
        <v>747</v>
      </c>
      <c r="D390" s="14" t="s">
        <v>764</v>
      </c>
      <c r="E390" s="9" t="s">
        <v>11</v>
      </c>
    </row>
    <row r="391" spans="1:5" ht="15" customHeight="1" outlineLevel="2" x14ac:dyDescent="0.25">
      <c r="A391" s="3" t="str">
        <f>HYPERLINK("http://mystore1.ru/price_items/search?utf8=%E2%9C%93&amp;oem=2448LGNH5FD","2448LGNH5FD")</f>
        <v>2448LGNH5FD</v>
      </c>
      <c r="B391" s="1" t="s">
        <v>765</v>
      </c>
      <c r="C391" s="9" t="s">
        <v>747</v>
      </c>
      <c r="D391" s="14" t="s">
        <v>766</v>
      </c>
      <c r="E391" s="9" t="s">
        <v>11</v>
      </c>
    </row>
    <row r="392" spans="1:5" ht="15" customHeight="1" outlineLevel="2" x14ac:dyDescent="0.25">
      <c r="A392" s="3" t="str">
        <f>HYPERLINK("http://mystore1.ru/price_items/search?utf8=%E2%9C%93&amp;oem=2448LGNH5RD","2448LGNH5RD")</f>
        <v>2448LGNH5RD</v>
      </c>
      <c r="B392" s="1" t="s">
        <v>767</v>
      </c>
      <c r="C392" s="9" t="s">
        <v>747</v>
      </c>
      <c r="D392" s="14" t="s">
        <v>768</v>
      </c>
      <c r="E392" s="9" t="s">
        <v>11</v>
      </c>
    </row>
    <row r="393" spans="1:5" ht="15" customHeight="1" outlineLevel="2" x14ac:dyDescent="0.25">
      <c r="A393" s="3" t="str">
        <f>HYPERLINK("http://mystore1.ru/price_items/search?utf8=%E2%9C%93&amp;oem=2448LGNH5RV","2448LGNH5RV")</f>
        <v>2448LGNH5RV</v>
      </c>
      <c r="B393" s="1" t="s">
        <v>769</v>
      </c>
      <c r="C393" s="9" t="s">
        <v>747</v>
      </c>
      <c r="D393" s="14" t="s">
        <v>770</v>
      </c>
      <c r="E393" s="9" t="s">
        <v>11</v>
      </c>
    </row>
    <row r="394" spans="1:5" ht="15" customHeight="1" outlineLevel="2" x14ac:dyDescent="0.25">
      <c r="A394" s="3" t="str">
        <f>HYPERLINK("http://mystore1.ru/price_items/search?utf8=%E2%9C%93&amp;oem=2448RGDH5RD","2448RGDH5RD")</f>
        <v>2448RGDH5RD</v>
      </c>
      <c r="B394" s="1" t="s">
        <v>771</v>
      </c>
      <c r="C394" s="9" t="s">
        <v>747</v>
      </c>
      <c r="D394" s="14" t="s">
        <v>772</v>
      </c>
      <c r="E394" s="9" t="s">
        <v>11</v>
      </c>
    </row>
    <row r="395" spans="1:5" ht="15" customHeight="1" outlineLevel="2" x14ac:dyDescent="0.25">
      <c r="A395" s="3" t="str">
        <f>HYPERLINK("http://mystore1.ru/price_items/search?utf8=%E2%9C%93&amp;oem=2448RGDH5RV","2448RGDH5RV")</f>
        <v>2448RGDH5RV</v>
      </c>
      <c r="B395" s="1" t="s">
        <v>773</v>
      </c>
      <c r="C395" s="9" t="s">
        <v>747</v>
      </c>
      <c r="D395" s="14" t="s">
        <v>774</v>
      </c>
      <c r="E395" s="9" t="s">
        <v>11</v>
      </c>
    </row>
    <row r="396" spans="1:5" ht="15" customHeight="1" outlineLevel="2" x14ac:dyDescent="0.25">
      <c r="A396" s="3" t="str">
        <f>HYPERLINK("http://mystore1.ru/price_items/search?utf8=%E2%9C%93&amp;oem=2448RGNH5FD","2448RGNH5FD")</f>
        <v>2448RGNH5FD</v>
      </c>
      <c r="B396" s="1" t="s">
        <v>775</v>
      </c>
      <c r="C396" s="9" t="s">
        <v>747</v>
      </c>
      <c r="D396" s="14" t="s">
        <v>776</v>
      </c>
      <c r="E396" s="9" t="s">
        <v>11</v>
      </c>
    </row>
    <row r="397" spans="1:5" ht="15" customHeight="1" outlineLevel="2" x14ac:dyDescent="0.25">
      <c r="A397" s="3" t="str">
        <f>HYPERLINK("http://mystore1.ru/price_items/search?utf8=%E2%9C%93&amp;oem=2448RGNH5RD","2448RGNH5RD")</f>
        <v>2448RGNH5RD</v>
      </c>
      <c r="B397" s="1" t="s">
        <v>777</v>
      </c>
      <c r="C397" s="9" t="s">
        <v>747</v>
      </c>
      <c r="D397" s="14" t="s">
        <v>778</v>
      </c>
      <c r="E397" s="9" t="s">
        <v>11</v>
      </c>
    </row>
    <row r="398" spans="1:5" ht="15" customHeight="1" outlineLevel="2" x14ac:dyDescent="0.25">
      <c r="A398" s="3" t="str">
        <f>HYPERLINK("http://mystore1.ru/price_items/search?utf8=%E2%9C%93&amp;oem=2448RGNH5RV","2448RGNH5RV")</f>
        <v>2448RGNH5RV</v>
      </c>
      <c r="B398" s="1" t="s">
        <v>779</v>
      </c>
      <c r="C398" s="9" t="s">
        <v>747</v>
      </c>
      <c r="D398" s="14" t="s">
        <v>780</v>
      </c>
      <c r="E398" s="9" t="s">
        <v>11</v>
      </c>
    </row>
    <row r="399" spans="1:5" outlineLevel="1" x14ac:dyDescent="0.25">
      <c r="A399" s="2"/>
      <c r="B399" s="6" t="s">
        <v>781</v>
      </c>
      <c r="C399" s="12"/>
      <c r="D399" s="13"/>
      <c r="E399" s="12"/>
    </row>
    <row r="400" spans="1:5" ht="15" customHeight="1" outlineLevel="2" x14ac:dyDescent="0.25">
      <c r="A400" s="3" t="str">
        <f>HYPERLINK("http://mystore1.ru/price_items/search?utf8=%E2%9C%93&amp;oem=2421ACL","2421ACL")</f>
        <v>2421ACL</v>
      </c>
      <c r="B400" s="1" t="s">
        <v>782</v>
      </c>
      <c r="C400" s="9" t="s">
        <v>783</v>
      </c>
      <c r="D400" s="14" t="s">
        <v>784</v>
      </c>
      <c r="E400" s="9" t="s">
        <v>8</v>
      </c>
    </row>
    <row r="401" spans="1:5" ht="15" customHeight="1" outlineLevel="2" x14ac:dyDescent="0.25">
      <c r="A401" s="3" t="str">
        <f>HYPERLINK("http://mystore1.ru/price_items/search?utf8=%E2%9C%93&amp;oem=2421AGN","2421AGN")</f>
        <v>2421AGN</v>
      </c>
      <c r="B401" s="1" t="s">
        <v>785</v>
      </c>
      <c r="C401" s="9" t="s">
        <v>783</v>
      </c>
      <c r="D401" s="14" t="s">
        <v>786</v>
      </c>
      <c r="E401" s="9" t="s">
        <v>8</v>
      </c>
    </row>
    <row r="402" spans="1:5" ht="15" customHeight="1" outlineLevel="2" x14ac:dyDescent="0.25">
      <c r="A402" s="3" t="str">
        <f>HYPERLINK("http://mystore1.ru/price_items/search?utf8=%E2%9C%93&amp;oem=2421AGNGN","2421AGNGN")</f>
        <v>2421AGNGN</v>
      </c>
      <c r="B402" s="1" t="s">
        <v>787</v>
      </c>
      <c r="C402" s="9" t="s">
        <v>783</v>
      </c>
      <c r="D402" s="14" t="s">
        <v>788</v>
      </c>
      <c r="E402" s="9" t="s">
        <v>8</v>
      </c>
    </row>
    <row r="403" spans="1:5" outlineLevel="1" x14ac:dyDescent="0.25">
      <c r="A403" s="2"/>
      <c r="B403" s="6" t="s">
        <v>789</v>
      </c>
      <c r="C403" s="12"/>
      <c r="D403" s="13"/>
      <c r="E403" s="12"/>
    </row>
    <row r="404" spans="1:5" ht="15" customHeight="1" outlineLevel="2" x14ac:dyDescent="0.25">
      <c r="A404" s="3" t="str">
        <f>HYPERLINK("http://mystore1.ru/price_items/search?utf8=%E2%9C%93&amp;oem=2425ABZ","2425ABZ")</f>
        <v>2425ABZ</v>
      </c>
      <c r="B404" s="1" t="s">
        <v>790</v>
      </c>
      <c r="C404" s="9" t="s">
        <v>791</v>
      </c>
      <c r="D404" s="14" t="s">
        <v>792</v>
      </c>
      <c r="E404" s="9" t="s">
        <v>8</v>
      </c>
    </row>
    <row r="405" spans="1:5" ht="15" customHeight="1" outlineLevel="2" x14ac:dyDescent="0.25">
      <c r="A405" s="3" t="str">
        <f>HYPERLINK("http://mystore1.ru/price_items/search?utf8=%E2%9C%93&amp;oem=2425ABZBL","2425ABZBL")</f>
        <v>2425ABZBL</v>
      </c>
      <c r="B405" s="1" t="s">
        <v>793</v>
      </c>
      <c r="C405" s="9" t="s">
        <v>791</v>
      </c>
      <c r="D405" s="14" t="s">
        <v>794</v>
      </c>
      <c r="E405" s="9" t="s">
        <v>8</v>
      </c>
    </row>
    <row r="406" spans="1:5" ht="15" customHeight="1" outlineLevel="2" x14ac:dyDescent="0.25">
      <c r="A406" s="3" t="str">
        <f>HYPERLINK("http://mystore1.ru/price_items/search?utf8=%E2%9C%93&amp;oem=2425ACL","2425ACL")</f>
        <v>2425ACL</v>
      </c>
      <c r="B406" s="1" t="s">
        <v>795</v>
      </c>
      <c r="C406" s="9" t="s">
        <v>791</v>
      </c>
      <c r="D406" s="14" t="s">
        <v>796</v>
      </c>
      <c r="E406" s="9" t="s">
        <v>8</v>
      </c>
    </row>
    <row r="407" spans="1:5" ht="15" customHeight="1" outlineLevel="2" x14ac:dyDescent="0.25">
      <c r="A407" s="3" t="str">
        <f>HYPERLINK("http://mystore1.ru/price_items/search?utf8=%E2%9C%93&amp;oem=2425AGN","2425AGN")</f>
        <v>2425AGN</v>
      </c>
      <c r="B407" s="1" t="s">
        <v>797</v>
      </c>
      <c r="C407" s="9" t="s">
        <v>791</v>
      </c>
      <c r="D407" s="14" t="s">
        <v>798</v>
      </c>
      <c r="E407" s="9" t="s">
        <v>8</v>
      </c>
    </row>
    <row r="408" spans="1:5" ht="15" customHeight="1" outlineLevel="2" x14ac:dyDescent="0.25">
      <c r="A408" s="3" t="str">
        <f>HYPERLINK("http://mystore1.ru/price_items/search?utf8=%E2%9C%93&amp;oem=2425AGN1C","2425AGN1C")</f>
        <v>2425AGN1C</v>
      </c>
      <c r="B408" s="1" t="s">
        <v>799</v>
      </c>
      <c r="C408" s="9" t="s">
        <v>800</v>
      </c>
      <c r="D408" s="14" t="s">
        <v>801</v>
      </c>
      <c r="E408" s="9" t="s">
        <v>8</v>
      </c>
    </row>
    <row r="409" spans="1:5" ht="15" customHeight="1" outlineLevel="2" x14ac:dyDescent="0.25">
      <c r="A409" s="3" t="str">
        <f>HYPERLINK("http://mystore1.ru/price_items/search?utf8=%E2%9C%93&amp;oem=2425AGNBL","2425AGNBL")</f>
        <v>2425AGNBL</v>
      </c>
      <c r="B409" s="1" t="s">
        <v>802</v>
      </c>
      <c r="C409" s="9" t="s">
        <v>791</v>
      </c>
      <c r="D409" s="14" t="s">
        <v>803</v>
      </c>
      <c r="E409" s="9" t="s">
        <v>8</v>
      </c>
    </row>
    <row r="410" spans="1:5" ht="15" customHeight="1" outlineLevel="2" x14ac:dyDescent="0.25">
      <c r="A410" s="3" t="str">
        <f>HYPERLINK("http://mystore1.ru/price_items/search?utf8=%E2%9C%93&amp;oem=2425AGNGN","2425AGNGN")</f>
        <v>2425AGNGN</v>
      </c>
      <c r="B410" s="1" t="s">
        <v>804</v>
      </c>
      <c r="C410" s="9" t="s">
        <v>791</v>
      </c>
      <c r="D410" s="14" t="s">
        <v>805</v>
      </c>
      <c r="E410" s="9" t="s">
        <v>8</v>
      </c>
    </row>
    <row r="411" spans="1:5" ht="15" customHeight="1" outlineLevel="2" x14ac:dyDescent="0.25">
      <c r="A411" s="3" t="str">
        <f>HYPERLINK("http://mystore1.ru/price_items/search?utf8=%E2%9C%93&amp;oem=2425AGNGN1C","2425AGNGN1C")</f>
        <v>2425AGNGN1C</v>
      </c>
      <c r="B411" s="1" t="s">
        <v>806</v>
      </c>
      <c r="C411" s="9" t="s">
        <v>800</v>
      </c>
      <c r="D411" s="14" t="s">
        <v>807</v>
      </c>
      <c r="E411" s="9" t="s">
        <v>8</v>
      </c>
    </row>
    <row r="412" spans="1:5" ht="15" customHeight="1" outlineLevel="2" x14ac:dyDescent="0.25">
      <c r="A412" s="3" t="str">
        <f>HYPERLINK("http://mystore1.ru/price_items/search?utf8=%E2%9C%93&amp;oem=2425ASRS","2425ASRS")</f>
        <v>2425ASRS</v>
      </c>
      <c r="B412" s="1" t="s">
        <v>808</v>
      </c>
      <c r="C412" s="9" t="s">
        <v>25</v>
      </c>
      <c r="D412" s="14" t="s">
        <v>809</v>
      </c>
      <c r="E412" s="9" t="s">
        <v>27</v>
      </c>
    </row>
    <row r="413" spans="1:5" ht="15" customHeight="1" outlineLevel="2" x14ac:dyDescent="0.25">
      <c r="A413" s="3" t="str">
        <f>HYPERLINK("http://mystore1.ru/price_items/search?utf8=%E2%9C%93&amp;oem=2425BCLS","2425BCLS")</f>
        <v>2425BCLS</v>
      </c>
      <c r="B413" s="1" t="s">
        <v>810</v>
      </c>
      <c r="C413" s="9" t="s">
        <v>791</v>
      </c>
      <c r="D413" s="14" t="s">
        <v>811</v>
      </c>
      <c r="E413" s="9" t="s">
        <v>30</v>
      </c>
    </row>
    <row r="414" spans="1:5" ht="15" customHeight="1" outlineLevel="2" x14ac:dyDescent="0.25">
      <c r="A414" s="3" t="str">
        <f>HYPERLINK("http://mystore1.ru/price_items/search?utf8=%E2%9C%93&amp;oem=2425BGNE","2425BGNE")</f>
        <v>2425BGNE</v>
      </c>
      <c r="B414" s="1" t="s">
        <v>812</v>
      </c>
      <c r="C414" s="9" t="s">
        <v>791</v>
      </c>
      <c r="D414" s="14" t="s">
        <v>813</v>
      </c>
      <c r="E414" s="9" t="s">
        <v>30</v>
      </c>
    </row>
    <row r="415" spans="1:5" ht="15" customHeight="1" outlineLevel="2" x14ac:dyDescent="0.25">
      <c r="A415" s="3" t="str">
        <f>HYPERLINK("http://mystore1.ru/price_items/search?utf8=%E2%9C%93&amp;oem=2425BGNS","2425BGNS")</f>
        <v>2425BGNS</v>
      </c>
      <c r="B415" s="1" t="s">
        <v>814</v>
      </c>
      <c r="C415" s="9" t="s">
        <v>791</v>
      </c>
      <c r="D415" s="14" t="s">
        <v>815</v>
      </c>
      <c r="E415" s="9" t="s">
        <v>30</v>
      </c>
    </row>
    <row r="416" spans="1:5" ht="15" customHeight="1" outlineLevel="2" x14ac:dyDescent="0.25">
      <c r="A416" s="3" t="str">
        <f>HYPERLINK("http://mystore1.ru/price_items/search?utf8=%E2%9C%93&amp;oem=2425LCLS4FD","2425LCLS4FD")</f>
        <v>2425LCLS4FD</v>
      </c>
      <c r="B416" s="1" t="s">
        <v>816</v>
      </c>
      <c r="C416" s="9" t="s">
        <v>791</v>
      </c>
      <c r="D416" s="14" t="s">
        <v>817</v>
      </c>
      <c r="E416" s="9" t="s">
        <v>11</v>
      </c>
    </row>
    <row r="417" spans="1:5" ht="15" customHeight="1" outlineLevel="2" x14ac:dyDescent="0.25">
      <c r="A417" s="3" t="str">
        <f>HYPERLINK("http://mystore1.ru/price_items/search?utf8=%E2%9C%93&amp;oem=2425LCLS4RV","2425LCLS4RV")</f>
        <v>2425LCLS4RV</v>
      </c>
      <c r="B417" s="1" t="s">
        <v>818</v>
      </c>
      <c r="C417" s="9" t="s">
        <v>791</v>
      </c>
      <c r="D417" s="14" t="s">
        <v>819</v>
      </c>
      <c r="E417" s="9" t="s">
        <v>11</v>
      </c>
    </row>
    <row r="418" spans="1:5" ht="15" customHeight="1" outlineLevel="2" x14ac:dyDescent="0.25">
      <c r="A418" s="3" t="str">
        <f>HYPERLINK("http://mystore1.ru/price_items/search?utf8=%E2%9C%93&amp;oem=2425LGNS2FD","2425LGNS2FD")</f>
        <v>2425LGNS2FD</v>
      </c>
      <c r="B418" s="1" t="s">
        <v>820</v>
      </c>
      <c r="C418" s="9" t="s">
        <v>791</v>
      </c>
      <c r="D418" s="14" t="s">
        <v>821</v>
      </c>
      <c r="E418" s="9" t="s">
        <v>11</v>
      </c>
    </row>
    <row r="419" spans="1:5" ht="15" customHeight="1" outlineLevel="2" x14ac:dyDescent="0.25">
      <c r="A419" s="3" t="str">
        <f>HYPERLINK("http://mystore1.ru/price_items/search?utf8=%E2%9C%93&amp;oem=2425LGNS2FD1J","2425LGNS2FD1J")</f>
        <v>2425LGNS2FD1J</v>
      </c>
      <c r="B419" s="1" t="s">
        <v>822</v>
      </c>
      <c r="C419" s="9" t="s">
        <v>791</v>
      </c>
      <c r="D419" s="14" t="s">
        <v>823</v>
      </c>
      <c r="E419" s="9" t="s">
        <v>11</v>
      </c>
    </row>
    <row r="420" spans="1:5" ht="15" customHeight="1" outlineLevel="2" x14ac:dyDescent="0.25">
      <c r="A420" s="3" t="str">
        <f>HYPERLINK("http://mystore1.ru/price_items/search?utf8=%E2%9C%93&amp;oem=2425LGNS4FD","2425LGNS4FD")</f>
        <v>2425LGNS4FD</v>
      </c>
      <c r="B420" s="1" t="s">
        <v>824</v>
      </c>
      <c r="C420" s="9" t="s">
        <v>791</v>
      </c>
      <c r="D420" s="14" t="s">
        <v>825</v>
      </c>
      <c r="E420" s="9" t="s">
        <v>11</v>
      </c>
    </row>
    <row r="421" spans="1:5" ht="15" customHeight="1" outlineLevel="2" x14ac:dyDescent="0.25">
      <c r="A421" s="3" t="str">
        <f>HYPERLINK("http://mystore1.ru/price_items/search?utf8=%E2%9C%93&amp;oem=2425LGNS4FD1J","2425LGNS4FD1J")</f>
        <v>2425LGNS4FD1J</v>
      </c>
      <c r="B421" s="1" t="s">
        <v>826</v>
      </c>
      <c r="C421" s="9" t="s">
        <v>827</v>
      </c>
      <c r="D421" s="14" t="s">
        <v>828</v>
      </c>
      <c r="E421" s="9" t="s">
        <v>11</v>
      </c>
    </row>
    <row r="422" spans="1:5" ht="15" customHeight="1" outlineLevel="2" x14ac:dyDescent="0.25">
      <c r="A422" s="3" t="str">
        <f>HYPERLINK("http://mystore1.ru/price_items/search?utf8=%E2%9C%93&amp;oem=2425LGNS4RV","2425LGNS4RV")</f>
        <v>2425LGNS4RV</v>
      </c>
      <c r="B422" s="1" t="s">
        <v>829</v>
      </c>
      <c r="C422" s="9" t="s">
        <v>791</v>
      </c>
      <c r="D422" s="14" t="s">
        <v>830</v>
      </c>
      <c r="E422" s="9" t="s">
        <v>11</v>
      </c>
    </row>
    <row r="423" spans="1:5" ht="15" customHeight="1" outlineLevel="2" x14ac:dyDescent="0.25">
      <c r="A423" s="3" t="str">
        <f>HYPERLINK("http://mystore1.ru/price_items/search?utf8=%E2%9C%93&amp;oem=2425LGNT2FD","2425LGNT2FD")</f>
        <v>2425LGNT2FD</v>
      </c>
      <c r="B423" s="1" t="s">
        <v>831</v>
      </c>
      <c r="C423" s="9" t="s">
        <v>791</v>
      </c>
      <c r="D423" s="14" t="s">
        <v>832</v>
      </c>
      <c r="E423" s="9" t="s">
        <v>11</v>
      </c>
    </row>
    <row r="424" spans="1:5" ht="15" customHeight="1" outlineLevel="2" x14ac:dyDescent="0.25">
      <c r="A424" s="3" t="str">
        <f>HYPERLINK("http://mystore1.ru/price_items/search?utf8=%E2%9C%93&amp;oem=2425RBZS4FD","2425RBZS4FD")</f>
        <v>2425RBZS4FD</v>
      </c>
      <c r="B424" s="1" t="s">
        <v>833</v>
      </c>
      <c r="C424" s="9" t="s">
        <v>791</v>
      </c>
      <c r="D424" s="14" t="s">
        <v>834</v>
      </c>
      <c r="E424" s="9" t="s">
        <v>11</v>
      </c>
    </row>
    <row r="425" spans="1:5" ht="15" customHeight="1" outlineLevel="2" x14ac:dyDescent="0.25">
      <c r="A425" s="3" t="str">
        <f>HYPERLINK("http://mystore1.ru/price_items/search?utf8=%E2%9C%93&amp;oem=2425RCLS2FD","2425RCLS2FD")</f>
        <v>2425RCLS2FD</v>
      </c>
      <c r="B425" s="1" t="s">
        <v>835</v>
      </c>
      <c r="C425" s="9" t="s">
        <v>791</v>
      </c>
      <c r="D425" s="14" t="s">
        <v>836</v>
      </c>
      <c r="E425" s="9" t="s">
        <v>11</v>
      </c>
    </row>
    <row r="426" spans="1:5" ht="15" customHeight="1" outlineLevel="2" x14ac:dyDescent="0.25">
      <c r="A426" s="3" t="str">
        <f>HYPERLINK("http://mystore1.ru/price_items/search?utf8=%E2%9C%93&amp;oem=2425RCLS4FD","2425RCLS4FD")</f>
        <v>2425RCLS4FD</v>
      </c>
      <c r="B426" s="1" t="s">
        <v>837</v>
      </c>
      <c r="C426" s="9" t="s">
        <v>791</v>
      </c>
      <c r="D426" s="14" t="s">
        <v>838</v>
      </c>
      <c r="E426" s="9" t="s">
        <v>11</v>
      </c>
    </row>
    <row r="427" spans="1:5" ht="15" customHeight="1" outlineLevel="2" x14ac:dyDescent="0.25">
      <c r="A427" s="3" t="str">
        <f>HYPERLINK("http://mystore1.ru/price_items/search?utf8=%E2%9C%93&amp;oem=2425RCLS4RD","2425RCLS4RD")</f>
        <v>2425RCLS4RD</v>
      </c>
      <c r="B427" s="1" t="s">
        <v>839</v>
      </c>
      <c r="C427" s="9" t="s">
        <v>791</v>
      </c>
      <c r="D427" s="14" t="s">
        <v>840</v>
      </c>
      <c r="E427" s="9" t="s">
        <v>11</v>
      </c>
    </row>
    <row r="428" spans="1:5" ht="15" customHeight="1" outlineLevel="2" x14ac:dyDescent="0.25">
      <c r="A428" s="3" t="str">
        <f>HYPERLINK("http://mystore1.ru/price_items/search?utf8=%E2%9C%93&amp;oem=2425RCLS4RV","2425RCLS4RV")</f>
        <v>2425RCLS4RV</v>
      </c>
      <c r="B428" s="1" t="s">
        <v>841</v>
      </c>
      <c r="C428" s="9" t="s">
        <v>791</v>
      </c>
      <c r="D428" s="14" t="s">
        <v>842</v>
      </c>
      <c r="E428" s="9" t="s">
        <v>11</v>
      </c>
    </row>
    <row r="429" spans="1:5" ht="15" customHeight="1" outlineLevel="2" x14ac:dyDescent="0.25">
      <c r="A429" s="3" t="str">
        <f>HYPERLINK("http://mystore1.ru/price_items/search?utf8=%E2%9C%93&amp;oem=2425RGNS2FD1J","2425RGNS2FD1J")</f>
        <v>2425RGNS2FD1J</v>
      </c>
      <c r="B429" s="1" t="s">
        <v>843</v>
      </c>
      <c r="C429" s="9" t="s">
        <v>791</v>
      </c>
      <c r="D429" s="14" t="s">
        <v>844</v>
      </c>
      <c r="E429" s="9" t="s">
        <v>11</v>
      </c>
    </row>
    <row r="430" spans="1:5" ht="15" customHeight="1" outlineLevel="2" x14ac:dyDescent="0.25">
      <c r="A430" s="3" t="str">
        <f>HYPERLINK("http://mystore1.ru/price_items/search?utf8=%E2%9C%93&amp;oem=2425RGNS4FD","2425RGNS4FD")</f>
        <v>2425RGNS4FD</v>
      </c>
      <c r="B430" s="1" t="s">
        <v>845</v>
      </c>
      <c r="C430" s="9" t="s">
        <v>791</v>
      </c>
      <c r="D430" s="14" t="s">
        <v>846</v>
      </c>
      <c r="E430" s="9" t="s">
        <v>11</v>
      </c>
    </row>
    <row r="431" spans="1:5" ht="15" customHeight="1" outlineLevel="2" x14ac:dyDescent="0.25">
      <c r="A431" s="3" t="str">
        <f>HYPERLINK("http://mystore1.ru/price_items/search?utf8=%E2%9C%93&amp;oem=2425RGNS4FD1J","2425RGNS4FD1J")</f>
        <v>2425RGNS4FD1J</v>
      </c>
      <c r="B431" s="1" t="s">
        <v>847</v>
      </c>
      <c r="C431" s="9" t="s">
        <v>791</v>
      </c>
      <c r="D431" s="14" t="s">
        <v>848</v>
      </c>
      <c r="E431" s="9" t="s">
        <v>11</v>
      </c>
    </row>
    <row r="432" spans="1:5" ht="15" customHeight="1" outlineLevel="2" x14ac:dyDescent="0.25">
      <c r="A432" s="3" t="str">
        <f>HYPERLINK("http://mystore1.ru/price_items/search?utf8=%E2%9C%93&amp;oem=2425RGNS4RD","2425RGNS4RD")</f>
        <v>2425RGNS4RD</v>
      </c>
      <c r="B432" s="1" t="s">
        <v>849</v>
      </c>
      <c r="C432" s="9" t="s">
        <v>791</v>
      </c>
      <c r="D432" s="14" t="s">
        <v>850</v>
      </c>
      <c r="E432" s="9" t="s">
        <v>11</v>
      </c>
    </row>
    <row r="433" spans="1:5" ht="15" customHeight="1" outlineLevel="2" x14ac:dyDescent="0.25">
      <c r="A433" s="3" t="str">
        <f>HYPERLINK("http://mystore1.ru/price_items/search?utf8=%E2%9C%93&amp;oem=2425RGNS4RD1J","2425RGNS4RD1J")</f>
        <v>2425RGNS4RD1J</v>
      </c>
      <c r="B433" s="1" t="s">
        <v>851</v>
      </c>
      <c r="C433" s="9" t="s">
        <v>791</v>
      </c>
      <c r="D433" s="14" t="s">
        <v>852</v>
      </c>
      <c r="E433" s="9" t="s">
        <v>11</v>
      </c>
    </row>
    <row r="434" spans="1:5" ht="15" customHeight="1" outlineLevel="2" x14ac:dyDescent="0.25">
      <c r="A434" s="3" t="str">
        <f>HYPERLINK("http://mystore1.ru/price_items/search?utf8=%E2%9C%93&amp;oem=2425RGNS4RV","2425RGNS4RV")</f>
        <v>2425RGNS4RV</v>
      </c>
      <c r="B434" s="1" t="s">
        <v>853</v>
      </c>
      <c r="C434" s="9" t="s">
        <v>791</v>
      </c>
      <c r="D434" s="14" t="s">
        <v>854</v>
      </c>
      <c r="E434" s="9" t="s">
        <v>11</v>
      </c>
    </row>
    <row r="435" spans="1:5" ht="15" customHeight="1" outlineLevel="2" x14ac:dyDescent="0.25">
      <c r="A435" s="3" t="str">
        <f>HYPERLINK("http://mystore1.ru/price_items/search?utf8=%E2%9C%93&amp;oem=2425RGNT2FD","2425RGNT2FD")</f>
        <v>2425RGNT2FD</v>
      </c>
      <c r="B435" s="1" t="s">
        <v>855</v>
      </c>
      <c r="C435" s="9" t="s">
        <v>791</v>
      </c>
      <c r="D435" s="14" t="s">
        <v>856</v>
      </c>
      <c r="E435" s="9" t="s">
        <v>11</v>
      </c>
    </row>
    <row r="436" spans="1:5" outlineLevel="1" x14ac:dyDescent="0.25">
      <c r="A436" s="2"/>
      <c r="B436" s="6" t="s">
        <v>857</v>
      </c>
      <c r="C436" s="12"/>
      <c r="D436" s="13"/>
      <c r="E436" s="12"/>
    </row>
    <row r="437" spans="1:5" ht="15" customHeight="1" outlineLevel="2" x14ac:dyDescent="0.25">
      <c r="A437" s="3" t="str">
        <f>HYPERLINK("http://mystore1.ru/price_items/search?utf8=%E2%9C%93&amp;oem=2428AGNGNZ","2428AGNGNZ")</f>
        <v>2428AGNGNZ</v>
      </c>
      <c r="B437" s="1" t="s">
        <v>858</v>
      </c>
      <c r="C437" s="9" t="s">
        <v>859</v>
      </c>
      <c r="D437" s="14" t="s">
        <v>860</v>
      </c>
      <c r="E437" s="9" t="s">
        <v>8</v>
      </c>
    </row>
    <row r="438" spans="1:5" ht="15" customHeight="1" outlineLevel="2" x14ac:dyDescent="0.25">
      <c r="A438" s="3" t="str">
        <f>HYPERLINK("http://mystore1.ru/price_items/search?utf8=%E2%9C%93&amp;oem=2428AGNZ","2428AGNZ")</f>
        <v>2428AGNZ</v>
      </c>
      <c r="B438" s="1" t="s">
        <v>861</v>
      </c>
      <c r="C438" s="9" t="s">
        <v>859</v>
      </c>
      <c r="D438" s="14" t="s">
        <v>862</v>
      </c>
      <c r="E438" s="9" t="s">
        <v>8</v>
      </c>
    </row>
    <row r="439" spans="1:5" outlineLevel="1" x14ac:dyDescent="0.25">
      <c r="A439" s="2"/>
      <c r="B439" s="6" t="s">
        <v>863</v>
      </c>
      <c r="C439" s="12"/>
      <c r="D439" s="13"/>
      <c r="E439" s="12"/>
    </row>
    <row r="440" spans="1:5" ht="15" customHeight="1" outlineLevel="2" x14ac:dyDescent="0.25">
      <c r="A440" s="3" t="str">
        <f>HYPERLINK("http://mystore1.ru/price_items/search?utf8=%E2%9C%93&amp;oem=2432AGNBLV","2432AGNBLV")</f>
        <v>2432AGNBLV</v>
      </c>
      <c r="B440" s="1" t="s">
        <v>864</v>
      </c>
      <c r="C440" s="9" t="s">
        <v>865</v>
      </c>
      <c r="D440" s="14" t="s">
        <v>866</v>
      </c>
      <c r="E440" s="9" t="s">
        <v>8</v>
      </c>
    </row>
    <row r="441" spans="1:5" ht="15" customHeight="1" outlineLevel="2" x14ac:dyDescent="0.25">
      <c r="A441" s="3" t="str">
        <f>HYPERLINK("http://mystore1.ru/price_items/search?utf8=%E2%9C%93&amp;oem=2432AGNGNV","2432AGNGNV")</f>
        <v>2432AGNGNV</v>
      </c>
      <c r="B441" s="1" t="s">
        <v>867</v>
      </c>
      <c r="C441" s="9" t="s">
        <v>865</v>
      </c>
      <c r="D441" s="14" t="s">
        <v>868</v>
      </c>
      <c r="E441" s="9" t="s">
        <v>8</v>
      </c>
    </row>
    <row r="442" spans="1:5" ht="15" customHeight="1" outlineLevel="2" x14ac:dyDescent="0.25">
      <c r="A442" s="3" t="str">
        <f>HYPERLINK("http://mystore1.ru/price_items/search?utf8=%E2%9C%93&amp;oem=2432AGNV","2432AGNV")</f>
        <v>2432AGNV</v>
      </c>
      <c r="B442" s="1" t="s">
        <v>869</v>
      </c>
      <c r="C442" s="9" t="s">
        <v>865</v>
      </c>
      <c r="D442" s="14" t="s">
        <v>870</v>
      </c>
      <c r="E442" s="9" t="s">
        <v>8</v>
      </c>
    </row>
    <row r="443" spans="1:5" ht="15" customHeight="1" outlineLevel="2" x14ac:dyDescent="0.25">
      <c r="A443" s="3" t="str">
        <f>HYPERLINK("http://mystore1.ru/price_items/search?utf8=%E2%9C%93&amp;oem=2432ASMC","2432ASMC")</f>
        <v>2432ASMC</v>
      </c>
      <c r="B443" s="1" t="s">
        <v>871</v>
      </c>
      <c r="C443" s="9" t="s">
        <v>25</v>
      </c>
      <c r="D443" s="14" t="s">
        <v>872</v>
      </c>
      <c r="E443" s="9" t="s">
        <v>27</v>
      </c>
    </row>
    <row r="444" spans="1:5" ht="15" customHeight="1" outlineLevel="2" x14ac:dyDescent="0.25">
      <c r="A444" s="3" t="str">
        <f>HYPERLINK("http://mystore1.ru/price_items/search?utf8=%E2%9C%93&amp;oem=2432BGNCA","2432BGNCA")</f>
        <v>2432BGNCA</v>
      </c>
      <c r="B444" s="1" t="s">
        <v>873</v>
      </c>
      <c r="C444" s="9" t="s">
        <v>865</v>
      </c>
      <c r="D444" s="14" t="s">
        <v>874</v>
      </c>
      <c r="E444" s="9" t="s">
        <v>30</v>
      </c>
    </row>
    <row r="445" spans="1:5" ht="15" customHeight="1" outlineLevel="2" x14ac:dyDescent="0.25">
      <c r="A445" s="3" t="str">
        <f>HYPERLINK("http://mystore1.ru/price_items/search?utf8=%E2%9C%93&amp;oem=2432BGNCAB","2432BGNCAB")</f>
        <v>2432BGNCAB</v>
      </c>
      <c r="B445" s="1" t="s">
        <v>875</v>
      </c>
      <c r="C445" s="9" t="s">
        <v>865</v>
      </c>
      <c r="D445" s="14" t="s">
        <v>876</v>
      </c>
      <c r="E445" s="9" t="s">
        <v>30</v>
      </c>
    </row>
    <row r="446" spans="1:5" ht="15" customHeight="1" outlineLevel="2" x14ac:dyDescent="0.25">
      <c r="A446" s="3" t="str">
        <f>HYPERLINK("http://mystore1.ru/price_items/search?utf8=%E2%9C%93&amp;oem=2432BSMC","2432BSMC")</f>
        <v>2432BSMC</v>
      </c>
      <c r="B446" s="1" t="s">
        <v>877</v>
      </c>
      <c r="C446" s="9" t="s">
        <v>25</v>
      </c>
      <c r="D446" s="14" t="s">
        <v>878</v>
      </c>
      <c r="E446" s="9" t="s">
        <v>27</v>
      </c>
    </row>
    <row r="447" spans="1:5" ht="15" customHeight="1" outlineLevel="2" x14ac:dyDescent="0.25">
      <c r="A447" s="3" t="str">
        <f>HYPERLINK("http://mystore1.ru/price_items/search?utf8=%E2%9C%93&amp;oem=2432LGNC2FD","2432LGNC2FD")</f>
        <v>2432LGNC2FD</v>
      </c>
      <c r="B447" s="1" t="s">
        <v>879</v>
      </c>
      <c r="C447" s="9" t="s">
        <v>880</v>
      </c>
      <c r="D447" s="14" t="s">
        <v>881</v>
      </c>
      <c r="E447" s="9" t="s">
        <v>11</v>
      </c>
    </row>
    <row r="448" spans="1:5" ht="15" customHeight="1" outlineLevel="2" x14ac:dyDescent="0.25">
      <c r="A448" s="3" t="str">
        <f>HYPERLINK("http://mystore1.ru/price_items/search?utf8=%E2%9C%93&amp;oem=2432LGNC2FD1B","2432LGNC2FD1B")</f>
        <v>2432LGNC2FD1B</v>
      </c>
      <c r="B448" s="1" t="s">
        <v>882</v>
      </c>
      <c r="C448" s="9" t="s">
        <v>883</v>
      </c>
      <c r="D448" s="14" t="s">
        <v>884</v>
      </c>
      <c r="E448" s="9" t="s">
        <v>11</v>
      </c>
    </row>
    <row r="449" spans="1:5" ht="15" customHeight="1" outlineLevel="2" x14ac:dyDescent="0.25">
      <c r="A449" s="3" t="str">
        <f>HYPERLINK("http://mystore1.ru/price_items/search?utf8=%E2%9C%93&amp;oem=2432RGNC2FD","2432RGNC2FD")</f>
        <v>2432RGNC2FD</v>
      </c>
      <c r="B449" s="1" t="s">
        <v>885</v>
      </c>
      <c r="C449" s="9" t="s">
        <v>883</v>
      </c>
      <c r="D449" s="14" t="s">
        <v>886</v>
      </c>
      <c r="E449" s="9" t="s">
        <v>11</v>
      </c>
    </row>
    <row r="450" spans="1:5" ht="15" customHeight="1" outlineLevel="2" x14ac:dyDescent="0.25">
      <c r="A450" s="3" t="str">
        <f>HYPERLINK("http://mystore1.ru/price_items/search?utf8=%E2%9C%93&amp;oem=2432RGNC2FD1B","2432RGNC2FD1B")</f>
        <v>2432RGNC2FD1B</v>
      </c>
      <c r="B450" s="1" t="s">
        <v>887</v>
      </c>
      <c r="C450" s="9" t="s">
        <v>883</v>
      </c>
      <c r="D450" s="14" t="s">
        <v>888</v>
      </c>
      <c r="E450" s="9" t="s">
        <v>11</v>
      </c>
    </row>
    <row r="451" spans="1:5" outlineLevel="1" x14ac:dyDescent="0.25">
      <c r="A451" s="2"/>
      <c r="B451" s="6" t="s">
        <v>889</v>
      </c>
      <c r="C451" s="48"/>
      <c r="D451" s="13"/>
      <c r="E451" s="12"/>
    </row>
    <row r="452" spans="1:5" ht="15" customHeight="1" outlineLevel="2" x14ac:dyDescent="0.25">
      <c r="A452" s="3" t="str">
        <f>HYPERLINK("http://mystore1.ru/price_items/search?utf8=%E2%9C%93&amp;oem=2431AGN","2431AGN")</f>
        <v>2431AGN</v>
      </c>
      <c r="B452" s="1" t="s">
        <v>890</v>
      </c>
      <c r="C452" s="9" t="s">
        <v>891</v>
      </c>
      <c r="D452" s="14" t="s">
        <v>892</v>
      </c>
      <c r="E452" s="9" t="s">
        <v>8</v>
      </c>
    </row>
    <row r="453" spans="1:5" ht="15" customHeight="1" outlineLevel="2" x14ac:dyDescent="0.25">
      <c r="A453" s="3" t="str">
        <f>HYPERLINK("http://mystore1.ru/price_items/search?utf8=%E2%9C%93&amp;oem=2431AGNBL","2431AGNBL")</f>
        <v>2431AGNBL</v>
      </c>
      <c r="B453" s="1" t="s">
        <v>893</v>
      </c>
      <c r="C453" s="9" t="s">
        <v>891</v>
      </c>
      <c r="D453" s="14" t="s">
        <v>894</v>
      </c>
      <c r="E453" s="9" t="s">
        <v>8</v>
      </c>
    </row>
    <row r="454" spans="1:5" ht="15" customHeight="1" outlineLevel="2" x14ac:dyDescent="0.25">
      <c r="A454" s="3" t="str">
        <f>HYPERLINK("http://mystore1.ru/price_items/search?utf8=%E2%9C%93&amp;oem=2431AGNBLV","2431AGNBLV")</f>
        <v>2431AGNBLV</v>
      </c>
      <c r="B454" s="1" t="s">
        <v>895</v>
      </c>
      <c r="C454" s="9" t="s">
        <v>891</v>
      </c>
      <c r="D454" s="14" t="s">
        <v>896</v>
      </c>
      <c r="E454" s="9" t="s">
        <v>8</v>
      </c>
    </row>
    <row r="455" spans="1:5" ht="15" customHeight="1" outlineLevel="2" x14ac:dyDescent="0.25">
      <c r="A455" s="3" t="str">
        <f>HYPERLINK("http://mystore1.ru/price_items/search?utf8=%E2%9C%93&amp;oem=2431AGNGN","2431AGNGN")</f>
        <v>2431AGNGN</v>
      </c>
      <c r="B455" s="1" t="s">
        <v>897</v>
      </c>
      <c r="C455" s="9" t="s">
        <v>891</v>
      </c>
      <c r="D455" s="14" t="s">
        <v>898</v>
      </c>
      <c r="E455" s="9" t="s">
        <v>8</v>
      </c>
    </row>
    <row r="456" spans="1:5" ht="15" customHeight="1" outlineLevel="2" x14ac:dyDescent="0.25">
      <c r="A456" s="3" t="str">
        <f>HYPERLINK("http://mystore1.ru/price_items/search?utf8=%E2%9C%93&amp;oem=2431AGNGNV","2431AGNGNV")</f>
        <v>2431AGNGNV</v>
      </c>
      <c r="B456" s="1" t="s">
        <v>899</v>
      </c>
      <c r="C456" s="9" t="s">
        <v>891</v>
      </c>
      <c r="D456" s="14" t="s">
        <v>900</v>
      </c>
      <c r="E456" s="9" t="s">
        <v>8</v>
      </c>
    </row>
    <row r="457" spans="1:5" ht="15" customHeight="1" outlineLevel="2" x14ac:dyDescent="0.25">
      <c r="A457" s="3" t="str">
        <f>HYPERLINK("http://mystore1.ru/price_items/search?utf8=%E2%9C%93&amp;oem=2431AGNV","2431AGNV")</f>
        <v>2431AGNV</v>
      </c>
      <c r="B457" s="1" t="s">
        <v>901</v>
      </c>
      <c r="C457" s="9" t="s">
        <v>891</v>
      </c>
      <c r="D457" s="14" t="s">
        <v>902</v>
      </c>
      <c r="E457" s="9" t="s">
        <v>8</v>
      </c>
    </row>
    <row r="458" spans="1:5" ht="15" customHeight="1" outlineLevel="2" x14ac:dyDescent="0.25">
      <c r="A458" s="3" t="str">
        <f>HYPERLINK("http://mystore1.ru/price_items/search?utf8=%E2%9C%93&amp;oem=2431ASMST","2431ASMST")</f>
        <v>2431ASMST</v>
      </c>
      <c r="B458" s="1" t="s">
        <v>903</v>
      </c>
      <c r="C458" s="9" t="s">
        <v>25</v>
      </c>
      <c r="D458" s="14" t="s">
        <v>904</v>
      </c>
      <c r="E458" s="9" t="s">
        <v>27</v>
      </c>
    </row>
    <row r="459" spans="1:5" ht="15" customHeight="1" outlineLevel="2" x14ac:dyDescent="0.25">
      <c r="A459" s="3" t="str">
        <f>HYPERLINK("http://mystore1.ru/price_items/search?utf8=%E2%9C%93&amp;oem=2431ASCSB","2431ASCSB")</f>
        <v>2431ASCSB</v>
      </c>
      <c r="B459" s="1" t="s">
        <v>905</v>
      </c>
      <c r="C459" s="9" t="s">
        <v>25</v>
      </c>
      <c r="D459" s="14" t="s">
        <v>906</v>
      </c>
      <c r="E459" s="9" t="s">
        <v>27</v>
      </c>
    </row>
    <row r="460" spans="1:5" ht="15" customHeight="1" outlineLevel="2" x14ac:dyDescent="0.25">
      <c r="A460" s="3" t="str">
        <f>HYPERLINK("http://mystore1.ru/price_items/search?utf8=%E2%9C%93&amp;oem=2431BGNH","2431BGNH")</f>
        <v>2431BGNH</v>
      </c>
      <c r="B460" s="1" t="s">
        <v>907</v>
      </c>
      <c r="C460" s="9" t="s">
        <v>883</v>
      </c>
      <c r="D460" s="14" t="s">
        <v>908</v>
      </c>
      <c r="E460" s="9" t="s">
        <v>30</v>
      </c>
    </row>
    <row r="461" spans="1:5" ht="15" customHeight="1" outlineLevel="2" x14ac:dyDescent="0.25">
      <c r="A461" s="3" t="str">
        <f>HYPERLINK("http://mystore1.ru/price_items/search?utf8=%E2%9C%93&amp;oem=2431BGNHA","2431BGNHA")</f>
        <v>2431BGNHA</v>
      </c>
      <c r="B461" s="1" t="s">
        <v>909</v>
      </c>
      <c r="C461" s="9" t="s">
        <v>883</v>
      </c>
      <c r="D461" s="14" t="s">
        <v>910</v>
      </c>
      <c r="E461" s="9" t="s">
        <v>30</v>
      </c>
    </row>
    <row r="462" spans="1:5" ht="15" customHeight="1" outlineLevel="2" x14ac:dyDescent="0.25">
      <c r="A462" s="3" t="str">
        <f>HYPERLINK("http://mystore1.ru/price_items/search?utf8=%E2%9C%93&amp;oem=2431BGNHAB","2431BGNHAB")</f>
        <v>2431BGNHAB</v>
      </c>
      <c r="B462" s="1" t="s">
        <v>911</v>
      </c>
      <c r="C462" s="9" t="s">
        <v>883</v>
      </c>
      <c r="D462" s="14" t="s">
        <v>912</v>
      </c>
      <c r="E462" s="9" t="s">
        <v>30</v>
      </c>
    </row>
    <row r="463" spans="1:5" ht="15" customHeight="1" outlineLevel="2" x14ac:dyDescent="0.25">
      <c r="A463" s="3" t="str">
        <f>HYPERLINK("http://mystore1.ru/price_items/search?utf8=%E2%9C%93&amp;oem=2431BGNSA","2431BGNSA")</f>
        <v>2431BGNSA</v>
      </c>
      <c r="B463" s="1" t="s">
        <v>913</v>
      </c>
      <c r="C463" s="9" t="s">
        <v>891</v>
      </c>
      <c r="D463" s="14" t="s">
        <v>914</v>
      </c>
      <c r="E463" s="9" t="s">
        <v>30</v>
      </c>
    </row>
    <row r="464" spans="1:5" ht="15" customHeight="1" outlineLevel="2" x14ac:dyDescent="0.25">
      <c r="A464" s="3" t="str">
        <f>HYPERLINK("http://mystore1.ru/price_items/search?utf8=%E2%9C%93&amp;oem=2431BGNSAB","2431BGNSAB")</f>
        <v>2431BGNSAB</v>
      </c>
      <c r="B464" s="1" t="s">
        <v>915</v>
      </c>
      <c r="C464" s="9" t="s">
        <v>891</v>
      </c>
      <c r="D464" s="14" t="s">
        <v>916</v>
      </c>
      <c r="E464" s="9" t="s">
        <v>30</v>
      </c>
    </row>
    <row r="465" spans="1:5" ht="15" customHeight="1" outlineLevel="2" x14ac:dyDescent="0.25">
      <c r="A465" s="3" t="str">
        <f>HYPERLINK("http://mystore1.ru/price_items/search?utf8=%E2%9C%93&amp;oem=2431BSMHB","2431BSMHB")</f>
        <v>2431BSMHB</v>
      </c>
      <c r="B465" s="1" t="s">
        <v>917</v>
      </c>
      <c r="C465" s="9" t="s">
        <v>25</v>
      </c>
      <c r="D465" s="14" t="s">
        <v>918</v>
      </c>
      <c r="E465" s="9" t="s">
        <v>27</v>
      </c>
    </row>
    <row r="466" spans="1:5" ht="15" customHeight="1" outlineLevel="2" x14ac:dyDescent="0.25">
      <c r="A466" s="3" t="str">
        <f>HYPERLINK("http://mystore1.ru/price_items/search?utf8=%E2%9C%93&amp;oem=2431BSMS","2431BSMS")</f>
        <v>2431BSMS</v>
      </c>
      <c r="B466" s="1" t="s">
        <v>919</v>
      </c>
      <c r="C466" s="9" t="s">
        <v>25</v>
      </c>
      <c r="D466" s="14" t="s">
        <v>920</v>
      </c>
      <c r="E466" s="9" t="s">
        <v>27</v>
      </c>
    </row>
    <row r="467" spans="1:5" ht="15" customHeight="1" outlineLevel="2" x14ac:dyDescent="0.25">
      <c r="A467" s="3" t="str">
        <f>HYPERLINK("http://mystore1.ru/price_items/search?utf8=%E2%9C%93&amp;oem=2431LGNH3FD","2431LGNH3FD")</f>
        <v>2431LGNH3FD</v>
      </c>
      <c r="B467" s="1" t="s">
        <v>921</v>
      </c>
      <c r="C467" s="9" t="s">
        <v>883</v>
      </c>
      <c r="D467" s="14" t="s">
        <v>922</v>
      </c>
      <c r="E467" s="9" t="s">
        <v>11</v>
      </c>
    </row>
    <row r="468" spans="1:5" ht="15" customHeight="1" outlineLevel="2" x14ac:dyDescent="0.25">
      <c r="A468" s="3" t="str">
        <f>HYPERLINK("http://mystore1.ru/price_items/search?utf8=%E2%9C%93&amp;oem=2431LGNS4FD","2431LGNS4FD")</f>
        <v>2431LGNS4FD</v>
      </c>
      <c r="B468" s="1" t="s">
        <v>923</v>
      </c>
      <c r="C468" s="9" t="s">
        <v>891</v>
      </c>
      <c r="D468" s="14" t="s">
        <v>924</v>
      </c>
      <c r="E468" s="9" t="s">
        <v>11</v>
      </c>
    </row>
    <row r="469" spans="1:5" ht="15" customHeight="1" outlineLevel="2" x14ac:dyDescent="0.25">
      <c r="A469" s="3" t="str">
        <f>HYPERLINK("http://mystore1.ru/price_items/search?utf8=%E2%9C%93&amp;oem=2431LGNS4FD1A","2431LGNS4FD1A")</f>
        <v>2431LGNS4FD1A</v>
      </c>
      <c r="B469" s="1" t="s">
        <v>925</v>
      </c>
      <c r="C469" s="9" t="s">
        <v>926</v>
      </c>
      <c r="D469" s="14" t="s">
        <v>927</v>
      </c>
      <c r="E469" s="9" t="s">
        <v>11</v>
      </c>
    </row>
    <row r="470" spans="1:5" ht="15" customHeight="1" outlineLevel="2" x14ac:dyDescent="0.25">
      <c r="A470" s="3" t="str">
        <f>HYPERLINK("http://mystore1.ru/price_items/search?utf8=%E2%9C%93&amp;oem=2431LGNS4FDW1A","2431LGNS4FDW1A")</f>
        <v>2431LGNS4FDW1A</v>
      </c>
      <c r="B470" s="1" t="s">
        <v>928</v>
      </c>
      <c r="C470" s="9" t="s">
        <v>926</v>
      </c>
      <c r="D470" s="14" t="s">
        <v>929</v>
      </c>
      <c r="E470" s="9" t="s">
        <v>11</v>
      </c>
    </row>
    <row r="471" spans="1:5" ht="15" customHeight="1" outlineLevel="2" x14ac:dyDescent="0.25">
      <c r="A471" s="3" t="str">
        <f>HYPERLINK("http://mystore1.ru/price_items/search?utf8=%E2%9C%93&amp;oem=2431LGNS4FDWX1A","2431LGNS4FDWX1A")</f>
        <v>2431LGNS4FDWX1A</v>
      </c>
      <c r="B471" s="1" t="s">
        <v>930</v>
      </c>
      <c r="C471" s="9" t="s">
        <v>926</v>
      </c>
      <c r="D471" s="14" t="s">
        <v>931</v>
      </c>
      <c r="E471" s="9" t="s">
        <v>11</v>
      </c>
    </row>
    <row r="472" spans="1:5" ht="15" customHeight="1" outlineLevel="2" x14ac:dyDescent="0.25">
      <c r="A472" s="3" t="str">
        <f>HYPERLINK("http://mystore1.ru/price_items/search?utf8=%E2%9C%93&amp;oem=2431LGNS4RD","2431LGNS4RD")</f>
        <v>2431LGNS4RD</v>
      </c>
      <c r="B472" s="1" t="s">
        <v>932</v>
      </c>
      <c r="C472" s="9" t="s">
        <v>891</v>
      </c>
      <c r="D472" s="14" t="s">
        <v>933</v>
      </c>
      <c r="E472" s="9" t="s">
        <v>11</v>
      </c>
    </row>
    <row r="473" spans="1:5" ht="15" customHeight="1" outlineLevel="2" x14ac:dyDescent="0.25">
      <c r="A473" s="3" t="str">
        <f>HYPERLINK("http://mystore1.ru/price_items/search?utf8=%E2%9C%93&amp;oem=2431LGNS4RV","2431LGNS4RV")</f>
        <v>2431LGNS4RV</v>
      </c>
      <c r="B473" s="1" t="s">
        <v>934</v>
      </c>
      <c r="C473" s="9" t="s">
        <v>891</v>
      </c>
      <c r="D473" s="14" t="s">
        <v>935</v>
      </c>
      <c r="E473" s="9" t="s">
        <v>11</v>
      </c>
    </row>
    <row r="474" spans="1:5" ht="15" customHeight="1" outlineLevel="2" x14ac:dyDescent="0.25">
      <c r="A474" s="3" t="str">
        <f>HYPERLINK("http://mystore1.ru/price_items/search?utf8=%E2%9C%93&amp;oem=2431LGNS4RVX","2431LGNS4RVX")</f>
        <v>2431LGNS4RVX</v>
      </c>
      <c r="B474" s="1" t="s">
        <v>936</v>
      </c>
      <c r="C474" s="9" t="s">
        <v>891</v>
      </c>
      <c r="D474" s="14" t="s">
        <v>937</v>
      </c>
      <c r="E474" s="9" t="s">
        <v>11</v>
      </c>
    </row>
    <row r="475" spans="1:5" ht="15" customHeight="1" outlineLevel="2" x14ac:dyDescent="0.25">
      <c r="A475" s="3" t="str">
        <f>HYPERLINK("http://mystore1.ru/price_items/search?utf8=%E2%9C%93&amp;oem=2431RGNH3FD","2431RGNH3FD")</f>
        <v>2431RGNH3FD</v>
      </c>
      <c r="B475" s="1" t="s">
        <v>938</v>
      </c>
      <c r="C475" s="9" t="s">
        <v>883</v>
      </c>
      <c r="D475" s="14" t="s">
        <v>939</v>
      </c>
      <c r="E475" s="9" t="s">
        <v>11</v>
      </c>
    </row>
    <row r="476" spans="1:5" ht="15" customHeight="1" outlineLevel="2" x14ac:dyDescent="0.25">
      <c r="A476" s="3" t="str">
        <f>HYPERLINK("http://mystore1.ru/price_items/search?utf8=%E2%9C%93&amp;oem=2431RGNS4FD","2431RGNS4FD")</f>
        <v>2431RGNS4FD</v>
      </c>
      <c r="B476" s="1" t="s">
        <v>940</v>
      </c>
      <c r="C476" s="9" t="s">
        <v>891</v>
      </c>
      <c r="D476" s="14" t="s">
        <v>941</v>
      </c>
      <c r="E476" s="9" t="s">
        <v>11</v>
      </c>
    </row>
    <row r="477" spans="1:5" ht="15" customHeight="1" outlineLevel="2" x14ac:dyDescent="0.25">
      <c r="A477" s="3" t="str">
        <f>HYPERLINK("http://mystore1.ru/price_items/search?utf8=%E2%9C%93&amp;oem=2431RGNS4FD1A","2431RGNS4FD1A")</f>
        <v>2431RGNS4FD1A</v>
      </c>
      <c r="B477" s="1" t="s">
        <v>942</v>
      </c>
      <c r="C477" s="9" t="s">
        <v>926</v>
      </c>
      <c r="D477" s="14" t="s">
        <v>943</v>
      </c>
      <c r="E477" s="9" t="s">
        <v>11</v>
      </c>
    </row>
    <row r="478" spans="1:5" ht="15" customHeight="1" outlineLevel="2" x14ac:dyDescent="0.25">
      <c r="A478" s="3" t="str">
        <f>HYPERLINK("http://mystore1.ru/price_items/search?utf8=%E2%9C%93&amp;oem=2431RGNS4FDW1A","2431RGNS4FDW1A")</f>
        <v>2431RGNS4FDW1A</v>
      </c>
      <c r="B478" s="1" t="s">
        <v>944</v>
      </c>
      <c r="C478" s="9" t="s">
        <v>926</v>
      </c>
      <c r="D478" s="14" t="s">
        <v>945</v>
      </c>
      <c r="E478" s="9" t="s">
        <v>11</v>
      </c>
    </row>
    <row r="479" spans="1:5" ht="15" customHeight="1" outlineLevel="2" x14ac:dyDescent="0.25">
      <c r="A479" s="3" t="str">
        <f>HYPERLINK("http://mystore1.ru/price_items/search?utf8=%E2%9C%93&amp;oem=2431RGNS4FDWX1A","2431RGNS4FDWX1A")</f>
        <v>2431RGNS4FDWX1A</v>
      </c>
      <c r="B479" s="1" t="s">
        <v>946</v>
      </c>
      <c r="C479" s="9" t="s">
        <v>926</v>
      </c>
      <c r="D479" s="14" t="s">
        <v>947</v>
      </c>
      <c r="E479" s="9" t="s">
        <v>11</v>
      </c>
    </row>
    <row r="480" spans="1:5" ht="15" customHeight="1" outlineLevel="2" x14ac:dyDescent="0.25">
      <c r="A480" s="3" t="str">
        <f>HYPERLINK("http://mystore1.ru/price_items/search?utf8=%E2%9C%93&amp;oem=2431RGNS4RD","2431RGNS4RD")</f>
        <v>2431RGNS4RD</v>
      </c>
      <c r="B480" s="1" t="s">
        <v>948</v>
      </c>
      <c r="C480" s="9" t="s">
        <v>891</v>
      </c>
      <c r="D480" s="14" t="s">
        <v>949</v>
      </c>
      <c r="E480" s="9" t="s">
        <v>11</v>
      </c>
    </row>
    <row r="481" spans="1:5" ht="15" customHeight="1" outlineLevel="2" x14ac:dyDescent="0.25">
      <c r="A481" s="3" t="str">
        <f>HYPERLINK("http://mystore1.ru/price_items/search?utf8=%E2%9C%93&amp;oem=2431RGNS4RV","2431RGNS4RV")</f>
        <v>2431RGNS4RV</v>
      </c>
      <c r="B481" s="1" t="s">
        <v>950</v>
      </c>
      <c r="C481" s="9" t="s">
        <v>891</v>
      </c>
      <c r="D481" s="14" t="s">
        <v>951</v>
      </c>
      <c r="E481" s="9" t="s">
        <v>11</v>
      </c>
    </row>
    <row r="482" spans="1:5" ht="15" customHeight="1" outlineLevel="2" x14ac:dyDescent="0.25">
      <c r="A482" s="3" t="str">
        <f>HYPERLINK("http://mystore1.ru/price_items/search?utf8=%E2%9C%93&amp;oem=2431RGNS4RVX","2431RGNS4RVX")</f>
        <v>2431RGNS4RVX</v>
      </c>
      <c r="B482" s="1" t="s">
        <v>952</v>
      </c>
      <c r="C482" s="9" t="s">
        <v>891</v>
      </c>
      <c r="D482" s="14" t="s">
        <v>953</v>
      </c>
      <c r="E482" s="9" t="s">
        <v>11</v>
      </c>
    </row>
    <row r="483" spans="1:5" outlineLevel="1" x14ac:dyDescent="0.25">
      <c r="A483" s="2"/>
      <c r="B483" s="6" t="s">
        <v>954</v>
      </c>
      <c r="C483" s="12"/>
      <c r="D483" s="13"/>
      <c r="E483" s="12"/>
    </row>
    <row r="484" spans="1:5" ht="15" customHeight="1" outlineLevel="2" x14ac:dyDescent="0.25">
      <c r="A484" s="3" t="str">
        <f>HYPERLINK("http://mystore1.ru/price_items/search?utf8=%E2%9C%93&amp;oem=2437AGNGNMV1B","2437AGNGNMV1B")</f>
        <v>2437AGNGNMV1B</v>
      </c>
      <c r="B484" s="1" t="s">
        <v>955</v>
      </c>
      <c r="C484" s="9" t="s">
        <v>956</v>
      </c>
      <c r="D484" s="14" t="s">
        <v>957</v>
      </c>
      <c r="E484" s="9" t="s">
        <v>8</v>
      </c>
    </row>
    <row r="485" spans="1:5" ht="15" customHeight="1" outlineLevel="2" x14ac:dyDescent="0.25">
      <c r="A485" s="3" t="str">
        <f>HYPERLINK("http://mystore1.ru/price_items/search?utf8=%E2%9C%93&amp;oem=2437AGNGNMV6T","2437AGNGNMV6T")</f>
        <v>2437AGNGNMV6T</v>
      </c>
      <c r="B485" s="1" t="s">
        <v>958</v>
      </c>
      <c r="C485" s="9" t="s">
        <v>959</v>
      </c>
      <c r="D485" s="14" t="s">
        <v>960</v>
      </c>
      <c r="E485" s="9" t="s">
        <v>8</v>
      </c>
    </row>
    <row r="486" spans="1:5" ht="15" customHeight="1" outlineLevel="2" x14ac:dyDescent="0.25">
      <c r="A486" s="3" t="str">
        <f>HYPERLINK("http://mystore1.ru/price_items/search?utf8=%E2%9C%93&amp;oem=2437AGNGNV","2437AGNGNV")</f>
        <v>2437AGNGNV</v>
      </c>
      <c r="B486" s="1" t="s">
        <v>961</v>
      </c>
      <c r="C486" s="9" t="s">
        <v>956</v>
      </c>
      <c r="D486" s="14" t="s">
        <v>962</v>
      </c>
      <c r="E486" s="9" t="s">
        <v>8</v>
      </c>
    </row>
    <row r="487" spans="1:5" ht="15" customHeight="1" outlineLevel="2" x14ac:dyDescent="0.25">
      <c r="A487" s="3" t="str">
        <f>HYPERLINK("http://mystore1.ru/price_items/search?utf8=%E2%9C%93&amp;oem=2437AGNV","2437AGNV")</f>
        <v>2437AGNV</v>
      </c>
      <c r="B487" s="1" t="s">
        <v>963</v>
      </c>
      <c r="C487" s="9" t="s">
        <v>956</v>
      </c>
      <c r="D487" s="14" t="s">
        <v>964</v>
      </c>
      <c r="E487" s="9" t="s">
        <v>8</v>
      </c>
    </row>
    <row r="488" spans="1:5" ht="15" customHeight="1" outlineLevel="2" x14ac:dyDescent="0.25">
      <c r="A488" s="3" t="str">
        <f>HYPERLINK("http://mystore1.ru/price_items/search?utf8=%E2%9C%93&amp;oem=2437ASMC","2437ASMC")</f>
        <v>2437ASMC</v>
      </c>
      <c r="B488" s="1" t="s">
        <v>965</v>
      </c>
      <c r="C488" s="9" t="s">
        <v>25</v>
      </c>
      <c r="D488" s="14" t="s">
        <v>966</v>
      </c>
      <c r="E488" s="9" t="s">
        <v>27</v>
      </c>
    </row>
    <row r="489" spans="1:5" ht="15" customHeight="1" outlineLevel="2" x14ac:dyDescent="0.25">
      <c r="A489" s="3" t="str">
        <f>HYPERLINK("http://mystore1.ru/price_items/search?utf8=%E2%9C%93&amp;oem=2437BGNCABGQ","2437BGNCABGQ")</f>
        <v>2437BGNCABGQ</v>
      </c>
      <c r="B489" s="1" t="s">
        <v>967</v>
      </c>
      <c r="C489" s="9" t="s">
        <v>956</v>
      </c>
      <c r="D489" s="14" t="s">
        <v>968</v>
      </c>
      <c r="E489" s="9" t="s">
        <v>30</v>
      </c>
    </row>
    <row r="490" spans="1:5" ht="15" customHeight="1" outlineLevel="2" x14ac:dyDescent="0.25">
      <c r="A490" s="3" t="str">
        <f>HYPERLINK("http://mystore1.ru/price_items/search?utf8=%E2%9C%93&amp;oem=2437BSMC","2437BSMC")</f>
        <v>2437BSMC</v>
      </c>
      <c r="B490" s="1" t="s">
        <v>969</v>
      </c>
      <c r="C490" s="9" t="s">
        <v>25</v>
      </c>
      <c r="D490" s="14" t="s">
        <v>970</v>
      </c>
      <c r="E490" s="9" t="s">
        <v>27</v>
      </c>
    </row>
    <row r="491" spans="1:5" ht="15" customHeight="1" outlineLevel="2" x14ac:dyDescent="0.25">
      <c r="A491" s="3" t="str">
        <f>HYPERLINK("http://mystore1.ru/price_items/search?utf8=%E2%9C%93&amp;oem=2437LGNC2FD","2437LGNC2FD")</f>
        <v>2437LGNC2FD</v>
      </c>
      <c r="B491" s="1" t="s">
        <v>971</v>
      </c>
      <c r="C491" s="9" t="s">
        <v>956</v>
      </c>
      <c r="D491" s="14" t="s">
        <v>972</v>
      </c>
      <c r="E491" s="9" t="s">
        <v>11</v>
      </c>
    </row>
    <row r="492" spans="1:5" ht="15" customHeight="1" outlineLevel="2" x14ac:dyDescent="0.25">
      <c r="A492" s="3" t="str">
        <f>HYPERLINK("http://mystore1.ru/price_items/search?utf8=%E2%9C%93&amp;oem=2437LGNC2RQOW","2437LGNC2RQOW")</f>
        <v>2437LGNC2RQOW</v>
      </c>
      <c r="B492" s="1" t="s">
        <v>973</v>
      </c>
      <c r="C492" s="9" t="s">
        <v>956</v>
      </c>
      <c r="D492" s="14" t="s">
        <v>974</v>
      </c>
      <c r="E492" s="9" t="s">
        <v>11</v>
      </c>
    </row>
    <row r="493" spans="1:5" ht="15" customHeight="1" outlineLevel="2" x14ac:dyDescent="0.25">
      <c r="A493" s="3" t="str">
        <f>HYPERLINK("http://mystore1.ru/price_items/search?utf8=%E2%9C%93&amp;oem=2437RGNC2FD","2437RGNC2FD")</f>
        <v>2437RGNC2FD</v>
      </c>
      <c r="B493" s="1" t="s">
        <v>975</v>
      </c>
      <c r="C493" s="9" t="s">
        <v>956</v>
      </c>
      <c r="D493" s="14" t="s">
        <v>976</v>
      </c>
      <c r="E493" s="9" t="s">
        <v>11</v>
      </c>
    </row>
    <row r="494" spans="1:5" ht="15" customHeight="1" outlineLevel="2" x14ac:dyDescent="0.25">
      <c r="A494" s="3" t="str">
        <f>HYPERLINK("http://mystore1.ru/price_items/search?utf8=%E2%9C%93&amp;oem=2437RGNC2RQOW","2437RGNC2RQOW")</f>
        <v>2437RGNC2RQOW</v>
      </c>
      <c r="B494" s="1" t="s">
        <v>977</v>
      </c>
      <c r="C494" s="9" t="s">
        <v>956</v>
      </c>
      <c r="D494" s="14" t="s">
        <v>978</v>
      </c>
      <c r="E494" s="9" t="s">
        <v>11</v>
      </c>
    </row>
    <row r="495" spans="1:5" outlineLevel="1" x14ac:dyDescent="0.25">
      <c r="A495" s="2"/>
      <c r="B495" s="6" t="s">
        <v>979</v>
      </c>
      <c r="C495" s="12"/>
      <c r="D495" s="13"/>
      <c r="E495" s="12"/>
    </row>
    <row r="496" spans="1:5" ht="15" customHeight="1" outlineLevel="2" x14ac:dyDescent="0.25">
      <c r="A496" s="3" t="str">
        <f>HYPERLINK("http://mystore1.ru/price_items/search?utf8=%E2%9C%93&amp;oem=2436AGNBLMV1B","2436AGNBLMV1B")</f>
        <v>2436AGNBLMV1B</v>
      </c>
      <c r="B496" s="1" t="s">
        <v>980</v>
      </c>
      <c r="C496" s="9" t="s">
        <v>981</v>
      </c>
      <c r="D496" s="14" t="s">
        <v>982</v>
      </c>
      <c r="E496" s="9" t="s">
        <v>8</v>
      </c>
    </row>
    <row r="497" spans="1:5" ht="15" customHeight="1" outlineLevel="2" x14ac:dyDescent="0.25">
      <c r="A497" s="3" t="str">
        <f>HYPERLINK("http://mystore1.ru/price_items/search?utf8=%E2%9C%93&amp;oem=2436AGNBLMV6T","2436AGNBLMV6T")</f>
        <v>2436AGNBLMV6T</v>
      </c>
      <c r="B497" s="1" t="s">
        <v>983</v>
      </c>
      <c r="C497" s="9" t="s">
        <v>984</v>
      </c>
      <c r="D497" s="14" t="s">
        <v>985</v>
      </c>
      <c r="E497" s="9" t="s">
        <v>8</v>
      </c>
    </row>
    <row r="498" spans="1:5" ht="15" customHeight="1" outlineLevel="2" x14ac:dyDescent="0.25">
      <c r="A498" s="3" t="str">
        <f>HYPERLINK("http://mystore1.ru/price_items/search?utf8=%E2%9C%93&amp;oem=2436AGNBLV","2436AGNBLV")</f>
        <v>2436AGNBLV</v>
      </c>
      <c r="B498" s="1" t="s">
        <v>986</v>
      </c>
      <c r="C498" s="9" t="s">
        <v>981</v>
      </c>
      <c r="D498" s="14" t="s">
        <v>987</v>
      </c>
      <c r="E498" s="9" t="s">
        <v>8</v>
      </c>
    </row>
    <row r="499" spans="1:5" ht="15" customHeight="1" outlineLevel="2" x14ac:dyDescent="0.25">
      <c r="A499" s="3" t="str">
        <f>HYPERLINK("http://mystore1.ru/price_items/search?utf8=%E2%9C%93&amp;oem=2436AGNGNMV1B","2436AGNGNMV1B")</f>
        <v>2436AGNGNMV1B</v>
      </c>
      <c r="B499" s="1" t="s">
        <v>988</v>
      </c>
      <c r="C499" s="9" t="s">
        <v>981</v>
      </c>
      <c r="D499" s="14" t="s">
        <v>989</v>
      </c>
      <c r="E499" s="9" t="s">
        <v>8</v>
      </c>
    </row>
    <row r="500" spans="1:5" ht="15" customHeight="1" outlineLevel="2" x14ac:dyDescent="0.25">
      <c r="A500" s="3" t="str">
        <f>HYPERLINK("http://mystore1.ru/price_items/search?utf8=%E2%9C%93&amp;oem=2436AGNGNMV6T","2436AGNGNMV6T")</f>
        <v>2436AGNGNMV6T</v>
      </c>
      <c r="B500" s="1" t="s">
        <v>990</v>
      </c>
      <c r="C500" s="9" t="s">
        <v>984</v>
      </c>
      <c r="D500" s="14" t="s">
        <v>991</v>
      </c>
      <c r="E500" s="9" t="s">
        <v>8</v>
      </c>
    </row>
    <row r="501" spans="1:5" ht="15" customHeight="1" outlineLevel="2" x14ac:dyDescent="0.25">
      <c r="A501" s="3" t="str">
        <f>HYPERLINK("http://mystore1.ru/price_items/search?utf8=%E2%9C%93&amp;oem=2436AGNGNV","2436AGNGNV")</f>
        <v>2436AGNGNV</v>
      </c>
      <c r="B501" s="1" t="s">
        <v>992</v>
      </c>
      <c r="C501" s="9" t="s">
        <v>981</v>
      </c>
      <c r="D501" s="14" t="s">
        <v>993</v>
      </c>
      <c r="E501" s="9" t="s">
        <v>8</v>
      </c>
    </row>
    <row r="502" spans="1:5" ht="15" customHeight="1" outlineLevel="2" x14ac:dyDescent="0.25">
      <c r="A502" s="3" t="str">
        <f>HYPERLINK("http://mystore1.ru/price_items/search?utf8=%E2%9C%93&amp;oem=2436AGNMV1B","2436AGNMV1B")</f>
        <v>2436AGNMV1B</v>
      </c>
      <c r="B502" s="1" t="s">
        <v>994</v>
      </c>
      <c r="C502" s="9" t="s">
        <v>981</v>
      </c>
      <c r="D502" s="14" t="s">
        <v>995</v>
      </c>
      <c r="E502" s="9" t="s">
        <v>8</v>
      </c>
    </row>
    <row r="503" spans="1:5" ht="15" customHeight="1" outlineLevel="2" x14ac:dyDescent="0.25">
      <c r="A503" s="3" t="str">
        <f>HYPERLINK("http://mystore1.ru/price_items/search?utf8=%E2%9C%93&amp;oem=2436AGNMV6T","2436AGNMV6T")</f>
        <v>2436AGNMV6T</v>
      </c>
      <c r="B503" s="1" t="s">
        <v>996</v>
      </c>
      <c r="C503" s="9" t="s">
        <v>984</v>
      </c>
      <c r="D503" s="14" t="s">
        <v>997</v>
      </c>
      <c r="E503" s="9" t="s">
        <v>8</v>
      </c>
    </row>
    <row r="504" spans="1:5" ht="15" customHeight="1" outlineLevel="2" x14ac:dyDescent="0.25">
      <c r="A504" s="3" t="str">
        <f>HYPERLINK("http://mystore1.ru/price_items/search?utf8=%E2%9C%93&amp;oem=2436AGNV","2436AGNV")</f>
        <v>2436AGNV</v>
      </c>
      <c r="B504" s="1" t="s">
        <v>998</v>
      </c>
      <c r="C504" s="9" t="s">
        <v>981</v>
      </c>
      <c r="D504" s="14" t="s">
        <v>999</v>
      </c>
      <c r="E504" s="9" t="s">
        <v>8</v>
      </c>
    </row>
    <row r="505" spans="1:5" ht="15" customHeight="1" outlineLevel="2" x14ac:dyDescent="0.25">
      <c r="A505" s="3" t="str">
        <f>HYPERLINK("http://mystore1.ru/price_items/search?utf8=%E2%9C%93&amp;oem=2436ASMS","2436ASMS")</f>
        <v>2436ASMS</v>
      </c>
      <c r="B505" s="1" t="s">
        <v>1000</v>
      </c>
      <c r="C505" s="9" t="s">
        <v>25</v>
      </c>
      <c r="D505" s="14" t="s">
        <v>1001</v>
      </c>
      <c r="E505" s="9" t="s">
        <v>27</v>
      </c>
    </row>
    <row r="506" spans="1:5" ht="15" customHeight="1" outlineLevel="2" x14ac:dyDescent="0.25">
      <c r="A506" s="3" t="str">
        <f>HYPERLINK("http://mystore1.ru/price_items/search?utf8=%E2%9C%93&amp;oem=2436BGNSABJW1K","2436BGNSABJW1K")</f>
        <v>2436BGNSABJW1K</v>
      </c>
      <c r="B506" s="1" t="s">
        <v>1002</v>
      </c>
      <c r="C506" s="9" t="s">
        <v>981</v>
      </c>
      <c r="D506" s="14" t="s">
        <v>1003</v>
      </c>
      <c r="E506" s="9" t="s">
        <v>30</v>
      </c>
    </row>
    <row r="507" spans="1:5" ht="15" customHeight="1" outlineLevel="2" x14ac:dyDescent="0.25">
      <c r="A507" s="3" t="str">
        <f>HYPERLINK("http://mystore1.ru/price_items/search?utf8=%E2%9C%93&amp;oem=2436BGNSABW","2436BGNSABW")</f>
        <v>2436BGNSABW</v>
      </c>
      <c r="B507" s="1" t="s">
        <v>1004</v>
      </c>
      <c r="C507" s="9" t="s">
        <v>981</v>
      </c>
      <c r="D507" s="14" t="s">
        <v>1005</v>
      </c>
      <c r="E507" s="9" t="s">
        <v>30</v>
      </c>
    </row>
    <row r="508" spans="1:5" ht="15" customHeight="1" outlineLevel="2" x14ac:dyDescent="0.25">
      <c r="A508" s="3" t="str">
        <f>HYPERLINK("http://mystore1.ru/price_items/search?utf8=%E2%9C%93&amp;oem=2436BSMS","2436BSMS")</f>
        <v>2436BSMS</v>
      </c>
      <c r="B508" s="1" t="s">
        <v>1006</v>
      </c>
      <c r="C508" s="9" t="s">
        <v>25</v>
      </c>
      <c r="D508" s="14" t="s">
        <v>1007</v>
      </c>
      <c r="E508" s="9" t="s">
        <v>27</v>
      </c>
    </row>
    <row r="509" spans="1:5" ht="15" customHeight="1" outlineLevel="2" x14ac:dyDescent="0.25">
      <c r="A509" s="3" t="str">
        <f>HYPERLINK("http://mystore1.ru/price_items/search?utf8=%E2%9C%93&amp;oem=2436LGNS4FD","2436LGNS4FD")</f>
        <v>2436LGNS4FD</v>
      </c>
      <c r="B509" s="1" t="s">
        <v>1008</v>
      </c>
      <c r="C509" s="9" t="s">
        <v>981</v>
      </c>
      <c r="D509" s="14" t="s">
        <v>1009</v>
      </c>
      <c r="E509" s="9" t="s">
        <v>11</v>
      </c>
    </row>
    <row r="510" spans="1:5" ht="15" customHeight="1" outlineLevel="2" x14ac:dyDescent="0.25">
      <c r="A510" s="3" t="str">
        <f>HYPERLINK("http://mystore1.ru/price_items/search?utf8=%E2%9C%93&amp;oem=2436LGNS4RD","2436LGNS4RD")</f>
        <v>2436LGNS4RD</v>
      </c>
      <c r="B510" s="1" t="s">
        <v>1010</v>
      </c>
      <c r="C510" s="9" t="s">
        <v>981</v>
      </c>
      <c r="D510" s="14" t="s">
        <v>1011</v>
      </c>
      <c r="E510" s="9" t="s">
        <v>11</v>
      </c>
    </row>
    <row r="511" spans="1:5" ht="15" customHeight="1" outlineLevel="2" x14ac:dyDescent="0.25">
      <c r="A511" s="3" t="str">
        <f>HYPERLINK("http://mystore1.ru/price_items/search?utf8=%E2%9C%93&amp;oem=2436LGNS4RV","2436LGNS4RV")</f>
        <v>2436LGNS4RV</v>
      </c>
      <c r="B511" s="1" t="s">
        <v>1012</v>
      </c>
      <c r="C511" s="9" t="s">
        <v>981</v>
      </c>
      <c r="D511" s="14" t="s">
        <v>1013</v>
      </c>
      <c r="E511" s="9" t="s">
        <v>11</v>
      </c>
    </row>
    <row r="512" spans="1:5" ht="15" customHeight="1" outlineLevel="2" x14ac:dyDescent="0.25">
      <c r="A512" s="3" t="str">
        <f>HYPERLINK("http://mystore1.ru/price_items/search?utf8=%E2%9C%93&amp;oem=2436RGNS4FD","2436RGNS4FD")</f>
        <v>2436RGNS4FD</v>
      </c>
      <c r="B512" s="1" t="s">
        <v>1014</v>
      </c>
      <c r="C512" s="9" t="s">
        <v>981</v>
      </c>
      <c r="D512" s="14" t="s">
        <v>1015</v>
      </c>
      <c r="E512" s="9" t="s">
        <v>11</v>
      </c>
    </row>
    <row r="513" spans="1:5" ht="15" customHeight="1" outlineLevel="2" x14ac:dyDescent="0.25">
      <c r="A513" s="3" t="str">
        <f>HYPERLINK("http://mystore1.ru/price_items/search?utf8=%E2%9C%93&amp;oem=2436RGNS4RD","2436RGNS4RD")</f>
        <v>2436RGNS4RD</v>
      </c>
      <c r="B513" s="1" t="s">
        <v>1016</v>
      </c>
      <c r="C513" s="9" t="s">
        <v>981</v>
      </c>
      <c r="D513" s="14" t="s">
        <v>1017</v>
      </c>
      <c r="E513" s="9" t="s">
        <v>11</v>
      </c>
    </row>
    <row r="514" spans="1:5" ht="15" customHeight="1" outlineLevel="2" x14ac:dyDescent="0.25">
      <c r="A514" s="3" t="str">
        <f>HYPERLINK("http://mystore1.ru/price_items/search?utf8=%E2%9C%93&amp;oem=2436RGNS4RV","2436RGNS4RV")</f>
        <v>2436RGNS4RV</v>
      </c>
      <c r="B514" s="1" t="s">
        <v>1018</v>
      </c>
      <c r="C514" s="9" t="s">
        <v>981</v>
      </c>
      <c r="D514" s="14" t="s">
        <v>1019</v>
      </c>
      <c r="E514" s="9" t="s">
        <v>11</v>
      </c>
    </row>
    <row r="515" spans="1:5" outlineLevel="1" x14ac:dyDescent="0.25">
      <c r="A515" s="2"/>
      <c r="B515" s="6" t="s">
        <v>1020</v>
      </c>
      <c r="C515" s="12"/>
      <c r="D515" s="13"/>
      <c r="E515" s="12"/>
    </row>
    <row r="516" spans="1:5" ht="15" customHeight="1" outlineLevel="2" x14ac:dyDescent="0.25">
      <c r="A516" s="3" t="str">
        <f>HYPERLINK("http://mystore1.ru/price_items/search?utf8=%E2%9C%93&amp;oem=2442AGSGNMV1B","2442AGSGNMV1B")</f>
        <v>2442AGSGNMV1B</v>
      </c>
      <c r="B516" s="1" t="s">
        <v>1021</v>
      </c>
      <c r="C516" s="9" t="s">
        <v>984</v>
      </c>
      <c r="D516" s="14" t="s">
        <v>1022</v>
      </c>
      <c r="E516" s="9" t="s">
        <v>8</v>
      </c>
    </row>
    <row r="517" spans="1:5" ht="15" customHeight="1" outlineLevel="2" x14ac:dyDescent="0.25">
      <c r="A517" s="3" t="str">
        <f>HYPERLINK("http://mystore1.ru/price_items/search?utf8=%E2%9C%93&amp;oem=2442AGSGNMV6T","2442AGSGNMV6T")</f>
        <v>2442AGSGNMV6T</v>
      </c>
      <c r="B517" s="1" t="s">
        <v>1023</v>
      </c>
      <c r="C517" s="9" t="s">
        <v>984</v>
      </c>
      <c r="D517" s="14" t="s">
        <v>1024</v>
      </c>
      <c r="E517" s="9" t="s">
        <v>8</v>
      </c>
    </row>
    <row r="518" spans="1:5" ht="15" customHeight="1" outlineLevel="2" x14ac:dyDescent="0.25">
      <c r="A518" s="3" t="str">
        <f>HYPERLINK("http://mystore1.ru/price_items/search?utf8=%E2%9C%93&amp;oem=2442AGSGNPV1B","2442AGSGNPV1B")</f>
        <v>2442AGSGNPV1B</v>
      </c>
      <c r="B518" s="1" t="s">
        <v>1025</v>
      </c>
      <c r="C518" s="9" t="s">
        <v>984</v>
      </c>
      <c r="D518" s="14" t="s">
        <v>1026</v>
      </c>
      <c r="E518" s="9" t="s">
        <v>8</v>
      </c>
    </row>
    <row r="519" spans="1:5" ht="15" customHeight="1" outlineLevel="2" x14ac:dyDescent="0.25">
      <c r="A519" s="3" t="str">
        <f>HYPERLINK("http://mystore1.ru/price_items/search?utf8=%E2%9C%93&amp;oem=2442AGSGNV","2442AGSGNV")</f>
        <v>2442AGSGNV</v>
      </c>
      <c r="B519" s="1" t="s">
        <v>1027</v>
      </c>
      <c r="C519" s="9" t="s">
        <v>984</v>
      </c>
      <c r="D519" s="14" t="s">
        <v>1028</v>
      </c>
      <c r="E519" s="9" t="s">
        <v>8</v>
      </c>
    </row>
    <row r="520" spans="1:5" ht="15" customHeight="1" outlineLevel="2" x14ac:dyDescent="0.25">
      <c r="A520" s="3" t="str">
        <f>HYPERLINK("http://mystore1.ru/price_items/search?utf8=%E2%9C%93&amp;oem=2442AGSMV6T","2442AGSMV6T")</f>
        <v>2442AGSMV6T</v>
      </c>
      <c r="B520" s="1" t="s">
        <v>1029</v>
      </c>
      <c r="C520" s="9" t="s">
        <v>984</v>
      </c>
      <c r="D520" s="14" t="s">
        <v>1030</v>
      </c>
      <c r="E520" s="9" t="s">
        <v>8</v>
      </c>
    </row>
    <row r="521" spans="1:5" ht="15" customHeight="1" outlineLevel="2" x14ac:dyDescent="0.25">
      <c r="A521" s="3" t="str">
        <f>HYPERLINK("http://mystore1.ru/price_items/search?utf8=%E2%9C%93&amp;oem=2442AGSV","2442AGSV")</f>
        <v>2442AGSV</v>
      </c>
      <c r="B521" s="1" t="s">
        <v>1031</v>
      </c>
      <c r="C521" s="9" t="s">
        <v>984</v>
      </c>
      <c r="D521" s="14" t="s">
        <v>1028</v>
      </c>
      <c r="E521" s="9" t="s">
        <v>8</v>
      </c>
    </row>
    <row r="522" spans="1:5" ht="15" customHeight="1" outlineLevel="2" x14ac:dyDescent="0.25">
      <c r="A522" s="3" t="str">
        <f>HYPERLINK("http://mystore1.ru/price_items/search?utf8=%E2%9C%93&amp;oem=2442ASMH","2442ASMH")</f>
        <v>2442ASMH</v>
      </c>
      <c r="B522" s="1" t="s">
        <v>1032</v>
      </c>
      <c r="C522" s="9" t="s">
        <v>25</v>
      </c>
      <c r="D522" s="14" t="s">
        <v>1033</v>
      </c>
      <c r="E522" s="9" t="s">
        <v>27</v>
      </c>
    </row>
    <row r="523" spans="1:5" ht="15" customHeight="1" outlineLevel="2" x14ac:dyDescent="0.25">
      <c r="A523" s="3" t="str">
        <f>HYPERLINK("http://mystore1.ru/price_items/search?utf8=%E2%9C%93&amp;oem=2442BGSHABGP","2442BGSHABGP")</f>
        <v>2442BGSHABGP</v>
      </c>
      <c r="B523" s="1" t="s">
        <v>1034</v>
      </c>
      <c r="C523" s="9" t="s">
        <v>984</v>
      </c>
      <c r="D523" s="14" t="s">
        <v>1035</v>
      </c>
      <c r="E523" s="9" t="s">
        <v>30</v>
      </c>
    </row>
    <row r="524" spans="1:5" ht="15" customHeight="1" outlineLevel="2" x14ac:dyDescent="0.25">
      <c r="A524" s="3" t="str">
        <f>HYPERLINK("http://mystore1.ru/price_items/search?utf8=%E2%9C%93&amp;oem=2442LGSH3FD","2442LGSH3FD")</f>
        <v>2442LGSH3FD</v>
      </c>
      <c r="B524" s="1" t="s">
        <v>1036</v>
      </c>
      <c r="C524" s="9" t="s">
        <v>984</v>
      </c>
      <c r="D524" s="14" t="s">
        <v>1037</v>
      </c>
      <c r="E524" s="9" t="s">
        <v>11</v>
      </c>
    </row>
    <row r="525" spans="1:5" ht="15" customHeight="1" outlineLevel="2" x14ac:dyDescent="0.25">
      <c r="A525" s="3" t="str">
        <f>HYPERLINK("http://mystore1.ru/price_items/search?utf8=%E2%9C%93&amp;oem=2442RGSH3FD","2442RGSH3FD")</f>
        <v>2442RGSH3FD</v>
      </c>
      <c r="B525" s="1" t="s">
        <v>1038</v>
      </c>
      <c r="C525" s="9" t="s">
        <v>984</v>
      </c>
      <c r="D525" s="14" t="s">
        <v>1039</v>
      </c>
      <c r="E525" s="9" t="s">
        <v>11</v>
      </c>
    </row>
    <row r="526" spans="1:5" outlineLevel="1" x14ac:dyDescent="0.25">
      <c r="A526" s="2"/>
      <c r="B526" s="6" t="s">
        <v>1040</v>
      </c>
      <c r="C526" s="12"/>
      <c r="D526" s="13"/>
      <c r="E526" s="12"/>
    </row>
    <row r="527" spans="1:5" ht="15" customHeight="1" outlineLevel="2" x14ac:dyDescent="0.25">
      <c r="A527" s="3" t="str">
        <f>HYPERLINK("http://mystore1.ru/price_items/search?utf8=%E2%9C%93&amp;oem=2447ACCGNMV1B","2447ACCGNMV1B")</f>
        <v>2447ACCGNMV1B</v>
      </c>
      <c r="B527" s="1" t="s">
        <v>1041</v>
      </c>
      <c r="C527" s="9" t="s">
        <v>1042</v>
      </c>
      <c r="D527" s="14" t="s">
        <v>1043</v>
      </c>
      <c r="E527" s="9" t="s">
        <v>8</v>
      </c>
    </row>
    <row r="528" spans="1:5" ht="15" customHeight="1" outlineLevel="2" x14ac:dyDescent="0.25">
      <c r="A528" s="3" t="str">
        <f>HYPERLINK("http://mystore1.ru/price_items/search?utf8=%E2%9C%93&amp;oem=2447AGNBLV","2447AGNBLV")</f>
        <v>2447AGNBLV</v>
      </c>
      <c r="B528" s="1" t="s">
        <v>1044</v>
      </c>
      <c r="C528" s="9" t="s">
        <v>1042</v>
      </c>
      <c r="D528" s="14" t="s">
        <v>1045</v>
      </c>
      <c r="E528" s="9" t="s">
        <v>8</v>
      </c>
    </row>
    <row r="529" spans="1:5" ht="15" customHeight="1" outlineLevel="2" x14ac:dyDescent="0.25">
      <c r="A529" s="3" t="str">
        <f>HYPERLINK("http://mystore1.ru/price_items/search?utf8=%E2%9C%93&amp;oem=2447AGNGNMV1B","2447AGNGNMV1B")</f>
        <v>2447AGNGNMV1B</v>
      </c>
      <c r="B529" s="1" t="s">
        <v>1046</v>
      </c>
      <c r="C529" s="9" t="s">
        <v>1042</v>
      </c>
      <c r="D529" s="14" t="s">
        <v>1047</v>
      </c>
      <c r="E529" s="9" t="s">
        <v>8</v>
      </c>
    </row>
    <row r="530" spans="1:5" ht="15" customHeight="1" outlineLevel="2" x14ac:dyDescent="0.25">
      <c r="A530" s="3" t="str">
        <f>HYPERLINK("http://mystore1.ru/price_items/search?utf8=%E2%9C%93&amp;oem=2447AGNGNV","2447AGNGNV")</f>
        <v>2447AGNGNV</v>
      </c>
      <c r="B530" s="1" t="s">
        <v>1048</v>
      </c>
      <c r="C530" s="9" t="s">
        <v>1042</v>
      </c>
      <c r="D530" s="14" t="s">
        <v>1049</v>
      </c>
      <c r="E530" s="9" t="s">
        <v>8</v>
      </c>
    </row>
    <row r="531" spans="1:5" ht="15" customHeight="1" outlineLevel="2" x14ac:dyDescent="0.25">
      <c r="A531" s="3" t="str">
        <f>HYPERLINK("http://mystore1.ru/price_items/search?utf8=%E2%9C%93&amp;oem=2447AGNMV1B","2447AGNMV1B")</f>
        <v>2447AGNMV1B</v>
      </c>
      <c r="B531" s="1" t="s">
        <v>1050</v>
      </c>
      <c r="C531" s="9" t="s">
        <v>1042</v>
      </c>
      <c r="D531" s="14" t="s">
        <v>1051</v>
      </c>
      <c r="E531" s="9" t="s">
        <v>8</v>
      </c>
    </row>
    <row r="532" spans="1:5" ht="15" customHeight="1" outlineLevel="2" x14ac:dyDescent="0.25">
      <c r="A532" s="3" t="str">
        <f>HYPERLINK("http://mystore1.ru/price_items/search?utf8=%E2%9C%93&amp;oem=2447AGNV","2447AGNV")</f>
        <v>2447AGNV</v>
      </c>
      <c r="B532" s="1" t="s">
        <v>1052</v>
      </c>
      <c r="C532" s="9" t="s">
        <v>1042</v>
      </c>
      <c r="D532" s="14" t="s">
        <v>1053</v>
      </c>
      <c r="E532" s="9" t="s">
        <v>8</v>
      </c>
    </row>
    <row r="533" spans="1:5" ht="15" customHeight="1" outlineLevel="2" x14ac:dyDescent="0.25">
      <c r="A533" s="3" t="str">
        <f>HYPERLINK("http://mystore1.ru/price_items/search?utf8=%E2%9C%93&amp;oem=2447ASMST","2447ASMST")</f>
        <v>2447ASMST</v>
      </c>
      <c r="B533" s="1" t="s">
        <v>1054</v>
      </c>
      <c r="C533" s="9" t="s">
        <v>25</v>
      </c>
      <c r="D533" s="14" t="s">
        <v>1055</v>
      </c>
      <c r="E533" s="9" t="s">
        <v>27</v>
      </c>
    </row>
    <row r="534" spans="1:5" ht="15" customHeight="1" outlineLevel="2" x14ac:dyDescent="0.25">
      <c r="A534" s="3" t="str">
        <f>HYPERLINK("http://mystore1.ru/price_items/search?utf8=%E2%9C%93&amp;oem=2447BGDSABJW","2447BGDSABJW")</f>
        <v>2447BGDSABJW</v>
      </c>
      <c r="B534" s="1" t="s">
        <v>1056</v>
      </c>
      <c r="C534" s="9" t="s">
        <v>1042</v>
      </c>
      <c r="D534" s="14" t="s">
        <v>1057</v>
      </c>
      <c r="E534" s="9" t="s">
        <v>30</v>
      </c>
    </row>
    <row r="535" spans="1:5" ht="15" customHeight="1" outlineLevel="2" x14ac:dyDescent="0.25">
      <c r="A535" s="3" t="str">
        <f>HYPERLINK("http://mystore1.ru/price_items/search?utf8=%E2%9C%93&amp;oem=2447BGNSABJW","2447BGNSABJW")</f>
        <v>2447BGNSABJW</v>
      </c>
      <c r="B535" s="1" t="s">
        <v>1058</v>
      </c>
      <c r="C535" s="9" t="s">
        <v>1042</v>
      </c>
      <c r="D535" s="14" t="s">
        <v>1059</v>
      </c>
      <c r="E535" s="9" t="s">
        <v>30</v>
      </c>
    </row>
    <row r="536" spans="1:5" ht="15" customHeight="1" outlineLevel="2" x14ac:dyDescent="0.25">
      <c r="A536" s="3" t="str">
        <f>HYPERLINK("http://mystore1.ru/price_items/search?utf8=%E2%9C%93&amp;oem=2447LGDS4RD","2447LGDS4RD")</f>
        <v>2447LGDS4RD</v>
      </c>
      <c r="B536" s="1" t="s">
        <v>1060</v>
      </c>
      <c r="C536" s="9" t="s">
        <v>1042</v>
      </c>
      <c r="D536" s="14" t="s">
        <v>1061</v>
      </c>
      <c r="E536" s="9" t="s">
        <v>11</v>
      </c>
    </row>
    <row r="537" spans="1:5" ht="15" customHeight="1" outlineLevel="2" x14ac:dyDescent="0.25">
      <c r="A537" s="3" t="str">
        <f>HYPERLINK("http://mystore1.ru/price_items/search?utf8=%E2%9C%93&amp;oem=2447LGNE5RD","2447LGNE5RD")</f>
        <v>2447LGNE5RD</v>
      </c>
      <c r="B537" s="1" t="s">
        <v>1062</v>
      </c>
      <c r="C537" s="9" t="s">
        <v>1042</v>
      </c>
      <c r="D537" s="14" t="s">
        <v>1063</v>
      </c>
      <c r="E537" s="9" t="s">
        <v>11</v>
      </c>
    </row>
    <row r="538" spans="1:5" ht="15" customHeight="1" outlineLevel="2" x14ac:dyDescent="0.25">
      <c r="A538" s="3" t="str">
        <f>HYPERLINK("http://mystore1.ru/price_items/search?utf8=%E2%9C%93&amp;oem=2447LGNS4FD","2447LGNS4FD")</f>
        <v>2447LGNS4FD</v>
      </c>
      <c r="B538" s="1" t="s">
        <v>1064</v>
      </c>
      <c r="C538" s="9" t="s">
        <v>1042</v>
      </c>
      <c r="D538" s="14" t="s">
        <v>1065</v>
      </c>
      <c r="E538" s="9" t="s">
        <v>11</v>
      </c>
    </row>
    <row r="539" spans="1:5" ht="15" customHeight="1" outlineLevel="2" x14ac:dyDescent="0.25">
      <c r="A539" s="3" t="str">
        <f>HYPERLINK("http://mystore1.ru/price_items/search?utf8=%E2%9C%93&amp;oem=2447LGNS4RD","2447LGNS4RD")</f>
        <v>2447LGNS4RD</v>
      </c>
      <c r="B539" s="1" t="s">
        <v>1066</v>
      </c>
      <c r="C539" s="9" t="s">
        <v>1042</v>
      </c>
      <c r="D539" s="14" t="s">
        <v>1067</v>
      </c>
      <c r="E539" s="9" t="s">
        <v>11</v>
      </c>
    </row>
    <row r="540" spans="1:5" ht="15" customHeight="1" outlineLevel="2" x14ac:dyDescent="0.25">
      <c r="A540" s="3" t="str">
        <f>HYPERLINK("http://mystore1.ru/price_items/search?utf8=%E2%9C%93&amp;oem=2447LGNS4RV","2447LGNS4RV")</f>
        <v>2447LGNS4RV</v>
      </c>
      <c r="B540" s="1" t="s">
        <v>1068</v>
      </c>
      <c r="C540" s="9" t="s">
        <v>1042</v>
      </c>
      <c r="D540" s="14" t="s">
        <v>1069</v>
      </c>
      <c r="E540" s="9" t="s">
        <v>11</v>
      </c>
    </row>
    <row r="541" spans="1:5" ht="15" customHeight="1" outlineLevel="2" x14ac:dyDescent="0.25">
      <c r="A541" s="3" t="str">
        <f>HYPERLINK("http://mystore1.ru/price_items/search?utf8=%E2%9C%93&amp;oem=2447RGDS4RD","2447RGDS4RD")</f>
        <v>2447RGDS4RD</v>
      </c>
      <c r="B541" s="1" t="s">
        <v>1070</v>
      </c>
      <c r="C541" s="9" t="s">
        <v>1042</v>
      </c>
      <c r="D541" s="14" t="s">
        <v>1071</v>
      </c>
      <c r="E541" s="9" t="s">
        <v>11</v>
      </c>
    </row>
    <row r="542" spans="1:5" ht="15" customHeight="1" outlineLevel="2" x14ac:dyDescent="0.25">
      <c r="A542" s="3" t="str">
        <f>HYPERLINK("http://mystore1.ru/price_items/search?utf8=%E2%9C%93&amp;oem=2447RGNE5RD","2447RGNE5RD")</f>
        <v>2447RGNE5RD</v>
      </c>
      <c r="B542" s="1" t="s">
        <v>1072</v>
      </c>
      <c r="C542" s="9" t="s">
        <v>1042</v>
      </c>
      <c r="D542" s="14" t="s">
        <v>1073</v>
      </c>
      <c r="E542" s="9" t="s">
        <v>11</v>
      </c>
    </row>
    <row r="543" spans="1:5" ht="15" customHeight="1" outlineLevel="2" x14ac:dyDescent="0.25">
      <c r="A543" s="3" t="str">
        <f>HYPERLINK("http://mystore1.ru/price_items/search?utf8=%E2%9C%93&amp;oem=2447RGNS4FD","2447RGNS4FD")</f>
        <v>2447RGNS4FD</v>
      </c>
      <c r="B543" s="1" t="s">
        <v>1074</v>
      </c>
      <c r="C543" s="9" t="s">
        <v>1042</v>
      </c>
      <c r="D543" s="14" t="s">
        <v>1075</v>
      </c>
      <c r="E543" s="9" t="s">
        <v>11</v>
      </c>
    </row>
    <row r="544" spans="1:5" ht="15" customHeight="1" outlineLevel="2" x14ac:dyDescent="0.25">
      <c r="A544" s="3" t="str">
        <f>HYPERLINK("http://mystore1.ru/price_items/search?utf8=%E2%9C%93&amp;oem=2447RGNS4RD","2447RGNS4RD")</f>
        <v>2447RGNS4RD</v>
      </c>
      <c r="B544" s="1" t="s">
        <v>1076</v>
      </c>
      <c r="C544" s="9" t="s">
        <v>1042</v>
      </c>
      <c r="D544" s="14" t="s">
        <v>1077</v>
      </c>
      <c r="E544" s="9" t="s">
        <v>11</v>
      </c>
    </row>
    <row r="545" spans="1:5" ht="15" customHeight="1" outlineLevel="2" x14ac:dyDescent="0.25">
      <c r="A545" s="3" t="str">
        <f>HYPERLINK("http://mystore1.ru/price_items/search?utf8=%E2%9C%93&amp;oem=2447RGNS4RV","2447RGNS4RV")</f>
        <v>2447RGNS4RV</v>
      </c>
      <c r="B545" s="1" t="s">
        <v>1078</v>
      </c>
      <c r="C545" s="9" t="s">
        <v>1042</v>
      </c>
      <c r="D545" s="14" t="s">
        <v>1079</v>
      </c>
      <c r="E545" s="9" t="s">
        <v>11</v>
      </c>
    </row>
    <row r="546" spans="1:5" outlineLevel="1" x14ac:dyDescent="0.25">
      <c r="A546" s="2"/>
      <c r="B546" s="6" t="s">
        <v>1080</v>
      </c>
      <c r="C546" s="12"/>
      <c r="D546" s="13"/>
      <c r="E546" s="12"/>
    </row>
    <row r="547" spans="1:5" ht="15" customHeight="1" outlineLevel="2" x14ac:dyDescent="0.25">
      <c r="A547" s="3" t="str">
        <f>HYPERLINK("http://mystore1.ru/price_items/search?utf8=%E2%9C%93&amp;oem=2454AGSGYMV1B","2454AGSGYMV1B")</f>
        <v>2454AGSGYMV1B</v>
      </c>
      <c r="B547" s="1" t="s">
        <v>1081</v>
      </c>
      <c r="C547" s="9" t="s">
        <v>687</v>
      </c>
      <c r="D547" s="14" t="s">
        <v>1082</v>
      </c>
      <c r="E547" s="9" t="s">
        <v>8</v>
      </c>
    </row>
    <row r="548" spans="1:5" ht="15" customHeight="1" outlineLevel="2" x14ac:dyDescent="0.25">
      <c r="A548" s="3" t="str">
        <f>HYPERLINK("http://mystore1.ru/price_items/search?utf8=%E2%9C%93&amp;oem=2454AGSGYV","2454AGSGYV")</f>
        <v>2454AGSGYV</v>
      </c>
      <c r="B548" s="1" t="s">
        <v>1083</v>
      </c>
      <c r="C548" s="9" t="s">
        <v>687</v>
      </c>
      <c r="D548" s="14" t="s">
        <v>1084</v>
      </c>
      <c r="E548" s="9" t="s">
        <v>8</v>
      </c>
    </row>
    <row r="549" spans="1:5" ht="15" customHeight="1" outlineLevel="2" x14ac:dyDescent="0.25">
      <c r="A549" s="3" t="str">
        <f>HYPERLINK("http://mystore1.ru/price_items/search?utf8=%E2%9C%93&amp;oem=2454BGSCB","2454BGSCB")</f>
        <v>2454BGSCB</v>
      </c>
      <c r="B549" s="1" t="s">
        <v>1085</v>
      </c>
      <c r="C549" s="9" t="s">
        <v>687</v>
      </c>
      <c r="D549" s="14" t="s">
        <v>1086</v>
      </c>
      <c r="E549" s="9" t="s">
        <v>30</v>
      </c>
    </row>
    <row r="550" spans="1:5" ht="15" customHeight="1" outlineLevel="2" x14ac:dyDescent="0.25">
      <c r="A550" s="3" t="str">
        <f>HYPERLINK("http://mystore1.ru/price_items/search?utf8=%E2%9C%93&amp;oem=2454BYPCB","2454BYPCB")</f>
        <v>2454BYPCB</v>
      </c>
      <c r="B550" s="1" t="s">
        <v>1087</v>
      </c>
      <c r="C550" s="9" t="s">
        <v>687</v>
      </c>
      <c r="D550" s="14" t="s">
        <v>1088</v>
      </c>
      <c r="E550" s="9" t="s">
        <v>30</v>
      </c>
    </row>
    <row r="551" spans="1:5" ht="15" customHeight="1" outlineLevel="2" x14ac:dyDescent="0.25">
      <c r="A551" s="3" t="str">
        <f>HYPERLINK("http://mystore1.ru/price_items/search?utf8=%E2%9C%93&amp;oem=2454LGSC2FDW","2454LGSC2FDW")</f>
        <v>2454LGSC2FDW</v>
      </c>
      <c r="B551" s="1" t="s">
        <v>1089</v>
      </c>
      <c r="C551" s="9" t="s">
        <v>687</v>
      </c>
      <c r="D551" s="14" t="s">
        <v>1090</v>
      </c>
      <c r="E551" s="9" t="s">
        <v>11</v>
      </c>
    </row>
    <row r="552" spans="1:5" ht="15" customHeight="1" outlineLevel="2" x14ac:dyDescent="0.25">
      <c r="A552" s="3" t="str">
        <f>HYPERLINK("http://mystore1.ru/price_items/search?utf8=%E2%9C%93&amp;oem=2454RGSC2FDW","2454RGSC2FDW")</f>
        <v>2454RGSC2FDW</v>
      </c>
      <c r="B552" s="1" t="s">
        <v>1091</v>
      </c>
      <c r="C552" s="9" t="s">
        <v>687</v>
      </c>
      <c r="D552" s="14" t="s">
        <v>1092</v>
      </c>
      <c r="E552" s="9" t="s">
        <v>11</v>
      </c>
    </row>
    <row r="553" spans="1:5" outlineLevel="1" x14ac:dyDescent="0.25">
      <c r="A553" s="2"/>
      <c r="B553" s="6" t="s">
        <v>1093</v>
      </c>
      <c r="C553" s="12"/>
      <c r="D553" s="13"/>
      <c r="E553" s="12"/>
    </row>
    <row r="554" spans="1:5" ht="15" customHeight="1" outlineLevel="2" x14ac:dyDescent="0.25">
      <c r="A554" s="3" t="str">
        <f>HYPERLINK("http://mystore1.ru/price_items/search?utf8=%E2%9C%93&amp;oem=2450AGSGYV","2450AGSGYV")</f>
        <v>2450AGSGYV</v>
      </c>
      <c r="B554" s="1" t="s">
        <v>1094</v>
      </c>
      <c r="C554" s="9" t="s">
        <v>687</v>
      </c>
      <c r="D554" s="14" t="s">
        <v>1095</v>
      </c>
      <c r="E554" s="9" t="s">
        <v>8</v>
      </c>
    </row>
    <row r="555" spans="1:5" outlineLevel="1" x14ac:dyDescent="0.25">
      <c r="A555" s="2"/>
      <c r="B555" s="6" t="s">
        <v>1096</v>
      </c>
      <c r="C555" s="12"/>
      <c r="D555" s="13"/>
      <c r="E555" s="12"/>
    </row>
    <row r="556" spans="1:5" ht="15" customHeight="1" outlineLevel="2" x14ac:dyDescent="0.25">
      <c r="A556" s="3" t="str">
        <f>HYPERLINK("http://mystore1.ru/price_items/search?utf8=%E2%9C%93&amp;oem=2420ACL","2420ACL")</f>
        <v>2420ACL</v>
      </c>
      <c r="B556" s="1" t="s">
        <v>1097</v>
      </c>
      <c r="C556" s="9" t="s">
        <v>1098</v>
      </c>
      <c r="D556" s="14" t="s">
        <v>1099</v>
      </c>
      <c r="E556" s="9" t="s">
        <v>8</v>
      </c>
    </row>
    <row r="557" spans="1:5" ht="15" customHeight="1" outlineLevel="2" x14ac:dyDescent="0.25">
      <c r="A557" s="3" t="str">
        <f>HYPERLINK("http://mystore1.ru/price_items/search?utf8=%E2%9C%93&amp;oem=2420AGN","2420AGN")</f>
        <v>2420AGN</v>
      </c>
      <c r="B557" s="1" t="s">
        <v>1100</v>
      </c>
      <c r="C557" s="9" t="s">
        <v>1098</v>
      </c>
      <c r="D557" s="14" t="s">
        <v>1101</v>
      </c>
      <c r="E557" s="9" t="s">
        <v>8</v>
      </c>
    </row>
    <row r="558" spans="1:5" ht="15" customHeight="1" outlineLevel="2" x14ac:dyDescent="0.25">
      <c r="A558" s="3" t="str">
        <f>HYPERLINK("http://mystore1.ru/price_items/search?utf8=%E2%9C%93&amp;oem=2420AGNGN","2420AGNGN")</f>
        <v>2420AGNGN</v>
      </c>
      <c r="B558" s="1" t="s">
        <v>1102</v>
      </c>
      <c r="C558" s="9" t="s">
        <v>1098</v>
      </c>
      <c r="D558" s="14" t="s">
        <v>1103</v>
      </c>
      <c r="E558" s="9" t="s">
        <v>8</v>
      </c>
    </row>
    <row r="559" spans="1:5" ht="15" customHeight="1" outlineLevel="2" x14ac:dyDescent="0.25">
      <c r="A559" s="3" t="str">
        <f>HYPERLINK("http://mystore1.ru/price_items/search?utf8=%E2%9C%93&amp;oem=2420ASRS","2420ASRS")</f>
        <v>2420ASRS</v>
      </c>
      <c r="B559" s="1" t="s">
        <v>1104</v>
      </c>
      <c r="C559" s="9" t="s">
        <v>25</v>
      </c>
      <c r="D559" s="14" t="s">
        <v>1105</v>
      </c>
      <c r="E559" s="9" t="s">
        <v>27</v>
      </c>
    </row>
    <row r="560" spans="1:5" outlineLevel="1" x14ac:dyDescent="0.25">
      <c r="A560" s="2"/>
      <c r="B560" s="6" t="s">
        <v>1106</v>
      </c>
      <c r="C560" s="12"/>
      <c r="D560" s="13"/>
      <c r="E560" s="12"/>
    </row>
    <row r="561" spans="1:5" ht="15" customHeight="1" outlineLevel="2" x14ac:dyDescent="0.25">
      <c r="A561" s="3" t="str">
        <f>HYPERLINK("http://mystore1.ru/price_items/search?utf8=%E2%9C%93&amp;oem=2426AGN","2426AGN")</f>
        <v>2426AGN</v>
      </c>
      <c r="B561" s="1" t="s">
        <v>1107</v>
      </c>
      <c r="C561" s="9" t="s">
        <v>1108</v>
      </c>
      <c r="D561" s="14" t="s">
        <v>1109</v>
      </c>
      <c r="E561" s="9" t="s">
        <v>8</v>
      </c>
    </row>
    <row r="562" spans="1:5" ht="15" customHeight="1" outlineLevel="2" x14ac:dyDescent="0.25">
      <c r="A562" s="3" t="str">
        <f>HYPERLINK("http://mystore1.ru/price_items/search?utf8=%E2%9C%93&amp;oem=2426AGNBL","2426AGNBL")</f>
        <v>2426AGNBL</v>
      </c>
      <c r="B562" s="1" t="s">
        <v>1110</v>
      </c>
      <c r="C562" s="9" t="s">
        <v>1108</v>
      </c>
      <c r="D562" s="14" t="s">
        <v>1111</v>
      </c>
      <c r="E562" s="9" t="s">
        <v>8</v>
      </c>
    </row>
    <row r="563" spans="1:5" ht="15" customHeight="1" outlineLevel="2" x14ac:dyDescent="0.25">
      <c r="A563" s="3" t="str">
        <f>HYPERLINK("http://mystore1.ru/price_items/search?utf8=%E2%9C%93&amp;oem=2426AGNGN","2426AGNGN")</f>
        <v>2426AGNGN</v>
      </c>
      <c r="B563" s="1" t="s">
        <v>1112</v>
      </c>
      <c r="C563" s="9" t="s">
        <v>1108</v>
      </c>
      <c r="D563" s="14" t="s">
        <v>1113</v>
      </c>
      <c r="E563" s="9" t="s">
        <v>8</v>
      </c>
    </row>
    <row r="564" spans="1:5" ht="15" customHeight="1" outlineLevel="2" x14ac:dyDescent="0.25">
      <c r="A564" s="3" t="str">
        <f>HYPERLINK("http://mystore1.ru/price_items/search?utf8=%E2%9C%93&amp;oem=2426ASCS","2426ASCS")</f>
        <v>2426ASCS</v>
      </c>
      <c r="B564" s="1" t="s">
        <v>1114</v>
      </c>
      <c r="C564" s="9" t="s">
        <v>25</v>
      </c>
      <c r="D564" s="14" t="s">
        <v>1115</v>
      </c>
      <c r="E564" s="9" t="s">
        <v>27</v>
      </c>
    </row>
    <row r="565" spans="1:5" ht="15" customHeight="1" outlineLevel="2" x14ac:dyDescent="0.25">
      <c r="A565" s="3" t="str">
        <f>HYPERLINK("http://mystore1.ru/price_items/search?utf8=%E2%9C%93&amp;oem=2426ASCSB","2426ASCSB")</f>
        <v>2426ASCSB</v>
      </c>
      <c r="B565" s="1" t="s">
        <v>1116</v>
      </c>
      <c r="C565" s="9" t="s">
        <v>25</v>
      </c>
      <c r="D565" s="14" t="s">
        <v>1117</v>
      </c>
      <c r="E565" s="9" t="s">
        <v>27</v>
      </c>
    </row>
    <row r="566" spans="1:5" ht="15" customHeight="1" outlineLevel="2" x14ac:dyDescent="0.25">
      <c r="A566" s="3" t="str">
        <f>HYPERLINK("http://mystore1.ru/price_items/search?utf8=%E2%9C%93&amp;oem=2426ASSS","2426ASSS")</f>
        <v>2426ASSS</v>
      </c>
      <c r="B566" s="1" t="s">
        <v>1118</v>
      </c>
      <c r="C566" s="9" t="s">
        <v>25</v>
      </c>
      <c r="D566" s="14" t="s">
        <v>1117</v>
      </c>
      <c r="E566" s="9" t="s">
        <v>27</v>
      </c>
    </row>
    <row r="567" spans="1:5" ht="15" customHeight="1" outlineLevel="2" x14ac:dyDescent="0.25">
      <c r="A567" s="3" t="str">
        <f>HYPERLINK("http://mystore1.ru/price_items/search?utf8=%E2%9C%93&amp;oem=PMA2426/2427ASCS","PMA2426/2427ASCS")</f>
        <v>PMA2426/2427ASCS</v>
      </c>
      <c r="B567" s="1" t="s">
        <v>1119</v>
      </c>
      <c r="C567" s="9" t="s">
        <v>25</v>
      </c>
      <c r="D567" s="14" t="s">
        <v>1120</v>
      </c>
      <c r="E567" s="9" t="s">
        <v>27</v>
      </c>
    </row>
    <row r="568" spans="1:5" ht="15" customHeight="1" outlineLevel="2" x14ac:dyDescent="0.25">
      <c r="A568" s="3" t="str">
        <f>HYPERLINK("http://mystore1.ru/price_items/search?utf8=%E2%9C%93&amp;oem=2426BGNSA","2426BGNSA")</f>
        <v>2426BGNSA</v>
      </c>
      <c r="B568" s="1" t="s">
        <v>1121</v>
      </c>
      <c r="C568" s="9" t="s">
        <v>1108</v>
      </c>
      <c r="D568" s="14" t="s">
        <v>1122</v>
      </c>
      <c r="E568" s="9" t="s">
        <v>30</v>
      </c>
    </row>
    <row r="569" spans="1:5" ht="15" customHeight="1" outlineLevel="2" x14ac:dyDescent="0.25">
      <c r="A569" s="3" t="str">
        <f>HYPERLINK("http://mystore1.ru/price_items/search?utf8=%E2%9C%93&amp;oem=2426LGNS4FD","2426LGNS4FD")</f>
        <v>2426LGNS4FD</v>
      </c>
      <c r="B569" s="1" t="s">
        <v>1123</v>
      </c>
      <c r="C569" s="9" t="s">
        <v>1108</v>
      </c>
      <c r="D569" s="14" t="s">
        <v>1124</v>
      </c>
      <c r="E569" s="9" t="s">
        <v>11</v>
      </c>
    </row>
    <row r="570" spans="1:5" ht="15" customHeight="1" outlineLevel="2" x14ac:dyDescent="0.25">
      <c r="A570" s="3" t="str">
        <f>HYPERLINK("http://mystore1.ru/price_items/search?utf8=%E2%9C%93&amp;oem=2426LGNS4RD","2426LGNS4RD")</f>
        <v>2426LGNS4RD</v>
      </c>
      <c r="B570" s="1" t="s">
        <v>1125</v>
      </c>
      <c r="C570" s="9" t="s">
        <v>1108</v>
      </c>
      <c r="D570" s="14" t="s">
        <v>1126</v>
      </c>
      <c r="E570" s="9" t="s">
        <v>11</v>
      </c>
    </row>
    <row r="571" spans="1:5" ht="15" customHeight="1" outlineLevel="2" x14ac:dyDescent="0.25">
      <c r="A571" s="3" t="str">
        <f>HYPERLINK("http://mystore1.ru/price_items/search?utf8=%E2%9C%93&amp;oem=2426RGNS4FD","2426RGNS4FD")</f>
        <v>2426RGNS4FD</v>
      </c>
      <c r="B571" s="1" t="s">
        <v>1127</v>
      </c>
      <c r="C571" s="9" t="s">
        <v>1108</v>
      </c>
      <c r="D571" s="14" t="s">
        <v>1128</v>
      </c>
      <c r="E571" s="9" t="s">
        <v>11</v>
      </c>
    </row>
    <row r="572" spans="1:5" ht="15" customHeight="1" outlineLevel="2" x14ac:dyDescent="0.25">
      <c r="A572" s="3" t="str">
        <f>HYPERLINK("http://mystore1.ru/price_items/search?utf8=%E2%9C%93&amp;oem=2426RGNS4FDW","2426RGNS4FDW")</f>
        <v>2426RGNS4FDW</v>
      </c>
      <c r="B572" s="1" t="s">
        <v>1129</v>
      </c>
      <c r="C572" s="9" t="s">
        <v>1108</v>
      </c>
      <c r="D572" s="14" t="s">
        <v>1130</v>
      </c>
      <c r="E572" s="9" t="s">
        <v>11</v>
      </c>
    </row>
    <row r="573" spans="1:5" ht="15" customHeight="1" outlineLevel="2" x14ac:dyDescent="0.25">
      <c r="A573" s="3" t="str">
        <f>HYPERLINK("http://mystore1.ru/price_items/search?utf8=%E2%9C%93&amp;oem=2426RGNS4RD","2426RGNS4RD")</f>
        <v>2426RGNS4RD</v>
      </c>
      <c r="B573" s="1" t="s">
        <v>1131</v>
      </c>
      <c r="C573" s="9" t="s">
        <v>1108</v>
      </c>
      <c r="D573" s="14" t="s">
        <v>1132</v>
      </c>
      <c r="E573" s="9" t="s">
        <v>11</v>
      </c>
    </row>
    <row r="574" spans="1:5" ht="15" customHeight="1" outlineLevel="2" x14ac:dyDescent="0.25">
      <c r="A574" s="3" t="str">
        <f>HYPERLINK("http://mystore1.ru/price_items/search?utf8=%E2%9C%93&amp;oem=2426RGNE5RD","2426RGNE5RD")</f>
        <v>2426RGNE5RD</v>
      </c>
      <c r="B574" s="1" t="s">
        <v>1133</v>
      </c>
      <c r="C574" s="9" t="s">
        <v>1108</v>
      </c>
      <c r="D574" s="14" t="s">
        <v>1134</v>
      </c>
      <c r="E574" s="9" t="s">
        <v>11</v>
      </c>
    </row>
    <row r="575" spans="1:5" outlineLevel="1" x14ac:dyDescent="0.25">
      <c r="A575" s="2"/>
      <c r="B575" s="6" t="s">
        <v>1135</v>
      </c>
      <c r="C575" s="12"/>
      <c r="D575" s="13"/>
      <c r="E575" s="12"/>
    </row>
    <row r="576" spans="1:5" ht="15" customHeight="1" outlineLevel="2" x14ac:dyDescent="0.25">
      <c r="A576" s="3" t="str">
        <f>HYPERLINK("http://mystore1.ru/price_items/search?utf8=%E2%9C%93&amp;oem=2434ACCGNV","2434ACCGNV")</f>
        <v>2434ACCGNV</v>
      </c>
      <c r="B576" s="1" t="s">
        <v>1136</v>
      </c>
      <c r="C576" s="9" t="s">
        <v>420</v>
      </c>
      <c r="D576" s="14" t="s">
        <v>1137</v>
      </c>
      <c r="E576" s="9" t="s">
        <v>8</v>
      </c>
    </row>
    <row r="577" spans="1:5" ht="15" customHeight="1" outlineLevel="2" x14ac:dyDescent="0.25">
      <c r="A577" s="3" t="str">
        <f>HYPERLINK("http://mystore1.ru/price_items/search?utf8=%E2%9C%93&amp;oem=2434AGNBLV","2434AGNBLV")</f>
        <v>2434AGNBLV</v>
      </c>
      <c r="B577" s="1" t="s">
        <v>1138</v>
      </c>
      <c r="C577" s="9" t="s">
        <v>420</v>
      </c>
      <c r="D577" s="14" t="s">
        <v>1139</v>
      </c>
      <c r="E577" s="9" t="s">
        <v>8</v>
      </c>
    </row>
    <row r="578" spans="1:5" ht="15" customHeight="1" outlineLevel="2" x14ac:dyDescent="0.25">
      <c r="A578" s="3" t="str">
        <f>HYPERLINK("http://mystore1.ru/price_items/search?utf8=%E2%9C%93&amp;oem=2434AGNGNMV","2434AGNGNMV")</f>
        <v>2434AGNGNMV</v>
      </c>
      <c r="B578" s="1" t="s">
        <v>1140</v>
      </c>
      <c r="C578" s="9" t="s">
        <v>1141</v>
      </c>
      <c r="D578" s="14" t="s">
        <v>1142</v>
      </c>
      <c r="E578" s="9" t="s">
        <v>8</v>
      </c>
    </row>
    <row r="579" spans="1:5" ht="15" customHeight="1" outlineLevel="2" x14ac:dyDescent="0.25">
      <c r="A579" s="3" t="str">
        <f>HYPERLINK("http://mystore1.ru/price_items/search?utf8=%E2%9C%93&amp;oem=2434AGNGNMV1B","2434AGNGNMV1B")</f>
        <v>2434AGNGNMV1B</v>
      </c>
      <c r="B579" s="1" t="s">
        <v>1143</v>
      </c>
      <c r="C579" s="9" t="s">
        <v>1144</v>
      </c>
      <c r="D579" s="14" t="s">
        <v>1145</v>
      </c>
      <c r="E579" s="9" t="s">
        <v>8</v>
      </c>
    </row>
    <row r="580" spans="1:5" ht="15" customHeight="1" outlineLevel="2" x14ac:dyDescent="0.25">
      <c r="A580" s="3" t="str">
        <f>HYPERLINK("http://mystore1.ru/price_items/search?utf8=%E2%9C%93&amp;oem=2434AGNGNMV6T","2434AGNGNMV6T")</f>
        <v>2434AGNGNMV6T</v>
      </c>
      <c r="B580" s="1" t="s">
        <v>1146</v>
      </c>
      <c r="C580" s="9" t="s">
        <v>1147</v>
      </c>
      <c r="D580" s="14" t="s">
        <v>1148</v>
      </c>
      <c r="E580" s="9" t="s">
        <v>8</v>
      </c>
    </row>
    <row r="581" spans="1:5" ht="15" customHeight="1" outlineLevel="2" x14ac:dyDescent="0.25">
      <c r="A581" s="3" t="str">
        <f>HYPERLINK("http://mystore1.ru/price_items/search?utf8=%E2%9C%93&amp;oem=2434AGNGNV","2434AGNGNV")</f>
        <v>2434AGNGNV</v>
      </c>
      <c r="B581" s="1" t="s">
        <v>1149</v>
      </c>
      <c r="C581" s="9" t="s">
        <v>420</v>
      </c>
      <c r="D581" s="14" t="s">
        <v>1150</v>
      </c>
      <c r="E581" s="9" t="s">
        <v>8</v>
      </c>
    </row>
    <row r="582" spans="1:5" ht="15" customHeight="1" outlineLevel="2" x14ac:dyDescent="0.25">
      <c r="A582" s="3" t="str">
        <f>HYPERLINK("http://mystore1.ru/price_items/search?utf8=%E2%9C%93&amp;oem=2434AGNMV","2434AGNMV")</f>
        <v>2434AGNMV</v>
      </c>
      <c r="B582" s="1" t="s">
        <v>1151</v>
      </c>
      <c r="C582" s="9" t="s">
        <v>420</v>
      </c>
      <c r="D582" s="14" t="s">
        <v>1152</v>
      </c>
      <c r="E582" s="9" t="s">
        <v>8</v>
      </c>
    </row>
    <row r="583" spans="1:5" ht="15" customHeight="1" outlineLevel="2" x14ac:dyDescent="0.25">
      <c r="A583" s="3" t="str">
        <f>HYPERLINK("http://mystore1.ru/price_items/search?utf8=%E2%9C%93&amp;oem=2434AGNMV1B","2434AGNMV1B")</f>
        <v>2434AGNMV1B</v>
      </c>
      <c r="B583" s="1" t="s">
        <v>1153</v>
      </c>
      <c r="C583" s="9" t="s">
        <v>1154</v>
      </c>
      <c r="D583" s="14" t="s">
        <v>1155</v>
      </c>
      <c r="E583" s="9" t="s">
        <v>8</v>
      </c>
    </row>
    <row r="584" spans="1:5" ht="15" customHeight="1" outlineLevel="2" x14ac:dyDescent="0.25">
      <c r="A584" s="3" t="str">
        <f>HYPERLINK("http://mystore1.ru/price_items/search?utf8=%E2%9C%93&amp;oem=2434AGNMV6T","2434AGNMV6T")</f>
        <v>2434AGNMV6T</v>
      </c>
      <c r="B584" s="1" t="s">
        <v>1156</v>
      </c>
      <c r="C584" s="9" t="s">
        <v>1147</v>
      </c>
      <c r="D584" s="14" t="s">
        <v>1157</v>
      </c>
      <c r="E584" s="9" t="s">
        <v>8</v>
      </c>
    </row>
    <row r="585" spans="1:5" ht="15" customHeight="1" outlineLevel="2" x14ac:dyDescent="0.25">
      <c r="A585" s="3" t="str">
        <f>HYPERLINK("http://mystore1.ru/price_items/search?utf8=%E2%9C%93&amp;oem=2434AGNV","2434AGNV")</f>
        <v>2434AGNV</v>
      </c>
      <c r="B585" s="1" t="s">
        <v>1158</v>
      </c>
      <c r="C585" s="9" t="s">
        <v>420</v>
      </c>
      <c r="D585" s="14" t="s">
        <v>1159</v>
      </c>
      <c r="E585" s="9" t="s">
        <v>8</v>
      </c>
    </row>
    <row r="586" spans="1:5" ht="15" customHeight="1" outlineLevel="2" x14ac:dyDescent="0.25">
      <c r="A586" s="3" t="str">
        <f>HYPERLINK("http://mystore1.ru/price_items/search?utf8=%E2%9C%93&amp;oem=2434AKCSB","2434AKCSB")</f>
        <v>2434AKCSB</v>
      </c>
      <c r="B586" s="1" t="s">
        <v>1160</v>
      </c>
      <c r="C586" s="9" t="s">
        <v>25</v>
      </c>
      <c r="D586" s="14" t="s">
        <v>1161</v>
      </c>
      <c r="E586" s="9" t="s">
        <v>27</v>
      </c>
    </row>
    <row r="587" spans="1:5" ht="15" customHeight="1" outlineLevel="2" x14ac:dyDescent="0.25">
      <c r="A587" s="3" t="str">
        <f>HYPERLINK("http://mystore1.ru/price_items/search?utf8=%E2%9C%93&amp;oem=2434ASDS","2434ASDS")</f>
        <v>2434ASDS</v>
      </c>
      <c r="B587" s="1" t="s">
        <v>1162</v>
      </c>
      <c r="C587" s="9" t="s">
        <v>25</v>
      </c>
      <c r="D587" s="14" t="s">
        <v>1163</v>
      </c>
      <c r="E587" s="9" t="s">
        <v>27</v>
      </c>
    </row>
    <row r="588" spans="1:5" ht="15" customHeight="1" outlineLevel="2" x14ac:dyDescent="0.25">
      <c r="A588" s="3" t="str">
        <f>HYPERLINK("http://mystore1.ru/price_items/search?utf8=%E2%9C%93&amp;oem=2434ASMS","2434ASMS")</f>
        <v>2434ASMS</v>
      </c>
      <c r="B588" s="1" t="s">
        <v>1164</v>
      </c>
      <c r="C588" s="9" t="s">
        <v>25</v>
      </c>
      <c r="D588" s="14" t="s">
        <v>1165</v>
      </c>
      <c r="E588" s="9" t="s">
        <v>27</v>
      </c>
    </row>
    <row r="589" spans="1:5" ht="15" customHeight="1" outlineLevel="2" x14ac:dyDescent="0.25">
      <c r="A589" s="3" t="str">
        <f>HYPERLINK("http://mystore1.ru/price_items/search?utf8=%E2%9C%93&amp;oem=2434ASMS1O","2434ASMS1O")</f>
        <v>2434ASMS1O</v>
      </c>
      <c r="B589" s="1" t="s">
        <v>1166</v>
      </c>
      <c r="C589" s="9" t="s">
        <v>25</v>
      </c>
      <c r="D589" s="14" t="s">
        <v>1167</v>
      </c>
      <c r="E589" s="9" t="s">
        <v>27</v>
      </c>
    </row>
    <row r="590" spans="1:5" ht="15" customHeight="1" outlineLevel="2" x14ac:dyDescent="0.25">
      <c r="A590" s="3" t="str">
        <f>HYPERLINK("http://mystore1.ru/price_items/search?utf8=%E2%9C%93&amp;oem=2434ASCSB","2434ASCSB")</f>
        <v>2434ASCSB</v>
      </c>
      <c r="B590" s="1" t="s">
        <v>1168</v>
      </c>
      <c r="C590" s="9" t="s">
        <v>25</v>
      </c>
      <c r="D590" s="14" t="s">
        <v>1169</v>
      </c>
      <c r="E590" s="9" t="s">
        <v>27</v>
      </c>
    </row>
    <row r="591" spans="1:5" ht="15" customHeight="1" outlineLevel="2" x14ac:dyDescent="0.25">
      <c r="A591" s="3" t="str">
        <f>HYPERLINK("http://mystore1.ru/price_items/search?utf8=%E2%9C%93&amp;oem=2434BGNEABZ","2434BGNEABZ")</f>
        <v>2434BGNEABZ</v>
      </c>
      <c r="B591" s="1" t="s">
        <v>1170</v>
      </c>
      <c r="C591" s="9" t="s">
        <v>1171</v>
      </c>
      <c r="D591" s="14" t="s">
        <v>1172</v>
      </c>
      <c r="E591" s="9" t="s">
        <v>30</v>
      </c>
    </row>
    <row r="592" spans="1:5" ht="15" customHeight="1" outlineLevel="2" x14ac:dyDescent="0.25">
      <c r="A592" s="3" t="str">
        <f>HYPERLINK("http://mystore1.ru/price_items/search?utf8=%E2%9C%93&amp;oem=2434BGNSAB","2434BGNSAB")</f>
        <v>2434BGNSAB</v>
      </c>
      <c r="B592" s="1" t="s">
        <v>1173</v>
      </c>
      <c r="C592" s="9" t="s">
        <v>420</v>
      </c>
      <c r="D592" s="14" t="s">
        <v>1174</v>
      </c>
      <c r="E592" s="9" t="s">
        <v>30</v>
      </c>
    </row>
    <row r="593" spans="1:5" ht="15" customHeight="1" outlineLevel="2" x14ac:dyDescent="0.25">
      <c r="A593" s="3" t="str">
        <f>HYPERLINK("http://mystore1.ru/price_items/search?utf8=%E2%9C%93&amp;oem=2434BSMS","2434BSMS")</f>
        <v>2434BSMS</v>
      </c>
      <c r="B593" s="1" t="s">
        <v>1175</v>
      </c>
      <c r="C593" s="9" t="s">
        <v>25</v>
      </c>
      <c r="D593" s="14" t="s">
        <v>1176</v>
      </c>
      <c r="E593" s="9" t="s">
        <v>27</v>
      </c>
    </row>
    <row r="594" spans="1:5" ht="15" customHeight="1" outlineLevel="2" x14ac:dyDescent="0.25">
      <c r="A594" s="3" t="str">
        <f>HYPERLINK("http://mystore1.ru/price_items/search?utf8=%E2%9C%93&amp;oem=2434BSMSB","2434BSMSB")</f>
        <v>2434BSMSB</v>
      </c>
      <c r="B594" s="1" t="s">
        <v>1177</v>
      </c>
      <c r="C594" s="9" t="s">
        <v>25</v>
      </c>
      <c r="D594" s="14" t="s">
        <v>1178</v>
      </c>
      <c r="E594" s="9" t="s">
        <v>27</v>
      </c>
    </row>
    <row r="595" spans="1:5" ht="15" customHeight="1" outlineLevel="2" x14ac:dyDescent="0.25">
      <c r="A595" s="3" t="str">
        <f>HYPERLINK("http://mystore1.ru/price_items/search?utf8=%E2%9C%93&amp;oem=2434LGNE5RD","2434LGNE5RD")</f>
        <v>2434LGNE5RD</v>
      </c>
      <c r="B595" s="1" t="s">
        <v>1179</v>
      </c>
      <c r="C595" s="9" t="s">
        <v>1171</v>
      </c>
      <c r="D595" s="14" t="s">
        <v>1180</v>
      </c>
      <c r="E595" s="9" t="s">
        <v>11</v>
      </c>
    </row>
    <row r="596" spans="1:5" ht="15" customHeight="1" outlineLevel="2" x14ac:dyDescent="0.25">
      <c r="A596" s="3" t="str">
        <f>HYPERLINK("http://mystore1.ru/price_items/search?utf8=%E2%9C%93&amp;oem=2434LGNE5RV","2434LGNE5RV")</f>
        <v>2434LGNE5RV</v>
      </c>
      <c r="B596" s="1" t="s">
        <v>1181</v>
      </c>
      <c r="C596" s="9" t="s">
        <v>1171</v>
      </c>
      <c r="D596" s="14" t="s">
        <v>1182</v>
      </c>
      <c r="E596" s="9" t="s">
        <v>11</v>
      </c>
    </row>
    <row r="597" spans="1:5" ht="15" customHeight="1" outlineLevel="2" x14ac:dyDescent="0.25">
      <c r="A597" s="3" t="str">
        <f>HYPERLINK("http://mystore1.ru/price_items/search?utf8=%E2%9C%93&amp;oem=2434LGNS4FD","2434LGNS4FD")</f>
        <v>2434LGNS4FD</v>
      </c>
      <c r="B597" s="1" t="s">
        <v>1183</v>
      </c>
      <c r="C597" s="9" t="s">
        <v>420</v>
      </c>
      <c r="D597" s="14" t="s">
        <v>1184</v>
      </c>
      <c r="E597" s="9" t="s">
        <v>11</v>
      </c>
    </row>
    <row r="598" spans="1:5" ht="15" customHeight="1" outlineLevel="2" x14ac:dyDescent="0.25">
      <c r="A598" s="3" t="str">
        <f>HYPERLINK("http://mystore1.ru/price_items/search?utf8=%E2%9C%93&amp;oem=2434LGNS4RD","2434LGNS4RD")</f>
        <v>2434LGNS4RD</v>
      </c>
      <c r="B598" s="1" t="s">
        <v>1185</v>
      </c>
      <c r="C598" s="9" t="s">
        <v>420</v>
      </c>
      <c r="D598" s="14" t="s">
        <v>1186</v>
      </c>
      <c r="E598" s="9" t="s">
        <v>11</v>
      </c>
    </row>
    <row r="599" spans="1:5" ht="15" customHeight="1" outlineLevel="2" x14ac:dyDescent="0.25">
      <c r="A599" s="3" t="str">
        <f>HYPERLINK("http://mystore1.ru/price_items/search?utf8=%E2%9C%93&amp;oem=2434LGNS4RV","2434LGNS4RV")</f>
        <v>2434LGNS4RV</v>
      </c>
      <c r="B599" s="1" t="s">
        <v>1187</v>
      </c>
      <c r="C599" s="9" t="s">
        <v>420</v>
      </c>
      <c r="D599" s="14" t="s">
        <v>1188</v>
      </c>
      <c r="E599" s="9" t="s">
        <v>11</v>
      </c>
    </row>
    <row r="600" spans="1:5" ht="15" customHeight="1" outlineLevel="2" x14ac:dyDescent="0.25">
      <c r="A600" s="3" t="str">
        <f>HYPERLINK("http://mystore1.ru/price_items/search?utf8=%E2%9C%93&amp;oem=2434RGNE5RD","2434RGNE5RD")</f>
        <v>2434RGNE5RD</v>
      </c>
      <c r="B600" s="1" t="s">
        <v>1189</v>
      </c>
      <c r="C600" s="9" t="s">
        <v>420</v>
      </c>
      <c r="D600" s="14" t="s">
        <v>1190</v>
      </c>
      <c r="E600" s="9" t="s">
        <v>11</v>
      </c>
    </row>
    <row r="601" spans="1:5" ht="15" customHeight="1" outlineLevel="2" x14ac:dyDescent="0.25">
      <c r="A601" s="3" t="str">
        <f>HYPERLINK("http://mystore1.ru/price_items/search?utf8=%E2%9C%93&amp;oem=2434RGNE5RV","2434RGNE5RV")</f>
        <v>2434RGNE5RV</v>
      </c>
      <c r="B601" s="1" t="s">
        <v>1191</v>
      </c>
      <c r="C601" s="9" t="s">
        <v>420</v>
      </c>
      <c r="D601" s="14" t="s">
        <v>1192</v>
      </c>
      <c r="E601" s="9" t="s">
        <v>11</v>
      </c>
    </row>
    <row r="602" spans="1:5" ht="15" customHeight="1" outlineLevel="2" x14ac:dyDescent="0.25">
      <c r="A602" s="3" t="str">
        <f>HYPERLINK("http://mystore1.ru/price_items/search?utf8=%E2%9C%93&amp;oem=2434RGNS4FD","2434RGNS4FD")</f>
        <v>2434RGNS4FD</v>
      </c>
      <c r="B602" s="1" t="s">
        <v>1193</v>
      </c>
      <c r="C602" s="9" t="s">
        <v>420</v>
      </c>
      <c r="D602" s="14" t="s">
        <v>1194</v>
      </c>
      <c r="E602" s="9" t="s">
        <v>11</v>
      </c>
    </row>
    <row r="603" spans="1:5" ht="15" customHeight="1" outlineLevel="2" x14ac:dyDescent="0.25">
      <c r="A603" s="3" t="str">
        <f>HYPERLINK("http://mystore1.ru/price_items/search?utf8=%E2%9C%93&amp;oem=2434RGNS4RD","2434RGNS4RD")</f>
        <v>2434RGNS4RD</v>
      </c>
      <c r="B603" s="1" t="s">
        <v>1195</v>
      </c>
      <c r="C603" s="9" t="s">
        <v>420</v>
      </c>
      <c r="D603" s="14" t="s">
        <v>1196</v>
      </c>
      <c r="E603" s="9" t="s">
        <v>11</v>
      </c>
    </row>
    <row r="604" spans="1:5" ht="15" customHeight="1" outlineLevel="2" x14ac:dyDescent="0.25">
      <c r="A604" s="3" t="str">
        <f>HYPERLINK("http://mystore1.ru/price_items/search?utf8=%E2%9C%93&amp;oem=2434RGNS4RV","2434RGNS4RV")</f>
        <v>2434RGNS4RV</v>
      </c>
      <c r="B604" s="1" t="s">
        <v>1197</v>
      </c>
      <c r="C604" s="9" t="s">
        <v>420</v>
      </c>
      <c r="D604" s="14" t="s">
        <v>1198</v>
      </c>
      <c r="E604" s="9" t="s">
        <v>11</v>
      </c>
    </row>
    <row r="605" spans="1:5" outlineLevel="1" x14ac:dyDescent="0.25">
      <c r="A605" s="2"/>
      <c r="B605" s="6" t="s">
        <v>1199</v>
      </c>
      <c r="C605" s="12"/>
      <c r="D605" s="13"/>
      <c r="E605" s="12"/>
    </row>
    <row r="606" spans="1:5" ht="15" customHeight="1" outlineLevel="2" x14ac:dyDescent="0.25">
      <c r="A606" s="3" t="str">
        <f>HYPERLINK("http://mystore1.ru/price_items/search?utf8=%E2%9C%93&amp;oem=2445ACCGNMV","2445ACCGNMV")</f>
        <v>2445ACCGNMV</v>
      </c>
      <c r="B606" s="1" t="s">
        <v>1200</v>
      </c>
      <c r="C606" s="9" t="s">
        <v>1201</v>
      </c>
      <c r="D606" s="14" t="s">
        <v>1202</v>
      </c>
      <c r="E606" s="9" t="s">
        <v>8</v>
      </c>
    </row>
    <row r="607" spans="1:5" ht="15" customHeight="1" outlineLevel="2" x14ac:dyDescent="0.25">
      <c r="A607" s="3" t="str">
        <f>HYPERLINK("http://mystore1.ru/price_items/search?utf8=%E2%9C%93&amp;oem=2445ACCGNMV6T","2445ACCGNMV6T")</f>
        <v>2445ACCGNMV6T</v>
      </c>
      <c r="B607" s="1" t="s">
        <v>1203</v>
      </c>
      <c r="C607" s="9" t="s">
        <v>1204</v>
      </c>
      <c r="D607" s="14" t="s">
        <v>1205</v>
      </c>
      <c r="E607" s="9" t="s">
        <v>8</v>
      </c>
    </row>
    <row r="608" spans="1:5" ht="15" customHeight="1" outlineLevel="2" x14ac:dyDescent="0.25">
      <c r="A608" s="3" t="str">
        <f>HYPERLINK("http://mystore1.ru/price_items/search?utf8=%E2%9C%93&amp;oem=2445ACCMUV","2445ACCMUV")</f>
        <v>2445ACCMUV</v>
      </c>
      <c r="B608" s="1" t="s">
        <v>1206</v>
      </c>
      <c r="C608" s="9" t="s">
        <v>1201</v>
      </c>
      <c r="D608" s="14" t="s">
        <v>1207</v>
      </c>
      <c r="E608" s="9" t="s">
        <v>8</v>
      </c>
    </row>
    <row r="609" spans="1:5" ht="15" customHeight="1" outlineLevel="2" x14ac:dyDescent="0.25">
      <c r="A609" s="3" t="str">
        <f>HYPERLINK("http://mystore1.ru/price_items/search?utf8=%E2%9C%93&amp;oem=2445AGSGNMV","2445AGSGNMV")</f>
        <v>2445AGSGNMV</v>
      </c>
      <c r="B609" s="1" t="s">
        <v>1208</v>
      </c>
      <c r="C609" s="9" t="s">
        <v>1201</v>
      </c>
      <c r="D609" s="14" t="s">
        <v>1209</v>
      </c>
      <c r="E609" s="9" t="s">
        <v>8</v>
      </c>
    </row>
    <row r="610" spans="1:5" ht="15" customHeight="1" outlineLevel="2" x14ac:dyDescent="0.25">
      <c r="A610" s="3" t="str">
        <f>HYPERLINK("http://mystore1.ru/price_items/search?utf8=%E2%9C%93&amp;oem=2445AGSGNMV6T","2445AGSGNMV6T")</f>
        <v>2445AGSGNMV6T</v>
      </c>
      <c r="B610" s="1" t="s">
        <v>1210</v>
      </c>
      <c r="C610" s="9" t="s">
        <v>1204</v>
      </c>
      <c r="D610" s="14" t="s">
        <v>1211</v>
      </c>
      <c r="E610" s="9" t="s">
        <v>8</v>
      </c>
    </row>
    <row r="611" spans="1:5" ht="15" customHeight="1" outlineLevel="2" x14ac:dyDescent="0.25">
      <c r="A611" s="3" t="str">
        <f>HYPERLINK("http://mystore1.ru/price_items/search?utf8=%E2%9C%93&amp;oem=2445AGSMUV","2445AGSMUV")</f>
        <v>2445AGSMUV</v>
      </c>
      <c r="B611" s="1" t="s">
        <v>1212</v>
      </c>
      <c r="C611" s="9" t="s">
        <v>1201</v>
      </c>
      <c r="D611" s="14" t="s">
        <v>1213</v>
      </c>
      <c r="E611" s="9" t="s">
        <v>8</v>
      </c>
    </row>
    <row r="612" spans="1:5" ht="15" customHeight="1" outlineLevel="2" x14ac:dyDescent="0.25">
      <c r="A612" s="3" t="str">
        <f>HYPERLINK("http://mystore1.ru/price_items/search?utf8=%E2%9C%93&amp;oem=2445AGSMV","2445AGSMV")</f>
        <v>2445AGSMV</v>
      </c>
      <c r="B612" s="1" t="s">
        <v>1214</v>
      </c>
      <c r="C612" s="9" t="s">
        <v>1201</v>
      </c>
      <c r="D612" s="14" t="s">
        <v>1215</v>
      </c>
      <c r="E612" s="9" t="s">
        <v>8</v>
      </c>
    </row>
    <row r="613" spans="1:5" ht="15" customHeight="1" outlineLevel="2" x14ac:dyDescent="0.25">
      <c r="A613" s="3" t="str">
        <f>HYPERLINK("http://mystore1.ru/price_items/search?utf8=%E2%9C%93&amp;oem=2445AGSMV6T","2445AGSMV6T")</f>
        <v>2445AGSMV6T</v>
      </c>
      <c r="B613" s="1" t="s">
        <v>1216</v>
      </c>
      <c r="C613" s="9" t="s">
        <v>1204</v>
      </c>
      <c r="D613" s="14" t="s">
        <v>1217</v>
      </c>
      <c r="E613" s="9" t="s">
        <v>8</v>
      </c>
    </row>
    <row r="614" spans="1:5" ht="15" customHeight="1" outlineLevel="2" x14ac:dyDescent="0.25">
      <c r="A614" s="3" t="str">
        <f>HYPERLINK("http://mystore1.ru/price_items/search?utf8=%E2%9C%93&amp;oem=2445ASCSS","2445ASCSS")</f>
        <v>2445ASCSS</v>
      </c>
      <c r="B614" s="1" t="s">
        <v>1218</v>
      </c>
      <c r="C614" s="9" t="s">
        <v>25</v>
      </c>
      <c r="D614" s="14" t="s">
        <v>1219</v>
      </c>
      <c r="E614" s="9" t="s">
        <v>27</v>
      </c>
    </row>
    <row r="615" spans="1:5" ht="15" customHeight="1" outlineLevel="2" x14ac:dyDescent="0.25">
      <c r="A615" s="3" t="str">
        <f>HYPERLINK("http://mystore1.ru/price_items/search?utf8=%E2%9C%93&amp;oem=2445ASMST","2445ASMST")</f>
        <v>2445ASMST</v>
      </c>
      <c r="B615" s="1" t="s">
        <v>1220</v>
      </c>
      <c r="C615" s="9" t="s">
        <v>25</v>
      </c>
      <c r="D615" s="14" t="s">
        <v>1221</v>
      </c>
      <c r="E615" s="9" t="s">
        <v>27</v>
      </c>
    </row>
    <row r="616" spans="1:5" ht="15" customHeight="1" outlineLevel="2" x14ac:dyDescent="0.25">
      <c r="A616" s="3" t="str">
        <f>HYPERLINK("http://mystore1.ru/price_items/search?utf8=%E2%9C%93&amp;oem=2445BGSSABG","2445BGSSABG")</f>
        <v>2445BGSSABG</v>
      </c>
      <c r="B616" s="1" t="s">
        <v>1222</v>
      </c>
      <c r="C616" s="9" t="s">
        <v>1201</v>
      </c>
      <c r="D616" s="14" t="s">
        <v>1223</v>
      </c>
      <c r="E616" s="9" t="s">
        <v>30</v>
      </c>
    </row>
    <row r="617" spans="1:5" ht="15" customHeight="1" outlineLevel="2" x14ac:dyDescent="0.25">
      <c r="A617" s="3" t="str">
        <f>HYPERLINK("http://mystore1.ru/price_items/search?utf8=%E2%9C%93&amp;oem=2445LCCE5RDKW","2445LCCE5RDKW")</f>
        <v>2445LCCE5RDKW</v>
      </c>
      <c r="B617" s="1" t="s">
        <v>1224</v>
      </c>
      <c r="C617" s="9" t="s">
        <v>1201</v>
      </c>
      <c r="D617" s="14" t="s">
        <v>1225</v>
      </c>
      <c r="E617" s="9" t="s">
        <v>11</v>
      </c>
    </row>
    <row r="618" spans="1:5" ht="15" customHeight="1" outlineLevel="2" x14ac:dyDescent="0.25">
      <c r="A618" s="3" t="str">
        <f>HYPERLINK("http://mystore1.ru/price_items/search?utf8=%E2%9C%93&amp;oem=2445LCCE5RVK","2445LCCE5RVK")</f>
        <v>2445LCCE5RVK</v>
      </c>
      <c r="B618" s="1" t="s">
        <v>1226</v>
      </c>
      <c r="C618" s="9" t="s">
        <v>1201</v>
      </c>
      <c r="D618" s="14" t="s">
        <v>1227</v>
      </c>
      <c r="E618" s="9" t="s">
        <v>11</v>
      </c>
    </row>
    <row r="619" spans="1:5" ht="15" customHeight="1" outlineLevel="2" x14ac:dyDescent="0.25">
      <c r="A619" s="3" t="str">
        <f>HYPERLINK("http://mystore1.ru/price_items/search?utf8=%E2%9C%93&amp;oem=2445LCCS4FDKW","2445LCCS4FDKW")</f>
        <v>2445LCCS4FDKW</v>
      </c>
      <c r="B619" s="1" t="s">
        <v>1228</v>
      </c>
      <c r="C619" s="9" t="s">
        <v>1201</v>
      </c>
      <c r="D619" s="14" t="s">
        <v>1229</v>
      </c>
      <c r="E619" s="9" t="s">
        <v>11</v>
      </c>
    </row>
    <row r="620" spans="1:5" ht="15" customHeight="1" outlineLevel="2" x14ac:dyDescent="0.25">
      <c r="A620" s="3" t="str">
        <f>HYPERLINK("http://mystore1.ru/price_items/search?utf8=%E2%9C%93&amp;oem=2445LCCS4RDKW","2445LCCS4RDKW")</f>
        <v>2445LCCS4RDKW</v>
      </c>
      <c r="B620" s="1" t="s">
        <v>1230</v>
      </c>
      <c r="C620" s="9" t="s">
        <v>1201</v>
      </c>
      <c r="D620" s="14" t="s">
        <v>1225</v>
      </c>
      <c r="E620" s="9" t="s">
        <v>11</v>
      </c>
    </row>
    <row r="621" spans="1:5" ht="15" customHeight="1" outlineLevel="2" x14ac:dyDescent="0.25">
      <c r="A621" s="3" t="str">
        <f>HYPERLINK("http://mystore1.ru/price_items/search?utf8=%E2%9C%93&amp;oem=2445LGSE5RD","2445LGSE5RD")</f>
        <v>2445LGSE5RD</v>
      </c>
      <c r="B621" s="1" t="s">
        <v>1231</v>
      </c>
      <c r="C621" s="9" t="s">
        <v>1201</v>
      </c>
      <c r="D621" s="14" t="s">
        <v>1232</v>
      </c>
      <c r="E621" s="9" t="s">
        <v>11</v>
      </c>
    </row>
    <row r="622" spans="1:5" ht="15" customHeight="1" outlineLevel="2" x14ac:dyDescent="0.25">
      <c r="A622" s="3" t="str">
        <f>HYPERLINK("http://mystore1.ru/price_items/search?utf8=%E2%9C%93&amp;oem=2445LGSE5RV","2445LGSE5RV")</f>
        <v>2445LGSE5RV</v>
      </c>
      <c r="B622" s="1" t="s">
        <v>1233</v>
      </c>
      <c r="C622" s="9" t="s">
        <v>1201</v>
      </c>
      <c r="D622" s="14" t="s">
        <v>1234</v>
      </c>
      <c r="E622" s="9" t="s">
        <v>11</v>
      </c>
    </row>
    <row r="623" spans="1:5" ht="15" customHeight="1" outlineLevel="2" x14ac:dyDescent="0.25">
      <c r="A623" s="3" t="str">
        <f>HYPERLINK("http://mystore1.ru/price_items/search?utf8=%E2%9C%93&amp;oem=2445LGSS4FD","2445LGSS4FD")</f>
        <v>2445LGSS4FD</v>
      </c>
      <c r="B623" s="1" t="s">
        <v>1235</v>
      </c>
      <c r="C623" s="9" t="s">
        <v>1201</v>
      </c>
      <c r="D623" s="14" t="s">
        <v>1236</v>
      </c>
      <c r="E623" s="9" t="s">
        <v>11</v>
      </c>
    </row>
    <row r="624" spans="1:5" ht="15" customHeight="1" outlineLevel="2" x14ac:dyDescent="0.25">
      <c r="A624" s="3" t="str">
        <f>HYPERLINK("http://mystore1.ru/price_items/search?utf8=%E2%9C%93&amp;oem=2445LGSS4RD","2445LGSS4RD")</f>
        <v>2445LGSS4RD</v>
      </c>
      <c r="B624" s="1" t="s">
        <v>1237</v>
      </c>
      <c r="C624" s="9" t="s">
        <v>1201</v>
      </c>
      <c r="D624" s="14" t="s">
        <v>1238</v>
      </c>
      <c r="E624" s="9" t="s">
        <v>11</v>
      </c>
    </row>
    <row r="625" spans="1:5" ht="15" customHeight="1" outlineLevel="2" x14ac:dyDescent="0.25">
      <c r="A625" s="3" t="str">
        <f>HYPERLINK("http://mystore1.ru/price_items/search?utf8=%E2%9C%93&amp;oem=2445LGSS4RV","2445LGSS4RV")</f>
        <v>2445LGSS4RV</v>
      </c>
      <c r="B625" s="1" t="s">
        <v>1239</v>
      </c>
      <c r="C625" s="9" t="s">
        <v>1201</v>
      </c>
      <c r="D625" s="14" t="s">
        <v>1240</v>
      </c>
      <c r="E625" s="9" t="s">
        <v>11</v>
      </c>
    </row>
    <row r="626" spans="1:5" ht="15" customHeight="1" outlineLevel="2" x14ac:dyDescent="0.25">
      <c r="A626" s="3" t="str">
        <f>HYPERLINK("http://mystore1.ru/price_items/search?utf8=%E2%9C%93&amp;oem=2445LGSS4RVK","2445LGSS4RVK")</f>
        <v>2445LGSS4RVK</v>
      </c>
      <c r="B626" s="1" t="s">
        <v>1241</v>
      </c>
      <c r="C626" s="9" t="s">
        <v>1201</v>
      </c>
      <c r="D626" s="14" t="s">
        <v>1242</v>
      </c>
      <c r="E626" s="9" t="s">
        <v>11</v>
      </c>
    </row>
    <row r="627" spans="1:5" ht="15" customHeight="1" outlineLevel="2" x14ac:dyDescent="0.25">
      <c r="A627" s="3" t="str">
        <f>HYPERLINK("http://mystore1.ru/price_items/search?utf8=%E2%9C%93&amp;oem=2445LYPS4RD","2445LYPS4RD")</f>
        <v>2445LYPS4RD</v>
      </c>
      <c r="B627" s="1" t="s">
        <v>1243</v>
      </c>
      <c r="C627" s="9" t="s">
        <v>1201</v>
      </c>
      <c r="D627" s="14" t="s">
        <v>1244</v>
      </c>
      <c r="E627" s="9" t="s">
        <v>11</v>
      </c>
    </row>
    <row r="628" spans="1:5" ht="15" customHeight="1" outlineLevel="2" x14ac:dyDescent="0.25">
      <c r="A628" s="3" t="str">
        <f>HYPERLINK("http://mystore1.ru/price_items/search?utf8=%E2%9C%93&amp;oem=2445LYPS4RV","2445LYPS4RV")</f>
        <v>2445LYPS4RV</v>
      </c>
      <c r="B628" s="1" t="s">
        <v>1245</v>
      </c>
      <c r="C628" s="9" t="s">
        <v>1201</v>
      </c>
      <c r="D628" s="14" t="s">
        <v>1246</v>
      </c>
      <c r="E628" s="9" t="s">
        <v>11</v>
      </c>
    </row>
    <row r="629" spans="1:5" ht="15" customHeight="1" outlineLevel="2" x14ac:dyDescent="0.25">
      <c r="A629" s="3" t="str">
        <f>HYPERLINK("http://mystore1.ru/price_items/search?utf8=%E2%9C%93&amp;oem=2445RCCE5RDKW","2445RCCE5RDKW")</f>
        <v>2445RCCE5RDKW</v>
      </c>
      <c r="B629" s="1" t="s">
        <v>1247</v>
      </c>
      <c r="C629" s="9" t="s">
        <v>1201</v>
      </c>
      <c r="D629" s="14" t="s">
        <v>1248</v>
      </c>
      <c r="E629" s="9" t="s">
        <v>11</v>
      </c>
    </row>
    <row r="630" spans="1:5" ht="15" customHeight="1" outlineLevel="2" x14ac:dyDescent="0.25">
      <c r="A630" s="3" t="str">
        <f>HYPERLINK("http://mystore1.ru/price_items/search?utf8=%E2%9C%93&amp;oem=2445RCCE5RVK","2445RCCE5RVK")</f>
        <v>2445RCCE5RVK</v>
      </c>
      <c r="B630" s="1" t="s">
        <v>1249</v>
      </c>
      <c r="C630" s="9" t="s">
        <v>1201</v>
      </c>
      <c r="D630" s="14" t="s">
        <v>1250</v>
      </c>
      <c r="E630" s="9" t="s">
        <v>11</v>
      </c>
    </row>
    <row r="631" spans="1:5" ht="15" customHeight="1" outlineLevel="2" x14ac:dyDescent="0.25">
      <c r="A631" s="3" t="str">
        <f>HYPERLINK("http://mystore1.ru/price_items/search?utf8=%E2%9C%93&amp;oem=2445RCCS4FDKW","2445RCCS4FDKW")</f>
        <v>2445RCCS4FDKW</v>
      </c>
      <c r="B631" s="1" t="s">
        <v>1251</v>
      </c>
      <c r="C631" s="9" t="s">
        <v>1201</v>
      </c>
      <c r="D631" s="14" t="s">
        <v>1252</v>
      </c>
      <c r="E631" s="9" t="s">
        <v>11</v>
      </c>
    </row>
    <row r="632" spans="1:5" ht="15" customHeight="1" outlineLevel="2" x14ac:dyDescent="0.25">
      <c r="A632" s="3" t="str">
        <f>HYPERLINK("http://mystore1.ru/price_items/search?utf8=%E2%9C%93&amp;oem=2445RCCS4RDKW","2445RCCS4RDKW")</f>
        <v>2445RCCS4RDKW</v>
      </c>
      <c r="B632" s="1" t="s">
        <v>1253</v>
      </c>
      <c r="C632" s="9" t="s">
        <v>1201</v>
      </c>
      <c r="D632" s="14" t="s">
        <v>1248</v>
      </c>
      <c r="E632" s="9" t="s">
        <v>11</v>
      </c>
    </row>
    <row r="633" spans="1:5" ht="15" customHeight="1" outlineLevel="2" x14ac:dyDescent="0.25">
      <c r="A633" s="3" t="str">
        <f>HYPERLINK("http://mystore1.ru/price_items/search?utf8=%E2%9C%93&amp;oem=2445RGSE5RD","2445RGSE5RD")</f>
        <v>2445RGSE5RD</v>
      </c>
      <c r="B633" s="1" t="s">
        <v>1254</v>
      </c>
      <c r="C633" s="9" t="s">
        <v>1201</v>
      </c>
      <c r="D633" s="14" t="s">
        <v>1255</v>
      </c>
      <c r="E633" s="9" t="s">
        <v>11</v>
      </c>
    </row>
    <row r="634" spans="1:5" ht="15" customHeight="1" outlineLevel="2" x14ac:dyDescent="0.25">
      <c r="A634" s="3" t="str">
        <f>HYPERLINK("http://mystore1.ru/price_items/search?utf8=%E2%9C%93&amp;oem=2445RGSE5RV","2445RGSE5RV")</f>
        <v>2445RGSE5RV</v>
      </c>
      <c r="B634" s="1" t="s">
        <v>1256</v>
      </c>
      <c r="C634" s="9" t="s">
        <v>1201</v>
      </c>
      <c r="D634" s="14" t="s">
        <v>1257</v>
      </c>
      <c r="E634" s="9" t="s">
        <v>11</v>
      </c>
    </row>
    <row r="635" spans="1:5" ht="15" customHeight="1" outlineLevel="2" x14ac:dyDescent="0.25">
      <c r="A635" s="3" t="str">
        <f>HYPERLINK("http://mystore1.ru/price_items/search?utf8=%E2%9C%93&amp;oem=2445RGSS4FD","2445RGSS4FD")</f>
        <v>2445RGSS4FD</v>
      </c>
      <c r="B635" s="1" t="s">
        <v>1258</v>
      </c>
      <c r="C635" s="9" t="s">
        <v>1201</v>
      </c>
      <c r="D635" s="14" t="s">
        <v>1259</v>
      </c>
      <c r="E635" s="9" t="s">
        <v>11</v>
      </c>
    </row>
    <row r="636" spans="1:5" ht="15" customHeight="1" outlineLevel="2" x14ac:dyDescent="0.25">
      <c r="A636" s="3" t="str">
        <f>HYPERLINK("http://mystore1.ru/price_items/search?utf8=%E2%9C%93&amp;oem=2445RGSS4RD","2445RGSS4RD")</f>
        <v>2445RGSS4RD</v>
      </c>
      <c r="B636" s="1" t="s">
        <v>1260</v>
      </c>
      <c r="C636" s="9" t="s">
        <v>1201</v>
      </c>
      <c r="D636" s="14" t="s">
        <v>1261</v>
      </c>
      <c r="E636" s="9" t="s">
        <v>11</v>
      </c>
    </row>
    <row r="637" spans="1:5" ht="15" customHeight="1" outlineLevel="2" x14ac:dyDescent="0.25">
      <c r="A637" s="3" t="str">
        <f>HYPERLINK("http://mystore1.ru/price_items/search?utf8=%E2%9C%93&amp;oem=2445RGSS4RV","2445RGSS4RV")</f>
        <v>2445RGSS4RV</v>
      </c>
      <c r="B637" s="1" t="s">
        <v>1262</v>
      </c>
      <c r="C637" s="9" t="s">
        <v>1201</v>
      </c>
      <c r="D637" s="14" t="s">
        <v>1263</v>
      </c>
      <c r="E637" s="9" t="s">
        <v>11</v>
      </c>
    </row>
    <row r="638" spans="1:5" ht="15" customHeight="1" outlineLevel="2" x14ac:dyDescent="0.25">
      <c r="A638" s="3" t="str">
        <f>HYPERLINK("http://mystore1.ru/price_items/search?utf8=%E2%9C%93&amp;oem=2445RGSS4RVK","2445RGSS4RVK")</f>
        <v>2445RGSS4RVK</v>
      </c>
      <c r="B638" s="1" t="s">
        <v>1264</v>
      </c>
      <c r="C638" s="9" t="s">
        <v>1201</v>
      </c>
      <c r="D638" s="14" t="s">
        <v>1265</v>
      </c>
      <c r="E638" s="9" t="s">
        <v>11</v>
      </c>
    </row>
    <row r="639" spans="1:5" ht="15" customHeight="1" outlineLevel="2" x14ac:dyDescent="0.25">
      <c r="A639" s="3" t="str">
        <f>HYPERLINK("http://mystore1.ru/price_items/search?utf8=%E2%9C%93&amp;oem=2445RYPS4RD","2445RYPS4RD")</f>
        <v>2445RYPS4RD</v>
      </c>
      <c r="B639" s="1" t="s">
        <v>1266</v>
      </c>
      <c r="C639" s="9" t="s">
        <v>1201</v>
      </c>
      <c r="D639" s="14" t="s">
        <v>1267</v>
      </c>
      <c r="E639" s="9" t="s">
        <v>11</v>
      </c>
    </row>
    <row r="640" spans="1:5" ht="15" customHeight="1" outlineLevel="2" x14ac:dyDescent="0.25">
      <c r="A640" s="3" t="str">
        <f>HYPERLINK("http://mystore1.ru/price_items/search?utf8=%E2%9C%93&amp;oem=2445RYPS4RV","2445RYPS4RV")</f>
        <v>2445RYPS4RV</v>
      </c>
      <c r="B640" s="1" t="s">
        <v>1268</v>
      </c>
      <c r="C640" s="9" t="s">
        <v>1201</v>
      </c>
      <c r="D640" s="14" t="s">
        <v>1269</v>
      </c>
      <c r="E640" s="9" t="s">
        <v>11</v>
      </c>
    </row>
    <row r="641" spans="1:5" outlineLevel="1" x14ac:dyDescent="0.25">
      <c r="A641" s="2"/>
      <c r="B641" s="6" t="s">
        <v>1270</v>
      </c>
      <c r="C641" s="12"/>
      <c r="D641" s="13"/>
      <c r="E641" s="12"/>
    </row>
    <row r="642" spans="1:5" ht="15" customHeight="1" outlineLevel="2" x14ac:dyDescent="0.25">
      <c r="A642" s="3" t="str">
        <f>HYPERLINK("http://mystore1.ru/price_items/search?utf8=%E2%9C%93&amp;oem=2461AGNMV","2461AGNMV")</f>
        <v>2461AGNMV</v>
      </c>
      <c r="B642" s="1" t="s">
        <v>1271</v>
      </c>
      <c r="C642" s="9" t="s">
        <v>369</v>
      </c>
      <c r="D642" s="14" t="s">
        <v>1272</v>
      </c>
      <c r="E642" s="9" t="s">
        <v>8</v>
      </c>
    </row>
    <row r="643" spans="1:5" outlineLevel="1" x14ac:dyDescent="0.25">
      <c r="A643" s="2"/>
      <c r="B643" s="6" t="s">
        <v>1273</v>
      </c>
      <c r="C643" s="12"/>
      <c r="D643" s="13"/>
      <c r="E643" s="12"/>
    </row>
    <row r="644" spans="1:5" ht="15" customHeight="1" outlineLevel="2" x14ac:dyDescent="0.25">
      <c r="A644" s="3" t="str">
        <f>HYPERLINK("http://mystore1.ru/price_items/search?utf8=%E2%9C%93&amp;oem=2459AGSGYCMV1B","2459AGSGYCMV1B")</f>
        <v>2459AGSGYCMV1B</v>
      </c>
      <c r="B644" s="1" t="s">
        <v>1274</v>
      </c>
      <c r="C644" s="9" t="s">
        <v>1275</v>
      </c>
      <c r="D644" s="14" t="s">
        <v>1276</v>
      </c>
      <c r="E644" s="9" t="s">
        <v>8</v>
      </c>
    </row>
    <row r="645" spans="1:5" ht="15" customHeight="1" outlineLevel="2" x14ac:dyDescent="0.25">
      <c r="A645" s="3" t="str">
        <f>HYPERLINK("http://mystore1.ru/price_items/search?utf8=%E2%9C%93&amp;oem=2459ACCGYMV","2459ACCGYMV")</f>
        <v>2459ACCGYMV</v>
      </c>
      <c r="B645" s="1" t="s">
        <v>1277</v>
      </c>
      <c r="C645" s="9" t="s">
        <v>1275</v>
      </c>
      <c r="D645" s="14" t="s">
        <v>1278</v>
      </c>
      <c r="E645" s="9" t="s">
        <v>8</v>
      </c>
    </row>
    <row r="646" spans="1:5" ht="15" customHeight="1" outlineLevel="2" x14ac:dyDescent="0.25">
      <c r="A646" s="3" t="str">
        <f>HYPERLINK("http://mystore1.ru/price_items/search?utf8=%E2%9C%93&amp;oem=2459AGSGYMV","2459AGSGYMV")</f>
        <v>2459AGSGYMV</v>
      </c>
      <c r="B646" s="1" t="s">
        <v>1279</v>
      </c>
      <c r="C646" s="9" t="s">
        <v>1275</v>
      </c>
      <c r="D646" s="14" t="s">
        <v>1278</v>
      </c>
      <c r="E646" s="9" t="s">
        <v>8</v>
      </c>
    </row>
    <row r="647" spans="1:5" ht="15" customHeight="1" outlineLevel="2" x14ac:dyDescent="0.25">
      <c r="A647" s="3" t="str">
        <f>HYPERLINK("http://mystore1.ru/price_items/search?utf8=%E2%9C%93&amp;oem=2459AGSMV","2459AGSMV")</f>
        <v>2459AGSMV</v>
      </c>
      <c r="B647" s="1" t="s">
        <v>1280</v>
      </c>
      <c r="C647" s="9" t="s">
        <v>1275</v>
      </c>
      <c r="D647" s="14" t="s">
        <v>1281</v>
      </c>
      <c r="E647" s="9" t="s">
        <v>8</v>
      </c>
    </row>
    <row r="648" spans="1:5" outlineLevel="1" x14ac:dyDescent="0.25">
      <c r="A648" s="2"/>
      <c r="B648" s="6" t="s">
        <v>1282</v>
      </c>
      <c r="C648" s="12"/>
      <c r="D648" s="13"/>
      <c r="E648" s="12"/>
    </row>
    <row r="649" spans="1:5" ht="15" customHeight="1" outlineLevel="2" x14ac:dyDescent="0.25">
      <c r="A649" s="3" t="str">
        <f>HYPERLINK("http://mystore1.ru/price_items/search?utf8=%E2%9C%93&amp;oem=2446ACCGNMOV1B","2446ACCGNMOV1B")</f>
        <v>2446ACCGNMOV1B</v>
      </c>
      <c r="B649" s="1" t="s">
        <v>1283</v>
      </c>
      <c r="C649" s="9" t="s">
        <v>747</v>
      </c>
      <c r="D649" s="14" t="s">
        <v>1284</v>
      </c>
      <c r="E649" s="9" t="s">
        <v>8</v>
      </c>
    </row>
    <row r="650" spans="1:5" ht="15" customHeight="1" outlineLevel="2" x14ac:dyDescent="0.25">
      <c r="A650" s="3" t="str">
        <f>HYPERLINK("http://mystore1.ru/price_items/search?utf8=%E2%9C%93&amp;oem=2446ACCMOUV1B","2446ACCMOUV1B")</f>
        <v>2446ACCMOUV1B</v>
      </c>
      <c r="B650" s="1" t="s">
        <v>1285</v>
      </c>
      <c r="C650" s="9" t="s">
        <v>747</v>
      </c>
      <c r="D650" s="14" t="s">
        <v>1286</v>
      </c>
      <c r="E650" s="9" t="s">
        <v>8</v>
      </c>
    </row>
    <row r="651" spans="1:5" ht="15" customHeight="1" outlineLevel="2" x14ac:dyDescent="0.25">
      <c r="A651" s="3" t="str">
        <f>HYPERLINK("http://mystore1.ru/price_items/search?utf8=%E2%9C%93&amp;oem=2446AGSGNMOV1B","2446AGSGNMOV1B")</f>
        <v>2446AGSGNMOV1B</v>
      </c>
      <c r="B651" s="1" t="s">
        <v>1287</v>
      </c>
      <c r="C651" s="9" t="s">
        <v>747</v>
      </c>
      <c r="D651" s="14" t="s">
        <v>1288</v>
      </c>
      <c r="E651" s="9" t="s">
        <v>8</v>
      </c>
    </row>
    <row r="652" spans="1:5" ht="15" customHeight="1" outlineLevel="2" x14ac:dyDescent="0.25">
      <c r="A652" s="3" t="str">
        <f>HYPERLINK("http://mystore1.ru/price_items/search?utf8=%E2%9C%93&amp;oem=2446AGSMOUV1B","2446AGSMOUV1B")</f>
        <v>2446AGSMOUV1B</v>
      </c>
      <c r="B652" s="1" t="s">
        <v>1289</v>
      </c>
      <c r="C652" s="9" t="s">
        <v>747</v>
      </c>
      <c r="D652" s="14" t="s">
        <v>1290</v>
      </c>
      <c r="E652" s="9" t="s">
        <v>8</v>
      </c>
    </row>
    <row r="653" spans="1:5" ht="15" customHeight="1" outlineLevel="2" x14ac:dyDescent="0.25">
      <c r="A653" s="3" t="str">
        <f>HYPERLINK("http://mystore1.ru/price_items/search?utf8=%E2%9C%93&amp;oem=2446AGSMOV1B","2446AGSMOV1B")</f>
        <v>2446AGSMOV1B</v>
      </c>
      <c r="B653" s="1" t="s">
        <v>1291</v>
      </c>
      <c r="C653" s="9" t="s">
        <v>747</v>
      </c>
      <c r="D653" s="14" t="s">
        <v>1292</v>
      </c>
      <c r="E653" s="9" t="s">
        <v>8</v>
      </c>
    </row>
    <row r="654" spans="1:5" ht="15" customHeight="1" outlineLevel="2" x14ac:dyDescent="0.25">
      <c r="A654" s="3" t="str">
        <f>HYPERLINK("http://mystore1.ru/price_items/search?utf8=%E2%9C%93&amp;oem=2446BGSCABZ","2446BGSCABZ")</f>
        <v>2446BGSCABZ</v>
      </c>
      <c r="B654" s="1" t="s">
        <v>1293</v>
      </c>
      <c r="C654" s="9" t="s">
        <v>747</v>
      </c>
      <c r="D654" s="14" t="s">
        <v>1294</v>
      </c>
      <c r="E654" s="9" t="s">
        <v>30</v>
      </c>
    </row>
    <row r="655" spans="1:5" ht="15" customHeight="1" outlineLevel="2" x14ac:dyDescent="0.25">
      <c r="A655" s="3" t="str">
        <f>HYPERLINK("http://mystore1.ru/price_items/search?utf8=%E2%9C%93&amp;oem=2446LGSC2FDW","2446LGSC2FDW")</f>
        <v>2446LGSC2FDW</v>
      </c>
      <c r="B655" s="1" t="s">
        <v>1295</v>
      </c>
      <c r="C655" s="9" t="s">
        <v>747</v>
      </c>
      <c r="D655" s="14" t="s">
        <v>1296</v>
      </c>
      <c r="E655" s="9" t="s">
        <v>11</v>
      </c>
    </row>
    <row r="656" spans="1:5" ht="15" customHeight="1" outlineLevel="2" x14ac:dyDescent="0.25">
      <c r="A656" s="3" t="str">
        <f>HYPERLINK("http://mystore1.ru/price_items/search?utf8=%E2%9C%93&amp;oem=2446RGSC2FDW","2446RGSC2FDW")</f>
        <v>2446RGSC2FDW</v>
      </c>
      <c r="B656" s="1" t="s">
        <v>1297</v>
      </c>
      <c r="C656" s="9" t="s">
        <v>747</v>
      </c>
      <c r="D656" s="14" t="s">
        <v>1298</v>
      </c>
      <c r="E656" s="9" t="s">
        <v>11</v>
      </c>
    </row>
    <row r="657" spans="1:5" outlineLevel="1" x14ac:dyDescent="0.25">
      <c r="A657" s="2"/>
      <c r="B657" s="6" t="s">
        <v>1299</v>
      </c>
      <c r="C657" s="12"/>
      <c r="D657" s="13"/>
      <c r="E657" s="12"/>
    </row>
    <row r="658" spans="1:5" ht="15" customHeight="1" outlineLevel="2" x14ac:dyDescent="0.25">
      <c r="A658" s="3" t="str">
        <f>HYPERLINK("http://mystore1.ru/price_items/search?utf8=%E2%9C%93&amp;oem=2463AGNMV","2463AGNMV")</f>
        <v>2463AGNMV</v>
      </c>
      <c r="B658" s="1" t="s">
        <v>1300</v>
      </c>
      <c r="C658" s="9" t="s">
        <v>601</v>
      </c>
      <c r="D658" s="14" t="s">
        <v>1301</v>
      </c>
      <c r="E658" s="9" t="s">
        <v>8</v>
      </c>
    </row>
    <row r="659" spans="1:5" outlineLevel="1" x14ac:dyDescent="0.25">
      <c r="A659" s="2"/>
      <c r="B659" s="6" t="s">
        <v>1302</v>
      </c>
      <c r="C659" s="12"/>
      <c r="D659" s="13"/>
      <c r="E659" s="12"/>
    </row>
    <row r="660" spans="1:5" ht="15" customHeight="1" outlineLevel="2" x14ac:dyDescent="0.25">
      <c r="A660" s="3" t="str">
        <f>HYPERLINK("http://mystore1.ru/price_items/search?utf8=%E2%9C%93&amp;oem=2427AGNBLH","2427AGNBLH")</f>
        <v>2427AGNBLH</v>
      </c>
      <c r="B660" s="1" t="s">
        <v>1303</v>
      </c>
      <c r="C660" s="9" t="s">
        <v>1304</v>
      </c>
      <c r="D660" s="14" t="s">
        <v>1305</v>
      </c>
      <c r="E660" s="9" t="s">
        <v>8</v>
      </c>
    </row>
    <row r="661" spans="1:5" ht="15" customHeight="1" outlineLevel="2" x14ac:dyDescent="0.25">
      <c r="A661" s="3" t="str">
        <f>HYPERLINK("http://mystore1.ru/price_items/search?utf8=%E2%9C%93&amp;oem=2427AGNGN","2427AGNGN")</f>
        <v>2427AGNGN</v>
      </c>
      <c r="B661" s="1" t="s">
        <v>1306</v>
      </c>
      <c r="C661" s="9" t="s">
        <v>1304</v>
      </c>
      <c r="D661" s="14" t="s">
        <v>1307</v>
      </c>
      <c r="E661" s="9" t="s">
        <v>8</v>
      </c>
    </row>
    <row r="662" spans="1:5" ht="15" customHeight="1" outlineLevel="2" x14ac:dyDescent="0.25">
      <c r="A662" s="3" t="str">
        <f>HYPERLINK("http://mystore1.ru/price_items/search?utf8=%E2%9C%93&amp;oem=2427AGNGNH","2427AGNGNH")</f>
        <v>2427AGNGNH</v>
      </c>
      <c r="B662" s="1" t="s">
        <v>1308</v>
      </c>
      <c r="C662" s="9" t="s">
        <v>1304</v>
      </c>
      <c r="D662" s="14" t="s">
        <v>1309</v>
      </c>
      <c r="E662" s="9" t="s">
        <v>8</v>
      </c>
    </row>
    <row r="663" spans="1:5" ht="15" customHeight="1" outlineLevel="2" x14ac:dyDescent="0.25">
      <c r="A663" s="3" t="str">
        <f>HYPERLINK("http://mystore1.ru/price_items/search?utf8=%E2%9C%93&amp;oem=2427AGNH","2427AGNH")</f>
        <v>2427AGNH</v>
      </c>
      <c r="B663" s="1" t="s">
        <v>1310</v>
      </c>
      <c r="C663" s="9" t="s">
        <v>1304</v>
      </c>
      <c r="D663" s="14" t="s">
        <v>1311</v>
      </c>
      <c r="E663" s="9" t="s">
        <v>8</v>
      </c>
    </row>
    <row r="664" spans="1:5" ht="15" customHeight="1" outlineLevel="2" x14ac:dyDescent="0.25">
      <c r="A664" s="3" t="str">
        <f>HYPERLINK("http://mystore1.ru/price_items/search?utf8=%E2%9C%93&amp;oem=2427AKCS","2427AKCS")</f>
        <v>2427AKCS</v>
      </c>
      <c r="B664" s="1" t="s">
        <v>1312</v>
      </c>
      <c r="C664" s="9" t="s">
        <v>25</v>
      </c>
      <c r="D664" s="14" t="s">
        <v>1313</v>
      </c>
      <c r="E664" s="9" t="s">
        <v>27</v>
      </c>
    </row>
    <row r="665" spans="1:5" ht="15" customHeight="1" outlineLevel="2" x14ac:dyDescent="0.25">
      <c r="A665" s="3" t="str">
        <f>HYPERLINK("http://mystore1.ru/price_items/search?utf8=%E2%9C%93&amp;oem=2427ASMS","2427ASMS")</f>
        <v>2427ASMS</v>
      </c>
      <c r="B665" s="1" t="s">
        <v>1314</v>
      </c>
      <c r="C665" s="9" t="s">
        <v>25</v>
      </c>
      <c r="D665" s="14" t="s">
        <v>1315</v>
      </c>
      <c r="E665" s="9" t="s">
        <v>27</v>
      </c>
    </row>
    <row r="666" spans="1:5" ht="15" customHeight="1" outlineLevel="2" x14ac:dyDescent="0.25">
      <c r="A666" s="3" t="str">
        <f>HYPERLINK("http://mystore1.ru/price_items/search?utf8=%E2%9C%93&amp;oem=2427BGNSA","2427BGNSA")</f>
        <v>2427BGNSA</v>
      </c>
      <c r="B666" s="1" t="s">
        <v>1316</v>
      </c>
      <c r="C666" s="9" t="s">
        <v>1304</v>
      </c>
      <c r="D666" s="14" t="s">
        <v>1317</v>
      </c>
      <c r="E666" s="9" t="s">
        <v>30</v>
      </c>
    </row>
    <row r="667" spans="1:5" ht="15" customHeight="1" outlineLevel="2" x14ac:dyDescent="0.25">
      <c r="A667" s="3" t="str">
        <f>HYPERLINK("http://mystore1.ru/price_items/search?utf8=%E2%9C%93&amp;oem=2427LGNS4FD","2427LGNS4FD")</f>
        <v>2427LGNS4FD</v>
      </c>
      <c r="B667" s="1" t="s">
        <v>1318</v>
      </c>
      <c r="C667" s="9" t="s">
        <v>1304</v>
      </c>
      <c r="D667" s="14" t="s">
        <v>1319</v>
      </c>
      <c r="E667" s="9" t="s">
        <v>11</v>
      </c>
    </row>
    <row r="668" spans="1:5" ht="15" customHeight="1" outlineLevel="2" x14ac:dyDescent="0.25">
      <c r="A668" s="3" t="str">
        <f>HYPERLINK("http://mystore1.ru/price_items/search?utf8=%E2%9C%93&amp;oem=2427LGNS4RD","2427LGNS4RD")</f>
        <v>2427LGNS4RD</v>
      </c>
      <c r="B668" s="1" t="s">
        <v>1320</v>
      </c>
      <c r="C668" s="9" t="s">
        <v>1304</v>
      </c>
      <c r="D668" s="14" t="s">
        <v>1321</v>
      </c>
      <c r="E668" s="9" t="s">
        <v>11</v>
      </c>
    </row>
    <row r="669" spans="1:5" ht="15" customHeight="1" outlineLevel="2" x14ac:dyDescent="0.25">
      <c r="A669" s="3" t="str">
        <f>HYPERLINK("http://mystore1.ru/price_items/search?utf8=%E2%9C%93&amp;oem=2427RGNS4FD","2427RGNS4FD")</f>
        <v>2427RGNS4FD</v>
      </c>
      <c r="B669" s="1" t="s">
        <v>1322</v>
      </c>
      <c r="C669" s="9" t="s">
        <v>1304</v>
      </c>
      <c r="D669" s="14" t="s">
        <v>1323</v>
      </c>
      <c r="E669" s="9" t="s">
        <v>11</v>
      </c>
    </row>
    <row r="670" spans="1:5" ht="15" customHeight="1" outlineLevel="2" x14ac:dyDescent="0.25">
      <c r="A670" s="3" t="str">
        <f>HYPERLINK("http://mystore1.ru/price_items/search?utf8=%E2%9C%93&amp;oem=2427RGNS4RD","2427RGNS4RD")</f>
        <v>2427RGNS4RD</v>
      </c>
      <c r="B670" s="1" t="s">
        <v>1324</v>
      </c>
      <c r="C670" s="9" t="s">
        <v>1304</v>
      </c>
      <c r="D670" s="14" t="s">
        <v>1325</v>
      </c>
      <c r="E670" s="9" t="s">
        <v>11</v>
      </c>
    </row>
    <row r="671" spans="1:5" outlineLevel="1" x14ac:dyDescent="0.25">
      <c r="A671" s="2"/>
      <c r="B671" s="6" t="s">
        <v>1326</v>
      </c>
      <c r="C671" s="12"/>
      <c r="D671" s="13"/>
      <c r="E671" s="12"/>
    </row>
    <row r="672" spans="1:5" ht="15" customHeight="1" outlineLevel="2" x14ac:dyDescent="0.25">
      <c r="A672" s="3" t="str">
        <f>HYPERLINK("http://mystore1.ru/price_items/search?utf8=%E2%9C%93&amp;oem=2433AGNGNHMV","2433AGNGNHMV")</f>
        <v>2433AGNGNHMV</v>
      </c>
      <c r="B672" s="1" t="s">
        <v>1327</v>
      </c>
      <c r="C672" s="9" t="s">
        <v>47</v>
      </c>
      <c r="D672" s="14" t="s">
        <v>1328</v>
      </c>
      <c r="E672" s="9" t="s">
        <v>8</v>
      </c>
    </row>
    <row r="673" spans="1:5" ht="15" customHeight="1" outlineLevel="2" x14ac:dyDescent="0.25">
      <c r="A673" s="3" t="str">
        <f>HYPERLINK("http://mystore1.ru/price_items/search?utf8=%E2%9C%93&amp;oem=2433AGNGNHMV1T","2433AGNGNHMV1T")</f>
        <v>2433AGNGNHMV1T</v>
      </c>
      <c r="B673" s="1" t="s">
        <v>1329</v>
      </c>
      <c r="C673" s="9" t="s">
        <v>47</v>
      </c>
      <c r="D673" s="14" t="s">
        <v>1330</v>
      </c>
      <c r="E673" s="9" t="s">
        <v>8</v>
      </c>
    </row>
    <row r="674" spans="1:5" ht="15" customHeight="1" outlineLevel="2" x14ac:dyDescent="0.25">
      <c r="A674" s="3" t="str">
        <f>HYPERLINK("http://mystore1.ru/price_items/search?utf8=%E2%9C%93&amp;oem=2433AGNGNHPV","2433AGNGNHPV")</f>
        <v>2433AGNGNHPV</v>
      </c>
      <c r="B674" s="1" t="s">
        <v>1331</v>
      </c>
      <c r="C674" s="9" t="s">
        <v>47</v>
      </c>
      <c r="D674" s="14" t="s">
        <v>1332</v>
      </c>
      <c r="E674" s="9" t="s">
        <v>8</v>
      </c>
    </row>
    <row r="675" spans="1:5" ht="15" customHeight="1" outlineLevel="2" x14ac:dyDescent="0.25">
      <c r="A675" s="3" t="str">
        <f>HYPERLINK("http://mystore1.ru/price_items/search?utf8=%E2%9C%93&amp;oem=2433AGNGNHPV1T","2433AGNGNHPV1T")</f>
        <v>2433AGNGNHPV1T</v>
      </c>
      <c r="B675" s="1" t="s">
        <v>1333</v>
      </c>
      <c r="C675" s="9" t="s">
        <v>47</v>
      </c>
      <c r="D675" s="14" t="s">
        <v>1334</v>
      </c>
      <c r="E675" s="9" t="s">
        <v>8</v>
      </c>
    </row>
    <row r="676" spans="1:5" ht="15" customHeight="1" outlineLevel="2" x14ac:dyDescent="0.25">
      <c r="A676" s="3" t="str">
        <f>HYPERLINK("http://mystore1.ru/price_items/search?utf8=%E2%9C%93&amp;oem=2433AGNGNHV","2433AGNGNHV")</f>
        <v>2433AGNGNHV</v>
      </c>
      <c r="B676" s="1" t="s">
        <v>1335</v>
      </c>
      <c r="C676" s="9" t="s">
        <v>47</v>
      </c>
      <c r="D676" s="14" t="s">
        <v>1336</v>
      </c>
      <c r="E676" s="9" t="s">
        <v>8</v>
      </c>
    </row>
    <row r="677" spans="1:5" ht="15" customHeight="1" outlineLevel="2" x14ac:dyDescent="0.25">
      <c r="A677" s="3" t="str">
        <f>HYPERLINK("http://mystore1.ru/price_items/search?utf8=%E2%9C%93&amp;oem=2433AGNHMV1T","2433AGNHMV1T")</f>
        <v>2433AGNHMV1T</v>
      </c>
      <c r="B677" s="1" t="s">
        <v>1337</v>
      </c>
      <c r="C677" s="9" t="s">
        <v>47</v>
      </c>
      <c r="D677" s="14" t="s">
        <v>1338</v>
      </c>
      <c r="E677" s="9" t="s">
        <v>8</v>
      </c>
    </row>
    <row r="678" spans="1:5" ht="15" customHeight="1" outlineLevel="2" x14ac:dyDescent="0.25">
      <c r="A678" s="3" t="str">
        <f>HYPERLINK("http://mystore1.ru/price_items/search?utf8=%E2%9C%93&amp;oem=2433AGNHV","2433AGNHV")</f>
        <v>2433AGNHV</v>
      </c>
      <c r="B678" s="1" t="s">
        <v>1339</v>
      </c>
      <c r="C678" s="9" t="s">
        <v>47</v>
      </c>
      <c r="D678" s="14" t="s">
        <v>1340</v>
      </c>
      <c r="E678" s="9" t="s">
        <v>8</v>
      </c>
    </row>
    <row r="679" spans="1:5" ht="15" customHeight="1" outlineLevel="2" x14ac:dyDescent="0.25">
      <c r="A679" s="3" t="str">
        <f>HYPERLINK("http://mystore1.ru/price_items/search?utf8=%E2%9C%93&amp;oem=2433AKSS","2433AKSS")</f>
        <v>2433AKSS</v>
      </c>
      <c r="B679" s="1" t="s">
        <v>1341</v>
      </c>
      <c r="C679" s="9" t="s">
        <v>25</v>
      </c>
      <c r="D679" s="14" t="s">
        <v>1342</v>
      </c>
      <c r="E679" s="9" t="s">
        <v>27</v>
      </c>
    </row>
    <row r="680" spans="1:5" ht="15" customHeight="1" outlineLevel="2" x14ac:dyDescent="0.25">
      <c r="A680" s="3" t="str">
        <f>HYPERLINK("http://mystore1.ru/price_items/search?utf8=%E2%9C%93&amp;oem=2433ASMST","2433ASMST")</f>
        <v>2433ASMST</v>
      </c>
      <c r="B680" s="1" t="s">
        <v>1343</v>
      </c>
      <c r="C680" s="9" t="s">
        <v>25</v>
      </c>
      <c r="D680" s="14" t="s">
        <v>1344</v>
      </c>
      <c r="E680" s="9" t="s">
        <v>27</v>
      </c>
    </row>
    <row r="681" spans="1:5" ht="15" customHeight="1" outlineLevel="2" x14ac:dyDescent="0.25">
      <c r="A681" s="3" t="str">
        <f>HYPERLINK("http://mystore1.ru/price_items/search?utf8=%E2%9C%93&amp;oem=2433BGNSAB","2433BGNSAB")</f>
        <v>2433BGNSAB</v>
      </c>
      <c r="B681" s="1" t="s">
        <v>1345</v>
      </c>
      <c r="C681" s="9" t="s">
        <v>47</v>
      </c>
      <c r="D681" s="14" t="s">
        <v>1346</v>
      </c>
      <c r="E681" s="9" t="s">
        <v>30</v>
      </c>
    </row>
    <row r="682" spans="1:5" ht="15" customHeight="1" outlineLevel="2" x14ac:dyDescent="0.25">
      <c r="A682" s="3" t="str">
        <f>HYPERLINK("http://mystore1.ru/price_items/search?utf8=%E2%9C%93&amp;oem=2433LGNS4FD","2433LGNS4FD")</f>
        <v>2433LGNS4FD</v>
      </c>
      <c r="B682" s="1" t="s">
        <v>1347</v>
      </c>
      <c r="C682" s="9" t="s">
        <v>47</v>
      </c>
      <c r="D682" s="14" t="s">
        <v>1348</v>
      </c>
      <c r="E682" s="9" t="s">
        <v>11</v>
      </c>
    </row>
    <row r="683" spans="1:5" ht="15" customHeight="1" outlineLevel="2" x14ac:dyDescent="0.25">
      <c r="A683" s="3" t="str">
        <f>HYPERLINK("http://mystore1.ru/price_items/search?utf8=%E2%9C%93&amp;oem=2433LGNS4RD","2433LGNS4RD")</f>
        <v>2433LGNS4RD</v>
      </c>
      <c r="B683" s="1" t="s">
        <v>1349</v>
      </c>
      <c r="C683" s="9" t="s">
        <v>47</v>
      </c>
      <c r="D683" s="14" t="s">
        <v>1350</v>
      </c>
      <c r="E683" s="9" t="s">
        <v>11</v>
      </c>
    </row>
    <row r="684" spans="1:5" ht="15" customHeight="1" outlineLevel="2" x14ac:dyDescent="0.25">
      <c r="A684" s="3" t="str">
        <f>HYPERLINK("http://mystore1.ru/price_items/search?utf8=%E2%9C%93&amp;oem=2433RGNS4FD","2433RGNS4FD")</f>
        <v>2433RGNS4FD</v>
      </c>
      <c r="B684" s="1" t="s">
        <v>1351</v>
      </c>
      <c r="C684" s="9" t="s">
        <v>47</v>
      </c>
      <c r="D684" s="14" t="s">
        <v>1352</v>
      </c>
      <c r="E684" s="9" t="s">
        <v>11</v>
      </c>
    </row>
    <row r="685" spans="1:5" ht="15" customHeight="1" outlineLevel="2" x14ac:dyDescent="0.25">
      <c r="A685" s="3" t="str">
        <f>HYPERLINK("http://mystore1.ru/price_items/search?utf8=%E2%9C%93&amp;oem=2433RGNS4RD","2433RGNS4RD")</f>
        <v>2433RGNS4RD</v>
      </c>
      <c r="B685" s="1" t="s">
        <v>1353</v>
      </c>
      <c r="C685" s="9" t="s">
        <v>47</v>
      </c>
      <c r="D685" s="14" t="s">
        <v>1354</v>
      </c>
      <c r="E685" s="9" t="s">
        <v>11</v>
      </c>
    </row>
    <row r="686" spans="1:5" outlineLevel="1" x14ac:dyDescent="0.25">
      <c r="A686" s="2"/>
      <c r="B686" s="6" t="s">
        <v>1355</v>
      </c>
      <c r="C686" s="12"/>
      <c r="D686" s="13"/>
      <c r="E686" s="12"/>
    </row>
    <row r="687" spans="1:5" ht="15" customHeight="1" outlineLevel="2" x14ac:dyDescent="0.25">
      <c r="A687" s="3" t="str">
        <f>HYPERLINK("http://mystore1.ru/price_items/search?utf8=%E2%9C%93&amp;oem=2443AGSGNHMV1B","2443AGSGNHMV1B")</f>
        <v>2443AGSGNHMV1B</v>
      </c>
      <c r="B687" s="1" t="s">
        <v>1356</v>
      </c>
      <c r="C687" s="9" t="s">
        <v>1147</v>
      </c>
      <c r="D687" s="14" t="s">
        <v>1357</v>
      </c>
      <c r="E687" s="9" t="s">
        <v>8</v>
      </c>
    </row>
    <row r="688" spans="1:5" ht="15" customHeight="1" outlineLevel="2" x14ac:dyDescent="0.25">
      <c r="A688" s="3" t="str">
        <f>HYPERLINK("http://mystore1.ru/price_items/search?utf8=%E2%9C%93&amp;oem=2443AGSGNHMV2B","2443AGSGNHMV2B")</f>
        <v>2443AGSGNHMV2B</v>
      </c>
      <c r="B688" s="1" t="s">
        <v>1358</v>
      </c>
      <c r="C688" s="9" t="s">
        <v>1359</v>
      </c>
      <c r="D688" s="14" t="s">
        <v>1360</v>
      </c>
      <c r="E688" s="9" t="s">
        <v>8</v>
      </c>
    </row>
    <row r="689" spans="1:5" ht="15" customHeight="1" outlineLevel="2" x14ac:dyDescent="0.25">
      <c r="A689" s="3" t="str">
        <f>HYPERLINK("http://mystore1.ru/price_items/search?utf8=%E2%9C%93&amp;oem=2443AGSGNHMV6T","2443AGSGNHMV6T")</f>
        <v>2443AGSGNHMV6T</v>
      </c>
      <c r="B689" s="1" t="s">
        <v>1361</v>
      </c>
      <c r="C689" s="9" t="s">
        <v>1362</v>
      </c>
      <c r="D689" s="14" t="s">
        <v>1363</v>
      </c>
      <c r="E689" s="9" t="s">
        <v>8</v>
      </c>
    </row>
    <row r="690" spans="1:5" ht="15" customHeight="1" outlineLevel="2" x14ac:dyDescent="0.25">
      <c r="A690" s="3" t="str">
        <f>HYPERLINK("http://mystore1.ru/price_items/search?utf8=%E2%9C%93&amp;oem=2443AGSHMV1B","2443AGSHMV1B")</f>
        <v>2443AGSHMV1B</v>
      </c>
      <c r="B690" s="1" t="s">
        <v>1364</v>
      </c>
      <c r="C690" s="9" t="s">
        <v>1359</v>
      </c>
      <c r="D690" s="14" t="s">
        <v>1365</v>
      </c>
      <c r="E690" s="9" t="s">
        <v>8</v>
      </c>
    </row>
    <row r="691" spans="1:5" ht="15" customHeight="1" outlineLevel="2" x14ac:dyDescent="0.25">
      <c r="A691" s="3" t="str">
        <f>HYPERLINK("http://mystore1.ru/price_items/search?utf8=%E2%9C%93&amp;oem=2443ASMST","2443ASMST")</f>
        <v>2443ASMST</v>
      </c>
      <c r="B691" s="1" t="s">
        <v>1366</v>
      </c>
      <c r="C691" s="9" t="s">
        <v>25</v>
      </c>
      <c r="D691" s="14" t="s">
        <v>1367</v>
      </c>
      <c r="E691" s="9" t="s">
        <v>27</v>
      </c>
    </row>
    <row r="692" spans="1:5" ht="15" customHeight="1" outlineLevel="2" x14ac:dyDescent="0.25">
      <c r="A692" s="3" t="str">
        <f>HYPERLINK("http://mystore1.ru/price_items/search?utf8=%E2%9C%93&amp;oem=2443BGSSAGJP","2443BGSSAGJP")</f>
        <v>2443BGSSAGJP</v>
      </c>
      <c r="B692" s="1" t="s">
        <v>1368</v>
      </c>
      <c r="C692" s="9" t="s">
        <v>1359</v>
      </c>
      <c r="D692" s="14" t="s">
        <v>1369</v>
      </c>
      <c r="E692" s="9" t="s">
        <v>30</v>
      </c>
    </row>
    <row r="693" spans="1:5" ht="15" customHeight="1" outlineLevel="2" x14ac:dyDescent="0.25">
      <c r="A693" s="3" t="str">
        <f>HYPERLINK("http://mystore1.ru/price_items/search?utf8=%E2%9C%93&amp;oem=2443LGSS4FD","2443LGSS4FD")</f>
        <v>2443LGSS4FD</v>
      </c>
      <c r="B693" s="1" t="s">
        <v>1370</v>
      </c>
      <c r="C693" s="9" t="s">
        <v>1359</v>
      </c>
      <c r="D693" s="14" t="s">
        <v>1371</v>
      </c>
      <c r="E693" s="9" t="s">
        <v>11</v>
      </c>
    </row>
    <row r="694" spans="1:5" ht="15" customHeight="1" outlineLevel="2" x14ac:dyDescent="0.25">
      <c r="A694" s="3" t="str">
        <f>HYPERLINK("http://mystore1.ru/price_items/search?utf8=%E2%9C%93&amp;oem=2443LGSS4RD","2443LGSS4RD")</f>
        <v>2443LGSS4RD</v>
      </c>
      <c r="B694" s="1" t="s">
        <v>1372</v>
      </c>
      <c r="C694" s="9" t="s">
        <v>1359</v>
      </c>
      <c r="D694" s="14" t="s">
        <v>1373</v>
      </c>
      <c r="E694" s="9" t="s">
        <v>11</v>
      </c>
    </row>
    <row r="695" spans="1:5" ht="15" customHeight="1" outlineLevel="2" x14ac:dyDescent="0.25">
      <c r="A695" s="3" t="str">
        <f>HYPERLINK("http://mystore1.ru/price_items/search?utf8=%E2%9C%93&amp;oem=2443LGSS4RV","2443LGSS4RV")</f>
        <v>2443LGSS4RV</v>
      </c>
      <c r="B695" s="1" t="s">
        <v>1374</v>
      </c>
      <c r="C695" s="9" t="s">
        <v>1359</v>
      </c>
      <c r="D695" s="14" t="s">
        <v>1375</v>
      </c>
      <c r="E695" s="9" t="s">
        <v>11</v>
      </c>
    </row>
    <row r="696" spans="1:5" ht="15" customHeight="1" outlineLevel="2" x14ac:dyDescent="0.25">
      <c r="A696" s="3" t="str">
        <f>HYPERLINK("http://mystore1.ru/price_items/search?utf8=%E2%9C%93&amp;oem=2443RGSS4FD","2443RGSS4FD")</f>
        <v>2443RGSS4FD</v>
      </c>
      <c r="B696" s="1" t="s">
        <v>1376</v>
      </c>
      <c r="C696" s="9" t="s">
        <v>1359</v>
      </c>
      <c r="D696" s="14" t="s">
        <v>1377</v>
      </c>
      <c r="E696" s="9" t="s">
        <v>11</v>
      </c>
    </row>
    <row r="697" spans="1:5" ht="15" customHeight="1" outlineLevel="2" x14ac:dyDescent="0.25">
      <c r="A697" s="3" t="str">
        <f>HYPERLINK("http://mystore1.ru/price_items/search?utf8=%E2%9C%93&amp;oem=2443RGSS4RD","2443RGSS4RD")</f>
        <v>2443RGSS4RD</v>
      </c>
      <c r="B697" s="1" t="s">
        <v>1378</v>
      </c>
      <c r="C697" s="9" t="s">
        <v>1359</v>
      </c>
      <c r="D697" s="14" t="s">
        <v>1379</v>
      </c>
      <c r="E697" s="9" t="s">
        <v>11</v>
      </c>
    </row>
    <row r="698" spans="1:5" ht="15" customHeight="1" outlineLevel="2" x14ac:dyDescent="0.25">
      <c r="A698" s="3" t="str">
        <f>HYPERLINK("http://mystore1.ru/price_items/search?utf8=%E2%9C%93&amp;oem=2443RGSS4RD1J","2443RGSS4RD1J")</f>
        <v>2443RGSS4RD1J</v>
      </c>
      <c r="B698" s="1" t="s">
        <v>1380</v>
      </c>
      <c r="C698" s="9" t="s">
        <v>1359</v>
      </c>
      <c r="D698" s="14" t="s">
        <v>1381</v>
      </c>
      <c r="E698" s="9" t="s">
        <v>11</v>
      </c>
    </row>
    <row r="699" spans="1:5" ht="15" customHeight="1" outlineLevel="2" x14ac:dyDescent="0.25">
      <c r="A699" s="3" t="str">
        <f>HYPERLINK("http://mystore1.ru/price_items/search?utf8=%E2%9C%93&amp;oem=2443RGSS4RV","2443RGSS4RV")</f>
        <v>2443RGSS4RV</v>
      </c>
      <c r="B699" s="1" t="s">
        <v>1382</v>
      </c>
      <c r="C699" s="9" t="s">
        <v>1359</v>
      </c>
      <c r="D699" s="14" t="s">
        <v>1383</v>
      </c>
      <c r="E699" s="9" t="s">
        <v>11</v>
      </c>
    </row>
    <row r="700" spans="1:5" outlineLevel="1" x14ac:dyDescent="0.25">
      <c r="A700" s="2"/>
      <c r="B700" s="6" t="s">
        <v>1384</v>
      </c>
      <c r="C700" s="12"/>
      <c r="D700" s="13"/>
      <c r="E700" s="12"/>
    </row>
    <row r="701" spans="1:5" ht="15" customHeight="1" outlineLevel="2" x14ac:dyDescent="0.25">
      <c r="A701" s="3" t="str">
        <f>HYPERLINK("http://mystore1.ru/price_items/search?utf8=%E2%9C%93&amp;oem=2457AGSGYMV","2457AGSGYMV")</f>
        <v>2457AGSGYMV</v>
      </c>
      <c r="B701" s="1" t="s">
        <v>1385</v>
      </c>
      <c r="C701" s="9" t="s">
        <v>642</v>
      </c>
      <c r="D701" s="14" t="s">
        <v>1386</v>
      </c>
      <c r="E701" s="9" t="s">
        <v>8</v>
      </c>
    </row>
    <row r="702" spans="1:5" ht="15" customHeight="1" outlineLevel="2" x14ac:dyDescent="0.25">
      <c r="A702" s="3" t="str">
        <f>HYPERLINK("http://mystore1.ru/price_items/search?utf8=%E2%9C%93&amp;oem=2457LGSS4FD","2457LGSS4FD")</f>
        <v>2457LGSS4FD</v>
      </c>
      <c r="B702" s="1" t="s">
        <v>1387</v>
      </c>
      <c r="C702" s="9" t="s">
        <v>642</v>
      </c>
      <c r="D702" s="14" t="s">
        <v>1388</v>
      </c>
      <c r="E702" s="9" t="s">
        <v>11</v>
      </c>
    </row>
    <row r="703" spans="1:5" ht="15" customHeight="1" outlineLevel="2" x14ac:dyDescent="0.25">
      <c r="A703" s="3" t="str">
        <f>HYPERLINK("http://mystore1.ru/price_items/search?utf8=%E2%9C%93&amp;oem=2457RGSS4FD","2457RGSS4FD")</f>
        <v>2457RGSS4FD</v>
      </c>
      <c r="B703" s="1" t="s">
        <v>1389</v>
      </c>
      <c r="C703" s="9" t="s">
        <v>642</v>
      </c>
      <c r="D703" s="14" t="s">
        <v>1390</v>
      </c>
      <c r="E703" s="9" t="s">
        <v>11</v>
      </c>
    </row>
    <row r="704" spans="1:5" outlineLevel="1" x14ac:dyDescent="0.25">
      <c r="A704" s="2"/>
      <c r="B704" s="6" t="s">
        <v>1391</v>
      </c>
      <c r="C704" s="12"/>
      <c r="D704" s="13"/>
      <c r="E704" s="12"/>
    </row>
    <row r="705" spans="1:5" ht="15" customHeight="1" outlineLevel="2" x14ac:dyDescent="0.25">
      <c r="A705" s="3" t="str">
        <f>HYPERLINK("http://mystore1.ru/price_items/search?utf8=%E2%9C%93&amp;oem=2422AGN","2422AGN")</f>
        <v>2422AGN</v>
      </c>
      <c r="B705" s="1" t="s">
        <v>1392</v>
      </c>
      <c r="C705" s="9" t="s">
        <v>1393</v>
      </c>
      <c r="D705" s="14" t="s">
        <v>1394</v>
      </c>
      <c r="E705" s="9" t="s">
        <v>8</v>
      </c>
    </row>
    <row r="706" spans="1:5" ht="15" customHeight="1" outlineLevel="2" x14ac:dyDescent="0.25">
      <c r="A706" s="3" t="str">
        <f>HYPERLINK("http://mystore1.ru/price_items/search?utf8=%E2%9C%93&amp;oem=2422AGNGN","2422AGNGN")</f>
        <v>2422AGNGN</v>
      </c>
      <c r="B706" s="1" t="s">
        <v>1395</v>
      </c>
      <c r="C706" s="9" t="s">
        <v>1393</v>
      </c>
      <c r="D706" s="14" t="s">
        <v>1396</v>
      </c>
      <c r="E706" s="9" t="s">
        <v>8</v>
      </c>
    </row>
    <row r="707" spans="1:5" outlineLevel="1" x14ac:dyDescent="0.25">
      <c r="A707" s="2"/>
      <c r="B707" s="6" t="s">
        <v>1397</v>
      </c>
      <c r="C707" s="12"/>
      <c r="D707" s="13"/>
      <c r="E707" s="12"/>
    </row>
    <row r="708" spans="1:5" ht="15" customHeight="1" outlineLevel="2" x14ac:dyDescent="0.25">
      <c r="A708" s="3" t="str">
        <f>HYPERLINK("http://mystore1.ru/price_items/search?utf8=%E2%9C%93&amp;oem=2430AGNGN","2430AGNGN")</f>
        <v>2430AGNGN</v>
      </c>
      <c r="B708" s="1" t="s">
        <v>1398</v>
      </c>
      <c r="C708" s="9" t="s">
        <v>1399</v>
      </c>
      <c r="D708" s="14" t="s">
        <v>1400</v>
      </c>
      <c r="E708" s="9" t="s">
        <v>8</v>
      </c>
    </row>
    <row r="709" spans="1:5" outlineLevel="1" x14ac:dyDescent="0.25">
      <c r="A709" s="2"/>
      <c r="B709" s="6" t="s">
        <v>1401</v>
      </c>
      <c r="C709" s="12"/>
      <c r="D709" s="13"/>
      <c r="E709" s="12"/>
    </row>
    <row r="710" spans="1:5" ht="15" customHeight="1" outlineLevel="2" x14ac:dyDescent="0.25">
      <c r="A710" s="3" t="str">
        <f>HYPERLINK("http://mystore1.ru/price_items/search?utf8=%E2%9C%93&amp;oem=2440AGSGNV","2440AGSGNV")</f>
        <v>2440AGSGNV</v>
      </c>
      <c r="B710" s="1" t="s">
        <v>1402</v>
      </c>
      <c r="C710" s="9" t="s">
        <v>1403</v>
      </c>
      <c r="D710" s="14" t="s">
        <v>1404</v>
      </c>
      <c r="E710" s="9" t="s">
        <v>8</v>
      </c>
    </row>
    <row r="711" spans="1:5" ht="15" customHeight="1" outlineLevel="2" x14ac:dyDescent="0.25">
      <c r="A711" s="3" t="str">
        <f>HYPERLINK("http://mystore1.ru/price_items/search?utf8=%E2%9C%93&amp;oem=2440AGSBLV","2440AGSBLV")</f>
        <v>2440AGSBLV</v>
      </c>
      <c r="B711" s="1" t="s">
        <v>1405</v>
      </c>
      <c r="C711" s="9" t="s">
        <v>1403</v>
      </c>
      <c r="D711" s="14" t="s">
        <v>1406</v>
      </c>
      <c r="E711" s="9" t="s">
        <v>8</v>
      </c>
    </row>
    <row r="712" spans="1:5" ht="15" customHeight="1" outlineLevel="2" x14ac:dyDescent="0.25">
      <c r="A712" s="3" t="str">
        <f>HYPERLINK("http://mystore1.ru/price_items/search?utf8=%E2%9C%93&amp;oem=2440AGSMV1B","2440AGSMV1B")</f>
        <v>2440AGSMV1B</v>
      </c>
      <c r="B712" s="1" t="s">
        <v>1407</v>
      </c>
      <c r="C712" s="9" t="s">
        <v>1408</v>
      </c>
      <c r="D712" s="14" t="s">
        <v>1409</v>
      </c>
      <c r="E712" s="9" t="s">
        <v>8</v>
      </c>
    </row>
    <row r="713" spans="1:5" ht="15" customHeight="1" outlineLevel="2" x14ac:dyDescent="0.25">
      <c r="A713" s="3" t="str">
        <f>HYPERLINK("http://mystore1.ru/price_items/search?utf8=%E2%9C%93&amp;oem=2440AGSV","2440AGSV")</f>
        <v>2440AGSV</v>
      </c>
      <c r="B713" s="1" t="s">
        <v>1410</v>
      </c>
      <c r="C713" s="9" t="s">
        <v>1403</v>
      </c>
      <c r="D713" s="14" t="s">
        <v>1411</v>
      </c>
      <c r="E713" s="9" t="s">
        <v>8</v>
      </c>
    </row>
    <row r="714" spans="1:5" ht="15" customHeight="1" outlineLevel="2" x14ac:dyDescent="0.25">
      <c r="A714" s="3" t="str">
        <f>HYPERLINK("http://mystore1.ru/price_items/search?utf8=%E2%9C%93&amp;oem=2440AGSV2B","2440AGSV2B")</f>
        <v>2440AGSV2B</v>
      </c>
      <c r="B714" s="1" t="s">
        <v>1412</v>
      </c>
      <c r="C714" s="9" t="s">
        <v>1408</v>
      </c>
      <c r="D714" s="14" t="s">
        <v>1413</v>
      </c>
      <c r="E714" s="9" t="s">
        <v>8</v>
      </c>
    </row>
    <row r="715" spans="1:5" ht="15" customHeight="1" outlineLevel="2" x14ac:dyDescent="0.25">
      <c r="A715" s="3" t="str">
        <f>HYPERLINK("http://mystore1.ru/price_items/search?utf8=%E2%9C%93&amp;oem=2440ASMHL","2440ASMHL")</f>
        <v>2440ASMHL</v>
      </c>
      <c r="B715" s="1" t="s">
        <v>1414</v>
      </c>
      <c r="C715" s="9" t="s">
        <v>25</v>
      </c>
      <c r="D715" s="14" t="s">
        <v>1415</v>
      </c>
      <c r="E715" s="9" t="s">
        <v>27</v>
      </c>
    </row>
    <row r="716" spans="1:5" ht="15" customHeight="1" outlineLevel="2" x14ac:dyDescent="0.25">
      <c r="A716" s="3" t="str">
        <f>HYPERLINK("http://mystore1.ru/price_items/search?utf8=%E2%9C%93&amp;oem=2440ASMHR","2440ASMHR")</f>
        <v>2440ASMHR</v>
      </c>
      <c r="B716" s="1" t="s">
        <v>1416</v>
      </c>
      <c r="C716" s="9" t="s">
        <v>25</v>
      </c>
      <c r="D716" s="14" t="s">
        <v>1417</v>
      </c>
      <c r="E716" s="9" t="s">
        <v>27</v>
      </c>
    </row>
    <row r="717" spans="1:5" ht="15" customHeight="1" outlineLevel="2" x14ac:dyDescent="0.25">
      <c r="A717" s="3" t="str">
        <f>HYPERLINK("http://mystore1.ru/price_items/search?utf8=%E2%9C%93&amp;oem=2440ASMHT","2440ASMHT")</f>
        <v>2440ASMHT</v>
      </c>
      <c r="B717" s="1" t="s">
        <v>1418</v>
      </c>
      <c r="C717" s="9" t="s">
        <v>25</v>
      </c>
      <c r="D717" s="14" t="s">
        <v>1419</v>
      </c>
      <c r="E717" s="9" t="s">
        <v>27</v>
      </c>
    </row>
    <row r="718" spans="1:5" ht="15" customHeight="1" outlineLevel="2" x14ac:dyDescent="0.25">
      <c r="A718" s="3" t="str">
        <f>HYPERLINK("http://mystore1.ru/price_items/search?utf8=%E2%9C%93&amp;oem=2440BGSH","2440BGSH")</f>
        <v>2440BGSH</v>
      </c>
      <c r="B718" s="1" t="s">
        <v>1420</v>
      </c>
      <c r="C718" s="9" t="s">
        <v>1403</v>
      </c>
      <c r="D718" s="14" t="s">
        <v>1421</v>
      </c>
      <c r="E718" s="9" t="s">
        <v>30</v>
      </c>
    </row>
    <row r="719" spans="1:5" ht="15" customHeight="1" outlineLevel="2" x14ac:dyDescent="0.25">
      <c r="A719" s="3" t="str">
        <f>HYPERLINK("http://mystore1.ru/price_items/search?utf8=%E2%9C%93&amp;oem=2440LGSH3FD","2440LGSH3FD")</f>
        <v>2440LGSH3FD</v>
      </c>
      <c r="B719" s="1" t="s">
        <v>1422</v>
      </c>
      <c r="C719" s="9" t="s">
        <v>1423</v>
      </c>
      <c r="D719" s="14" t="s">
        <v>1424</v>
      </c>
      <c r="E719" s="9" t="s">
        <v>11</v>
      </c>
    </row>
    <row r="720" spans="1:5" ht="15" customHeight="1" outlineLevel="2" x14ac:dyDescent="0.25">
      <c r="A720" s="3" t="str">
        <f>HYPERLINK("http://mystore1.ru/price_items/search?utf8=%E2%9C%93&amp;oem=2440RGSH3FD","2440RGSH3FD")</f>
        <v>2440RGSH3FD</v>
      </c>
      <c r="B720" s="1" t="s">
        <v>1425</v>
      </c>
      <c r="C720" s="9" t="s">
        <v>1423</v>
      </c>
      <c r="D720" s="14" t="s">
        <v>1426</v>
      </c>
      <c r="E720" s="9" t="s">
        <v>11</v>
      </c>
    </row>
    <row r="721" spans="1:5" outlineLevel="1" x14ac:dyDescent="0.25">
      <c r="A721" s="2"/>
      <c r="B721" s="6" t="s">
        <v>1427</v>
      </c>
      <c r="C721" s="12"/>
      <c r="D721" s="13"/>
      <c r="E721" s="12"/>
    </row>
    <row r="722" spans="1:5" ht="15" customHeight="1" outlineLevel="2" x14ac:dyDescent="0.25">
      <c r="A722" s="3" t="str">
        <f>HYPERLINK("http://mystore1.ru/price_items/search?utf8=%E2%9C%93&amp;oem=2455AGSMV1B","2455AGSMV1B")</f>
        <v>2455AGSMV1B</v>
      </c>
      <c r="B722" s="1" t="s">
        <v>1428</v>
      </c>
      <c r="C722" s="9" t="s">
        <v>511</v>
      </c>
      <c r="D722" s="14" t="s">
        <v>1429</v>
      </c>
      <c r="E722" s="9" t="s">
        <v>8</v>
      </c>
    </row>
    <row r="723" spans="1:5" ht="15" customHeight="1" outlineLevel="2" x14ac:dyDescent="0.25">
      <c r="A723" s="3" t="str">
        <f>HYPERLINK("http://mystore1.ru/price_items/search?utf8=%E2%9C%93&amp;oem=2455AGSV","2455AGSV")</f>
        <v>2455AGSV</v>
      </c>
      <c r="B723" s="1" t="s">
        <v>1430</v>
      </c>
      <c r="C723" s="9" t="s">
        <v>511</v>
      </c>
      <c r="D723" s="14" t="s">
        <v>1431</v>
      </c>
      <c r="E723" s="9" t="s">
        <v>8</v>
      </c>
    </row>
    <row r="724" spans="1:5" outlineLevel="1" x14ac:dyDescent="0.25">
      <c r="A724" s="2"/>
      <c r="B724" s="6" t="s">
        <v>1432</v>
      </c>
      <c r="C724" s="12"/>
      <c r="D724" s="13"/>
      <c r="E724" s="12"/>
    </row>
    <row r="725" spans="1:5" ht="15" customHeight="1" outlineLevel="2" x14ac:dyDescent="0.25">
      <c r="A725" s="3" t="str">
        <f>HYPERLINK("http://mystore1.ru/price_items/search?utf8=%E2%9C%93&amp;oem=2460LGNR5FD","2460LGNR5FD")</f>
        <v>2460LGNR5FD</v>
      </c>
      <c r="B725" s="1" t="s">
        <v>1433</v>
      </c>
      <c r="C725" s="9" t="s">
        <v>601</v>
      </c>
      <c r="D725" s="14" t="s">
        <v>1434</v>
      </c>
      <c r="E725" s="9" t="s">
        <v>11</v>
      </c>
    </row>
    <row r="726" spans="1:5" ht="15" customHeight="1" outlineLevel="2" x14ac:dyDescent="0.25">
      <c r="A726" s="3" t="str">
        <f>HYPERLINK("http://mystore1.ru/price_items/search?utf8=%E2%9C%93&amp;oem=2460LGNR5RD","2460LGNR5RD")</f>
        <v>2460LGNR5RD</v>
      </c>
      <c r="B726" s="1" t="s">
        <v>1435</v>
      </c>
      <c r="C726" s="9" t="s">
        <v>601</v>
      </c>
      <c r="D726" s="14" t="s">
        <v>1436</v>
      </c>
      <c r="E726" s="9" t="s">
        <v>11</v>
      </c>
    </row>
    <row r="727" spans="1:5" ht="15" customHeight="1" outlineLevel="2" x14ac:dyDescent="0.25">
      <c r="A727" s="3" t="str">
        <f>HYPERLINK("http://mystore1.ru/price_items/search?utf8=%E2%9C%93&amp;oem=2460LGNR5RV","2460LGNR5RV")</f>
        <v>2460LGNR5RV</v>
      </c>
      <c r="B727" s="1" t="s">
        <v>1437</v>
      </c>
      <c r="C727" s="9" t="s">
        <v>369</v>
      </c>
      <c r="D727" s="14" t="s">
        <v>1438</v>
      </c>
      <c r="E727" s="9" t="s">
        <v>11</v>
      </c>
    </row>
    <row r="728" spans="1:5" ht="15" customHeight="1" outlineLevel="2" x14ac:dyDescent="0.25">
      <c r="A728" s="3" t="str">
        <f>HYPERLINK("http://mystore1.ru/price_items/search?utf8=%E2%9C%93&amp;oem=2460LYPR5RD","2460LYPR5RD")</f>
        <v>2460LYPR5RD</v>
      </c>
      <c r="B728" s="1" t="s">
        <v>1439</v>
      </c>
      <c r="C728" s="9" t="s">
        <v>601</v>
      </c>
      <c r="D728" s="14" t="s">
        <v>1440</v>
      </c>
      <c r="E728" s="9" t="s">
        <v>11</v>
      </c>
    </row>
    <row r="729" spans="1:5" ht="15" customHeight="1" outlineLevel="2" x14ac:dyDescent="0.25">
      <c r="A729" s="3" t="str">
        <f>HYPERLINK("http://mystore1.ru/price_items/search?utf8=%E2%9C%93&amp;oem=2460LYPR5RV","2460LYPR5RV")</f>
        <v>2460LYPR5RV</v>
      </c>
      <c r="B729" s="1" t="s">
        <v>1441</v>
      </c>
      <c r="C729" s="9" t="s">
        <v>369</v>
      </c>
      <c r="D729" s="14" t="s">
        <v>1442</v>
      </c>
      <c r="E729" s="9" t="s">
        <v>11</v>
      </c>
    </row>
    <row r="730" spans="1:5" ht="15" customHeight="1" outlineLevel="2" x14ac:dyDescent="0.25">
      <c r="A730" s="3" t="str">
        <f>HYPERLINK("http://mystore1.ru/price_items/search?utf8=%E2%9C%93&amp;oem=2460RGNR5FD","2460RGNR5FD")</f>
        <v>2460RGNR5FD</v>
      </c>
      <c r="B730" s="1" t="s">
        <v>1443</v>
      </c>
      <c r="C730" s="9" t="s">
        <v>601</v>
      </c>
      <c r="D730" s="14" t="s">
        <v>1444</v>
      </c>
      <c r="E730" s="9" t="s">
        <v>11</v>
      </c>
    </row>
    <row r="731" spans="1:5" ht="15" customHeight="1" outlineLevel="2" x14ac:dyDescent="0.25">
      <c r="A731" s="3" t="str">
        <f>HYPERLINK("http://mystore1.ru/price_items/search?utf8=%E2%9C%93&amp;oem=2460RGNR5RD","2460RGNR5RD")</f>
        <v>2460RGNR5RD</v>
      </c>
      <c r="B731" s="1" t="s">
        <v>1445</v>
      </c>
      <c r="C731" s="9" t="s">
        <v>601</v>
      </c>
      <c r="D731" s="14" t="s">
        <v>1446</v>
      </c>
      <c r="E731" s="9" t="s">
        <v>11</v>
      </c>
    </row>
    <row r="732" spans="1:5" ht="15" customHeight="1" outlineLevel="2" x14ac:dyDescent="0.25">
      <c r="A732" s="3" t="str">
        <f>HYPERLINK("http://mystore1.ru/price_items/search?utf8=%E2%9C%93&amp;oem=2460RGNR5RV","2460RGNR5RV")</f>
        <v>2460RGNR5RV</v>
      </c>
      <c r="B732" s="1" t="s">
        <v>1447</v>
      </c>
      <c r="C732" s="9" t="s">
        <v>601</v>
      </c>
      <c r="D732" s="14" t="s">
        <v>1448</v>
      </c>
      <c r="E732" s="9" t="s">
        <v>11</v>
      </c>
    </row>
    <row r="733" spans="1:5" ht="15" customHeight="1" outlineLevel="2" x14ac:dyDescent="0.25">
      <c r="A733" s="3" t="str">
        <f>HYPERLINK("http://mystore1.ru/price_items/search?utf8=%E2%9C%93&amp;oem=2460RYPR5RD","2460RYPR5RD")</f>
        <v>2460RYPR5RD</v>
      </c>
      <c r="B733" s="1" t="s">
        <v>1449</v>
      </c>
      <c r="C733" s="9" t="s">
        <v>601</v>
      </c>
      <c r="D733" s="14" t="s">
        <v>1450</v>
      </c>
      <c r="E733" s="9" t="s">
        <v>11</v>
      </c>
    </row>
    <row r="734" spans="1:5" ht="15" customHeight="1" outlineLevel="2" x14ac:dyDescent="0.25">
      <c r="A734" s="3" t="str">
        <f>HYPERLINK("http://mystore1.ru/price_items/search?utf8=%E2%9C%93&amp;oem=2460RYPR5RV","2460RYPR5RV")</f>
        <v>2460RYPR5RV</v>
      </c>
      <c r="B734" s="1" t="s">
        <v>1451</v>
      </c>
      <c r="C734" s="9" t="s">
        <v>369</v>
      </c>
      <c r="D734" s="14" t="s">
        <v>1452</v>
      </c>
      <c r="E734" s="9" t="s">
        <v>11</v>
      </c>
    </row>
    <row r="735" spans="1:5" outlineLevel="1" x14ac:dyDescent="0.25">
      <c r="A735" s="2"/>
      <c r="B735" s="6" t="s">
        <v>1453</v>
      </c>
      <c r="C735" s="12"/>
      <c r="D735" s="13"/>
      <c r="E735" s="12"/>
    </row>
    <row r="736" spans="1:5" ht="15" customHeight="1" outlineLevel="2" x14ac:dyDescent="0.25">
      <c r="A736" s="3" t="str">
        <f>HYPERLINK("http://mystore1.ru/price_items/search?utf8=%E2%9C%93&amp;oem=2449AGSGNMVW1B","2449AGSGNMVW1B")</f>
        <v>2449AGSGNMVW1B</v>
      </c>
      <c r="B736" s="1" t="s">
        <v>1454</v>
      </c>
      <c r="C736" s="9" t="s">
        <v>1201</v>
      </c>
      <c r="D736" s="14" t="s">
        <v>1455</v>
      </c>
      <c r="E736" s="9" t="s">
        <v>8</v>
      </c>
    </row>
    <row r="737" spans="1:5" ht="15" customHeight="1" outlineLevel="2" x14ac:dyDescent="0.25">
      <c r="A737" s="3" t="str">
        <f>HYPERLINK("http://mystore1.ru/price_items/search?utf8=%E2%9C%93&amp;oem=2449ACCGNMVW1B","2449ACCGNMVW1B")</f>
        <v>2449ACCGNMVW1B</v>
      </c>
      <c r="B737" s="1" t="s">
        <v>1456</v>
      </c>
      <c r="C737" s="9" t="s">
        <v>1201</v>
      </c>
      <c r="D737" s="14" t="s">
        <v>1457</v>
      </c>
      <c r="E737" s="9" t="s">
        <v>8</v>
      </c>
    </row>
    <row r="738" spans="1:5" ht="15" customHeight="1" outlineLevel="2" x14ac:dyDescent="0.25">
      <c r="A738" s="3" t="str">
        <f>HYPERLINK("http://mystore1.ru/price_items/search?utf8=%E2%9C%93&amp;oem=2449AGSGNVW","2449AGSGNVW")</f>
        <v>2449AGSGNVW</v>
      </c>
      <c r="B738" s="1" t="s">
        <v>1458</v>
      </c>
      <c r="C738" s="9" t="s">
        <v>1201</v>
      </c>
      <c r="D738" s="14" t="s">
        <v>1459</v>
      </c>
      <c r="E738" s="9" t="s">
        <v>8</v>
      </c>
    </row>
    <row r="739" spans="1:5" ht="15" customHeight="1" outlineLevel="2" x14ac:dyDescent="0.25">
      <c r="A739" s="3" t="str">
        <f>HYPERLINK("http://mystore1.ru/price_items/search?utf8=%E2%9C%93&amp;oem=2449AGSMVW1B","2449AGSMVW1B")</f>
        <v>2449AGSMVW1B</v>
      </c>
      <c r="B739" s="1" t="s">
        <v>1460</v>
      </c>
      <c r="C739" s="9" t="s">
        <v>1201</v>
      </c>
      <c r="D739" s="14" t="s">
        <v>1461</v>
      </c>
      <c r="E739" s="9" t="s">
        <v>8</v>
      </c>
    </row>
    <row r="740" spans="1:5" ht="15" customHeight="1" outlineLevel="2" x14ac:dyDescent="0.25">
      <c r="A740" s="3" t="str">
        <f>HYPERLINK("http://mystore1.ru/price_items/search?utf8=%E2%9C%93&amp;oem=2449AGSVW","2449AGSVW")</f>
        <v>2449AGSVW</v>
      </c>
      <c r="B740" s="1" t="s">
        <v>1462</v>
      </c>
      <c r="C740" s="9" t="s">
        <v>1201</v>
      </c>
      <c r="D740" s="14" t="s">
        <v>1463</v>
      </c>
      <c r="E740" s="9" t="s">
        <v>8</v>
      </c>
    </row>
    <row r="741" spans="1:5" ht="15" customHeight="1" outlineLevel="2" x14ac:dyDescent="0.25">
      <c r="A741" s="3" t="str">
        <f>HYPERLINK("http://mystore1.ru/price_items/search?utf8=%E2%9C%93&amp;oem=2449ASMRT","2449ASMRT")</f>
        <v>2449ASMRT</v>
      </c>
      <c r="B741" s="1" t="s">
        <v>1464</v>
      </c>
      <c r="C741" s="9" t="s">
        <v>25</v>
      </c>
      <c r="D741" s="14" t="s">
        <v>1465</v>
      </c>
      <c r="E741" s="9" t="s">
        <v>27</v>
      </c>
    </row>
    <row r="742" spans="1:5" ht="15" customHeight="1" outlineLevel="2" x14ac:dyDescent="0.25">
      <c r="A742" s="3" t="str">
        <f>HYPERLINK("http://mystore1.ru/price_items/search?utf8=%E2%9C%93&amp;oem=2449BGPRAGW","2449BGPRAGW")</f>
        <v>2449BGPRAGW</v>
      </c>
      <c r="B742" s="1" t="s">
        <v>1466</v>
      </c>
      <c r="C742" s="9" t="s">
        <v>1201</v>
      </c>
      <c r="D742" s="14" t="s">
        <v>1467</v>
      </c>
      <c r="E742" s="9" t="s">
        <v>30</v>
      </c>
    </row>
    <row r="743" spans="1:5" ht="15" customHeight="1" outlineLevel="2" x14ac:dyDescent="0.25">
      <c r="A743" s="3" t="str">
        <f>HYPERLINK("http://mystore1.ru/price_items/search?utf8=%E2%9C%93&amp;oem=2449BGSRAGW","2449BGSRAGW")</f>
        <v>2449BGSRAGW</v>
      </c>
      <c r="B743" s="1" t="s">
        <v>1468</v>
      </c>
      <c r="C743" s="9" t="s">
        <v>1201</v>
      </c>
      <c r="D743" s="14" t="s">
        <v>1467</v>
      </c>
      <c r="E743" s="9" t="s">
        <v>30</v>
      </c>
    </row>
    <row r="744" spans="1:5" ht="15" customHeight="1" outlineLevel="2" x14ac:dyDescent="0.25">
      <c r="A744" s="3" t="str">
        <f>HYPERLINK("http://mystore1.ru/price_items/search?utf8=%E2%9C%93&amp;oem=2449LGPR5RD","2449LGPR5RD")</f>
        <v>2449LGPR5RD</v>
      </c>
      <c r="B744" s="1" t="s">
        <v>1469</v>
      </c>
      <c r="C744" s="9" t="s">
        <v>1201</v>
      </c>
      <c r="D744" s="14" t="s">
        <v>1470</v>
      </c>
      <c r="E744" s="9" t="s">
        <v>11</v>
      </c>
    </row>
    <row r="745" spans="1:5" ht="15" customHeight="1" outlineLevel="2" x14ac:dyDescent="0.25">
      <c r="A745" s="3" t="str">
        <f>HYPERLINK("http://mystore1.ru/price_items/search?utf8=%E2%9C%93&amp;oem=2449LGSR5FD","2449LGSR5FD")</f>
        <v>2449LGSR5FD</v>
      </c>
      <c r="B745" s="1" t="s">
        <v>1471</v>
      </c>
      <c r="C745" s="9" t="s">
        <v>1201</v>
      </c>
      <c r="D745" s="14" t="s">
        <v>1472</v>
      </c>
      <c r="E745" s="9" t="s">
        <v>11</v>
      </c>
    </row>
    <row r="746" spans="1:5" ht="15" customHeight="1" outlineLevel="2" x14ac:dyDescent="0.25">
      <c r="A746" s="3" t="str">
        <f>HYPERLINK("http://mystore1.ru/price_items/search?utf8=%E2%9C%93&amp;oem=2449LGSR5RD","2449LGSR5RD")</f>
        <v>2449LGSR5RD</v>
      </c>
      <c r="B746" s="1" t="s">
        <v>1473</v>
      </c>
      <c r="C746" s="9" t="s">
        <v>1201</v>
      </c>
      <c r="D746" s="14" t="s">
        <v>1474</v>
      </c>
      <c r="E746" s="9" t="s">
        <v>11</v>
      </c>
    </row>
    <row r="747" spans="1:5" ht="15" customHeight="1" outlineLevel="2" x14ac:dyDescent="0.25">
      <c r="A747" s="3" t="str">
        <f>HYPERLINK("http://mystore1.ru/price_items/search?utf8=%E2%9C%93&amp;oem=2449LGSR5RV","2449LGSR5RV")</f>
        <v>2449LGSR5RV</v>
      </c>
      <c r="B747" s="1" t="s">
        <v>1475</v>
      </c>
      <c r="C747" s="9" t="s">
        <v>1201</v>
      </c>
      <c r="D747" s="14" t="s">
        <v>1476</v>
      </c>
      <c r="E747" s="9" t="s">
        <v>11</v>
      </c>
    </row>
    <row r="748" spans="1:5" ht="15" customHeight="1" outlineLevel="2" x14ac:dyDescent="0.25">
      <c r="A748" s="3" t="str">
        <f>HYPERLINK("http://mystore1.ru/price_items/search?utf8=%E2%9C%93&amp;oem=2449RGPR5RD","2449RGPR5RD")</f>
        <v>2449RGPR5RD</v>
      </c>
      <c r="B748" s="1" t="s">
        <v>1477</v>
      </c>
      <c r="C748" s="9" t="s">
        <v>1201</v>
      </c>
      <c r="D748" s="14" t="s">
        <v>1478</v>
      </c>
      <c r="E748" s="9" t="s">
        <v>11</v>
      </c>
    </row>
    <row r="749" spans="1:5" ht="15" customHeight="1" outlineLevel="2" x14ac:dyDescent="0.25">
      <c r="A749" s="3" t="str">
        <f>HYPERLINK("http://mystore1.ru/price_items/search?utf8=%E2%9C%93&amp;oem=2449RGSR5FD","2449RGSR5FD")</f>
        <v>2449RGSR5FD</v>
      </c>
      <c r="B749" s="1" t="s">
        <v>1479</v>
      </c>
      <c r="C749" s="9" t="s">
        <v>1201</v>
      </c>
      <c r="D749" s="14" t="s">
        <v>1480</v>
      </c>
      <c r="E749" s="9" t="s">
        <v>11</v>
      </c>
    </row>
    <row r="750" spans="1:5" ht="15" customHeight="1" outlineLevel="2" x14ac:dyDescent="0.25">
      <c r="A750" s="3" t="str">
        <f>HYPERLINK("http://mystore1.ru/price_items/search?utf8=%E2%9C%93&amp;oem=2449RGSR5RD","2449RGSR5RD")</f>
        <v>2449RGSR5RD</v>
      </c>
      <c r="B750" s="1" t="s">
        <v>1481</v>
      </c>
      <c r="C750" s="9" t="s">
        <v>1201</v>
      </c>
      <c r="D750" s="14" t="s">
        <v>1482</v>
      </c>
      <c r="E750" s="9" t="s">
        <v>11</v>
      </c>
    </row>
    <row r="751" spans="1:5" ht="15" customHeight="1" outlineLevel="2" x14ac:dyDescent="0.25">
      <c r="A751" s="3" t="str">
        <f>HYPERLINK("http://mystore1.ru/price_items/search?utf8=%E2%9C%93&amp;oem=2449RGSR5RV","2449RGSR5RV")</f>
        <v>2449RGSR5RV</v>
      </c>
      <c r="B751" s="1" t="s">
        <v>1483</v>
      </c>
      <c r="C751" s="9" t="s">
        <v>1201</v>
      </c>
      <c r="D751" s="14" t="s">
        <v>1484</v>
      </c>
      <c r="E751" s="9" t="s">
        <v>11</v>
      </c>
    </row>
    <row r="752" spans="1:5" outlineLevel="1" x14ac:dyDescent="0.25">
      <c r="A752" s="2"/>
      <c r="B752" s="6" t="s">
        <v>1485</v>
      </c>
      <c r="C752" s="12"/>
      <c r="D752" s="13"/>
      <c r="E752" s="12"/>
    </row>
    <row r="753" spans="1:5" ht="15" customHeight="1" outlineLevel="2" x14ac:dyDescent="0.25">
      <c r="A753" s="3" t="str">
        <f>HYPERLINK("http://mystore1.ru/price_items/search?utf8=%E2%9C%93&amp;oem=2464AGNGYMV1B","2464AGNGYMV1B")</f>
        <v>2464AGNGYMV1B</v>
      </c>
      <c r="B753" s="1" t="s">
        <v>1486</v>
      </c>
      <c r="C753" s="9" t="s">
        <v>601</v>
      </c>
      <c r="D753" s="14" t="s">
        <v>1487</v>
      </c>
      <c r="E753" s="9" t="s">
        <v>8</v>
      </c>
    </row>
    <row r="754" spans="1:5" ht="15" customHeight="1" outlineLevel="2" x14ac:dyDescent="0.25">
      <c r="A754" s="3" t="str">
        <f>HYPERLINK("http://mystore1.ru/price_items/search?utf8=%E2%9C%93&amp;oem=2464AGNMV1B","2464AGNMV1B")</f>
        <v>2464AGNMV1B</v>
      </c>
      <c r="B754" s="1" t="s">
        <v>1488</v>
      </c>
      <c r="C754" s="9" t="s">
        <v>601</v>
      </c>
      <c r="D754" s="14" t="s">
        <v>1489</v>
      </c>
      <c r="E754" s="9" t="s">
        <v>8</v>
      </c>
    </row>
    <row r="755" spans="1:5" ht="15" customHeight="1" outlineLevel="2" x14ac:dyDescent="0.25">
      <c r="A755" s="3" t="str">
        <f>HYPERLINK("http://mystore1.ru/price_items/search?utf8=%E2%9C%93&amp;oem=2464AGNV","2464AGNV")</f>
        <v>2464AGNV</v>
      </c>
      <c r="B755" s="1" t="s">
        <v>1490</v>
      </c>
      <c r="C755" s="9" t="s">
        <v>601</v>
      </c>
      <c r="D755" s="14" t="s">
        <v>1491</v>
      </c>
      <c r="E755" s="9" t="s">
        <v>8</v>
      </c>
    </row>
    <row r="756" spans="1:5" ht="15" customHeight="1" outlineLevel="2" x14ac:dyDescent="0.25">
      <c r="A756" s="3" t="str">
        <f>HYPERLINK("http://mystore1.ru/price_items/search?utf8=%E2%9C%93&amp;oem=2464BGNRA","2464BGNRA")</f>
        <v>2464BGNRA</v>
      </c>
      <c r="B756" s="1" t="s">
        <v>1492</v>
      </c>
      <c r="C756" s="9" t="s">
        <v>601</v>
      </c>
      <c r="D756" s="14" t="s">
        <v>1493</v>
      </c>
      <c r="E756" s="9" t="s">
        <v>30</v>
      </c>
    </row>
    <row r="757" spans="1:5" outlineLevel="1" x14ac:dyDescent="0.25">
      <c r="A757" s="2"/>
      <c r="B757" s="6" t="s">
        <v>1494</v>
      </c>
      <c r="C757" s="12"/>
      <c r="D757" s="13"/>
      <c r="E757" s="12"/>
    </row>
    <row r="758" spans="1:5" ht="15" customHeight="1" outlineLevel="2" x14ac:dyDescent="0.25">
      <c r="A758" s="3" t="str">
        <f>HYPERLINK("http://mystore1.ru/price_items/search?utf8=%E2%9C%93&amp;oem=2439ACCGNV","2439ACCGNV")</f>
        <v>2439ACCGNV</v>
      </c>
      <c r="B758" s="1" t="s">
        <v>1495</v>
      </c>
      <c r="C758" s="9" t="s">
        <v>1496</v>
      </c>
      <c r="D758" s="14" t="s">
        <v>1497</v>
      </c>
      <c r="E758" s="9" t="s">
        <v>8</v>
      </c>
    </row>
    <row r="759" spans="1:5" ht="15" customHeight="1" outlineLevel="2" x14ac:dyDescent="0.25">
      <c r="A759" s="3" t="str">
        <f>HYPERLINK("http://mystore1.ru/price_items/search?utf8=%E2%9C%93&amp;oem=2439AGSGNMV","2439AGSGNMV")</f>
        <v>2439AGSGNMV</v>
      </c>
      <c r="B759" s="1" t="s">
        <v>1498</v>
      </c>
      <c r="C759" s="9" t="s">
        <v>1499</v>
      </c>
      <c r="D759" s="14" t="s">
        <v>1500</v>
      </c>
      <c r="E759" s="9" t="s">
        <v>8</v>
      </c>
    </row>
    <row r="760" spans="1:5" ht="15" customHeight="1" outlineLevel="2" x14ac:dyDescent="0.25">
      <c r="A760" s="3" t="str">
        <f>HYPERLINK("http://mystore1.ru/price_items/search?utf8=%E2%9C%93&amp;oem=2439AGSGNMV1T","2439AGSGNMV1T")</f>
        <v>2439AGSGNMV1T</v>
      </c>
      <c r="B760" s="1" t="s">
        <v>1501</v>
      </c>
      <c r="C760" s="9" t="s">
        <v>1496</v>
      </c>
      <c r="D760" s="14" t="s">
        <v>1502</v>
      </c>
      <c r="E760" s="9" t="s">
        <v>8</v>
      </c>
    </row>
    <row r="761" spans="1:5" ht="15" customHeight="1" outlineLevel="2" x14ac:dyDescent="0.25">
      <c r="A761" s="3" t="str">
        <f>HYPERLINK("http://mystore1.ru/price_items/search?utf8=%E2%9C%93&amp;oem=2439AGSGNV","2439AGSGNV")</f>
        <v>2439AGSGNV</v>
      </c>
      <c r="B761" s="1" t="s">
        <v>1503</v>
      </c>
      <c r="C761" s="9" t="s">
        <v>1499</v>
      </c>
      <c r="D761" s="14" t="s">
        <v>1504</v>
      </c>
      <c r="E761" s="9" t="s">
        <v>8</v>
      </c>
    </row>
    <row r="762" spans="1:5" ht="15" customHeight="1" outlineLevel="2" x14ac:dyDescent="0.25">
      <c r="A762" s="3" t="str">
        <f>HYPERLINK("http://mystore1.ru/price_items/search?utf8=%E2%9C%93&amp;oem=2439AGSMV","2439AGSMV")</f>
        <v>2439AGSMV</v>
      </c>
      <c r="B762" s="1" t="s">
        <v>1505</v>
      </c>
      <c r="C762" s="9" t="s">
        <v>1499</v>
      </c>
      <c r="D762" s="14" t="s">
        <v>1506</v>
      </c>
      <c r="E762" s="9" t="s">
        <v>8</v>
      </c>
    </row>
    <row r="763" spans="1:5" ht="15" customHeight="1" outlineLevel="2" x14ac:dyDescent="0.25">
      <c r="A763" s="3" t="str">
        <f>HYPERLINK("http://mystore1.ru/price_items/search?utf8=%E2%9C%93&amp;oem=2439AGSMV1T","2439AGSMV1T")</f>
        <v>2439AGSMV1T</v>
      </c>
      <c r="B763" s="1" t="s">
        <v>1507</v>
      </c>
      <c r="C763" s="9" t="s">
        <v>959</v>
      </c>
      <c r="D763" s="14" t="s">
        <v>1508</v>
      </c>
      <c r="E763" s="9" t="s">
        <v>8</v>
      </c>
    </row>
    <row r="764" spans="1:5" ht="15" customHeight="1" outlineLevel="2" x14ac:dyDescent="0.25">
      <c r="A764" s="3" t="str">
        <f>HYPERLINK("http://mystore1.ru/price_items/search?utf8=%E2%9C%93&amp;oem=2439AGSV","2439AGSV")</f>
        <v>2439AGSV</v>
      </c>
      <c r="B764" s="1" t="s">
        <v>1509</v>
      </c>
      <c r="C764" s="9" t="s">
        <v>1499</v>
      </c>
      <c r="D764" s="14" t="s">
        <v>1510</v>
      </c>
      <c r="E764" s="9" t="s">
        <v>8</v>
      </c>
    </row>
    <row r="765" spans="1:5" ht="15" customHeight="1" outlineLevel="2" x14ac:dyDescent="0.25">
      <c r="A765" s="3" t="str">
        <f>HYPERLINK("http://mystore1.ru/price_items/search?utf8=%E2%9C%93&amp;oem=2439ASMRT","2439ASMRT")</f>
        <v>2439ASMRT</v>
      </c>
      <c r="B765" s="1" t="s">
        <v>1511</v>
      </c>
      <c r="C765" s="9" t="s">
        <v>25</v>
      </c>
      <c r="D765" s="14" t="s">
        <v>1512</v>
      </c>
      <c r="E765" s="9" t="s">
        <v>27</v>
      </c>
    </row>
    <row r="766" spans="1:5" ht="15" customHeight="1" outlineLevel="2" x14ac:dyDescent="0.25">
      <c r="A766" s="3" t="str">
        <f>HYPERLINK("http://mystore1.ru/price_items/search?utf8=%E2%9C%93&amp;oem=2439BYPRAW","2439BYPRAW")</f>
        <v>2439BYPRAW</v>
      </c>
      <c r="B766" s="1" t="s">
        <v>1513</v>
      </c>
      <c r="C766" s="9" t="s">
        <v>1499</v>
      </c>
      <c r="D766" s="14" t="s">
        <v>1514</v>
      </c>
      <c r="E766" s="9" t="s">
        <v>30</v>
      </c>
    </row>
    <row r="767" spans="1:5" ht="15" customHeight="1" outlineLevel="2" x14ac:dyDescent="0.25">
      <c r="A767" s="3" t="str">
        <f>HYPERLINK("http://mystore1.ru/price_items/search?utf8=%E2%9C%93&amp;oem=2439BGSRAW","2439BGSRAW")</f>
        <v>2439BGSRAW</v>
      </c>
      <c r="B767" s="1" t="s">
        <v>1515</v>
      </c>
      <c r="C767" s="9" t="s">
        <v>1499</v>
      </c>
      <c r="D767" s="14" t="s">
        <v>1516</v>
      </c>
      <c r="E767" s="9" t="s">
        <v>30</v>
      </c>
    </row>
    <row r="768" spans="1:5" ht="15" customHeight="1" outlineLevel="2" x14ac:dyDescent="0.25">
      <c r="A768" s="3" t="str">
        <f>HYPERLINK("http://mystore1.ru/price_items/search?utf8=%E2%9C%93&amp;oem=2439LGPR5RD","2439LGPR5RD")</f>
        <v>2439LGPR5RD</v>
      </c>
      <c r="B768" s="1" t="s">
        <v>1517</v>
      </c>
      <c r="C768" s="9" t="s">
        <v>1499</v>
      </c>
      <c r="D768" s="14" t="s">
        <v>1518</v>
      </c>
      <c r="E768" s="9" t="s">
        <v>11</v>
      </c>
    </row>
    <row r="769" spans="1:5" ht="15" customHeight="1" outlineLevel="2" x14ac:dyDescent="0.25">
      <c r="A769" s="3" t="str">
        <f>HYPERLINK("http://mystore1.ru/price_items/search?utf8=%E2%9C%93&amp;oem=2439LGPR5RV","2439LGPR5RV")</f>
        <v>2439LGPR5RV</v>
      </c>
      <c r="B769" s="1" t="s">
        <v>1519</v>
      </c>
      <c r="C769" s="9" t="s">
        <v>1499</v>
      </c>
      <c r="D769" s="14" t="s">
        <v>1520</v>
      </c>
      <c r="E769" s="9" t="s">
        <v>11</v>
      </c>
    </row>
    <row r="770" spans="1:5" ht="15" customHeight="1" outlineLevel="2" x14ac:dyDescent="0.25">
      <c r="A770" s="3" t="str">
        <f>HYPERLINK("http://mystore1.ru/price_items/search?utf8=%E2%9C%93&amp;oem=2439LGSR5FD","2439LGSR5FD")</f>
        <v>2439LGSR5FD</v>
      </c>
      <c r="B770" s="1" t="s">
        <v>1521</v>
      </c>
      <c r="C770" s="9" t="s">
        <v>1499</v>
      </c>
      <c r="D770" s="14" t="s">
        <v>1522</v>
      </c>
      <c r="E770" s="9" t="s">
        <v>11</v>
      </c>
    </row>
    <row r="771" spans="1:5" ht="15" customHeight="1" outlineLevel="2" x14ac:dyDescent="0.25">
      <c r="A771" s="3" t="str">
        <f>HYPERLINK("http://mystore1.ru/price_items/search?utf8=%E2%9C%93&amp;oem=2439LGSR5RD","2439LGSR5RD")</f>
        <v>2439LGSR5RD</v>
      </c>
      <c r="B771" s="1" t="s">
        <v>1523</v>
      </c>
      <c r="C771" s="9" t="s">
        <v>1499</v>
      </c>
      <c r="D771" s="14" t="s">
        <v>1524</v>
      </c>
      <c r="E771" s="9" t="s">
        <v>11</v>
      </c>
    </row>
    <row r="772" spans="1:5" ht="15" customHeight="1" outlineLevel="2" x14ac:dyDescent="0.25">
      <c r="A772" s="3" t="str">
        <f>HYPERLINK("http://mystore1.ru/price_items/search?utf8=%E2%9C%93&amp;oem=2439LGSR5RV","2439LGSR5RV")</f>
        <v>2439LGSR5RV</v>
      </c>
      <c r="B772" s="1" t="s">
        <v>1525</v>
      </c>
      <c r="C772" s="9" t="s">
        <v>1499</v>
      </c>
      <c r="D772" s="14" t="s">
        <v>1526</v>
      </c>
      <c r="E772" s="9" t="s">
        <v>11</v>
      </c>
    </row>
    <row r="773" spans="1:5" ht="15" customHeight="1" outlineLevel="2" x14ac:dyDescent="0.25">
      <c r="A773" s="3" t="str">
        <f>HYPERLINK("http://mystore1.ru/price_items/search?utf8=%E2%9C%93&amp;oem=2439RGPR5RD","2439RGPR5RD")</f>
        <v>2439RGPR5RD</v>
      </c>
      <c r="B773" s="1" t="s">
        <v>1527</v>
      </c>
      <c r="C773" s="9" t="s">
        <v>1499</v>
      </c>
      <c r="D773" s="14" t="s">
        <v>1528</v>
      </c>
      <c r="E773" s="9" t="s">
        <v>11</v>
      </c>
    </row>
    <row r="774" spans="1:5" ht="15" customHeight="1" outlineLevel="2" x14ac:dyDescent="0.25">
      <c r="A774" s="3" t="str">
        <f>HYPERLINK("http://mystore1.ru/price_items/search?utf8=%E2%9C%93&amp;oem=2439RGPR5RV","2439RGPR5RV")</f>
        <v>2439RGPR5RV</v>
      </c>
      <c r="B774" s="1" t="s">
        <v>1529</v>
      </c>
      <c r="C774" s="9" t="s">
        <v>1499</v>
      </c>
      <c r="D774" s="14" t="s">
        <v>1530</v>
      </c>
      <c r="E774" s="9" t="s">
        <v>11</v>
      </c>
    </row>
    <row r="775" spans="1:5" ht="15" customHeight="1" outlineLevel="2" x14ac:dyDescent="0.25">
      <c r="A775" s="3" t="str">
        <f>HYPERLINK("http://mystore1.ru/price_items/search?utf8=%E2%9C%93&amp;oem=2439RGSR5FD","2439RGSR5FD")</f>
        <v>2439RGSR5FD</v>
      </c>
      <c r="B775" s="1" t="s">
        <v>1531</v>
      </c>
      <c r="C775" s="9" t="s">
        <v>1499</v>
      </c>
      <c r="D775" s="14" t="s">
        <v>1532</v>
      </c>
      <c r="E775" s="9" t="s">
        <v>11</v>
      </c>
    </row>
    <row r="776" spans="1:5" ht="15" customHeight="1" outlineLevel="2" x14ac:dyDescent="0.25">
      <c r="A776" s="3" t="str">
        <f>HYPERLINK("http://mystore1.ru/price_items/search?utf8=%E2%9C%93&amp;oem=2439RGSR5RD","2439RGSR5RD")</f>
        <v>2439RGSR5RD</v>
      </c>
      <c r="B776" s="1" t="s">
        <v>1533</v>
      </c>
      <c r="C776" s="9" t="s">
        <v>1499</v>
      </c>
      <c r="D776" s="14" t="s">
        <v>1534</v>
      </c>
      <c r="E776" s="9" t="s">
        <v>11</v>
      </c>
    </row>
    <row r="777" spans="1:5" ht="15" customHeight="1" outlineLevel="2" x14ac:dyDescent="0.25">
      <c r="A777" s="3" t="str">
        <f>HYPERLINK("http://mystore1.ru/price_items/search?utf8=%E2%9C%93&amp;oem=2439RGSR5RV","2439RGSR5RV")</f>
        <v>2439RGSR5RV</v>
      </c>
      <c r="B777" s="1" t="s">
        <v>1535</v>
      </c>
      <c r="C777" s="9" t="s">
        <v>1499</v>
      </c>
      <c r="D777" s="14" t="s">
        <v>1536</v>
      </c>
      <c r="E777" s="9" t="s">
        <v>11</v>
      </c>
    </row>
    <row r="778" spans="1:5" outlineLevel="1" x14ac:dyDescent="0.25">
      <c r="A778" s="2"/>
      <c r="B778" s="6" t="s">
        <v>1537</v>
      </c>
      <c r="C778" s="12"/>
      <c r="D778" s="13"/>
      <c r="E778" s="12"/>
    </row>
    <row r="779" spans="1:5" ht="15" customHeight="1" outlineLevel="2" x14ac:dyDescent="0.25">
      <c r="A779" s="3" t="str">
        <f>HYPERLINK("http://mystore1.ru/price_items/search?utf8=%E2%9C%93&amp;oem=2452ACCMUV1B","2452ACCMUV1B")</f>
        <v>2452ACCMUV1B</v>
      </c>
      <c r="B779" s="1" t="s">
        <v>1538</v>
      </c>
      <c r="C779" s="9" t="s">
        <v>687</v>
      </c>
      <c r="D779" s="14" t="s">
        <v>1539</v>
      </c>
      <c r="E779" s="9" t="s">
        <v>8</v>
      </c>
    </row>
    <row r="780" spans="1:5" ht="15" customHeight="1" outlineLevel="2" x14ac:dyDescent="0.25">
      <c r="A780" s="3" t="str">
        <f>HYPERLINK("http://mystore1.ru/price_items/search?utf8=%E2%9C%93&amp;oem=2452AGSGNMV1B","2452AGSGNMV1B")</f>
        <v>2452AGSGNMV1B</v>
      </c>
      <c r="B780" s="1" t="s">
        <v>1540</v>
      </c>
      <c r="C780" s="9" t="s">
        <v>687</v>
      </c>
      <c r="D780" s="14" t="s">
        <v>1541</v>
      </c>
      <c r="E780" s="9" t="s">
        <v>8</v>
      </c>
    </row>
    <row r="781" spans="1:5" ht="15" customHeight="1" outlineLevel="2" x14ac:dyDescent="0.25">
      <c r="A781" s="3" t="str">
        <f>HYPERLINK("http://mystore1.ru/price_items/search?utf8=%E2%9C%93&amp;oem=2452AGSGNV","2452AGSGNV")</f>
        <v>2452AGSGNV</v>
      </c>
      <c r="B781" s="1" t="s">
        <v>1542</v>
      </c>
      <c r="C781" s="9" t="s">
        <v>687</v>
      </c>
      <c r="D781" s="14" t="s">
        <v>1543</v>
      </c>
      <c r="E781" s="9" t="s">
        <v>8</v>
      </c>
    </row>
    <row r="782" spans="1:5" ht="15" customHeight="1" outlineLevel="2" x14ac:dyDescent="0.25">
      <c r="A782" s="3" t="str">
        <f>HYPERLINK("http://mystore1.ru/price_items/search?utf8=%E2%9C%93&amp;oem=2452AGSGYMV1B","2452AGSGYMV1B")</f>
        <v>2452AGSGYMV1B</v>
      </c>
      <c r="B782" s="1" t="s">
        <v>1544</v>
      </c>
      <c r="C782" s="9" t="s">
        <v>687</v>
      </c>
      <c r="D782" s="14" t="s">
        <v>1545</v>
      </c>
      <c r="E782" s="9" t="s">
        <v>8</v>
      </c>
    </row>
    <row r="783" spans="1:5" ht="15" customHeight="1" outlineLevel="2" x14ac:dyDescent="0.25">
      <c r="A783" s="3" t="str">
        <f>HYPERLINK("http://mystore1.ru/price_items/search?utf8=%E2%9C%93&amp;oem=2452AGSGYV","2452AGSGYV")</f>
        <v>2452AGSGYV</v>
      </c>
      <c r="B783" s="1" t="s">
        <v>1546</v>
      </c>
      <c r="C783" s="9" t="s">
        <v>687</v>
      </c>
      <c r="D783" s="14" t="s">
        <v>1547</v>
      </c>
      <c r="E783" s="9" t="s">
        <v>8</v>
      </c>
    </row>
    <row r="784" spans="1:5" ht="15" customHeight="1" outlineLevel="2" x14ac:dyDescent="0.25">
      <c r="A784" s="3" t="str">
        <f>HYPERLINK("http://mystore1.ru/price_items/search?utf8=%E2%9C%93&amp;oem=2452AGSMUV1B","2452AGSMUV1B")</f>
        <v>2452AGSMUV1B</v>
      </c>
      <c r="B784" s="1" t="s">
        <v>1548</v>
      </c>
      <c r="C784" s="9" t="s">
        <v>687</v>
      </c>
      <c r="D784" s="14" t="s">
        <v>1549</v>
      </c>
      <c r="E784" s="9" t="s">
        <v>8</v>
      </c>
    </row>
    <row r="785" spans="1:5" ht="15" customHeight="1" outlineLevel="2" x14ac:dyDescent="0.25">
      <c r="A785" s="3" t="str">
        <f>HYPERLINK("http://mystore1.ru/price_items/search?utf8=%E2%9C%93&amp;oem=2452AGSMV1B","2452AGSMV1B")</f>
        <v>2452AGSMV1B</v>
      </c>
      <c r="B785" s="1" t="s">
        <v>1550</v>
      </c>
      <c r="C785" s="9" t="s">
        <v>687</v>
      </c>
      <c r="D785" s="14" t="s">
        <v>1551</v>
      </c>
      <c r="E785" s="9" t="s">
        <v>8</v>
      </c>
    </row>
    <row r="786" spans="1:5" ht="15" customHeight="1" outlineLevel="2" x14ac:dyDescent="0.25">
      <c r="A786" s="3" t="str">
        <f>HYPERLINK("http://mystore1.ru/price_items/search?utf8=%E2%9C%93&amp;oem=2452AGSV","2452AGSV")</f>
        <v>2452AGSV</v>
      </c>
      <c r="B786" s="1" t="s">
        <v>1552</v>
      </c>
      <c r="C786" s="9" t="s">
        <v>687</v>
      </c>
      <c r="D786" s="14" t="s">
        <v>1553</v>
      </c>
      <c r="E786" s="9" t="s">
        <v>8</v>
      </c>
    </row>
    <row r="787" spans="1:5" ht="15" customHeight="1" outlineLevel="2" x14ac:dyDescent="0.25">
      <c r="A787" s="3" t="str">
        <f>HYPERLINK("http://mystore1.ru/price_items/search?utf8=%E2%9C%93&amp;oem=2452ACCMUV1T","2452ACCMUV1T")</f>
        <v>2452ACCMUV1T</v>
      </c>
      <c r="B787" s="1" t="s">
        <v>1554</v>
      </c>
      <c r="C787" s="9" t="s">
        <v>687</v>
      </c>
      <c r="D787" s="14" t="s">
        <v>1555</v>
      </c>
      <c r="E787" s="9" t="s">
        <v>8</v>
      </c>
    </row>
    <row r="788" spans="1:5" ht="15" customHeight="1" outlineLevel="2" x14ac:dyDescent="0.25">
      <c r="A788" s="3" t="str">
        <f>HYPERLINK("http://mystore1.ru/price_items/search?utf8=%E2%9C%93&amp;oem=2452LGSR5FD","2452LGSR5FD")</f>
        <v>2452LGSR5FD</v>
      </c>
      <c r="B788" s="1" t="s">
        <v>1556</v>
      </c>
      <c r="C788" s="9" t="s">
        <v>687</v>
      </c>
      <c r="D788" s="14" t="s">
        <v>1557</v>
      </c>
      <c r="E788" s="9" t="s">
        <v>11</v>
      </c>
    </row>
    <row r="789" spans="1:5" ht="15" customHeight="1" outlineLevel="2" x14ac:dyDescent="0.25">
      <c r="A789" s="3" t="str">
        <f>HYPERLINK("http://mystore1.ru/price_items/search?utf8=%E2%9C%93&amp;oem=2452LGSR5RD","2452LGSR5RD")</f>
        <v>2452LGSR5RD</v>
      </c>
      <c r="B789" s="1" t="s">
        <v>1558</v>
      </c>
      <c r="C789" s="9" t="s">
        <v>687</v>
      </c>
      <c r="D789" s="14" t="s">
        <v>1559</v>
      </c>
      <c r="E789" s="9" t="s">
        <v>11</v>
      </c>
    </row>
    <row r="790" spans="1:5" ht="15" customHeight="1" outlineLevel="2" x14ac:dyDescent="0.25">
      <c r="A790" s="3" t="str">
        <f>HYPERLINK("http://mystore1.ru/price_items/search?utf8=%E2%9C%93&amp;oem=2452LGSR5RV","2452LGSR5RV")</f>
        <v>2452LGSR5RV</v>
      </c>
      <c r="B790" s="1" t="s">
        <v>1560</v>
      </c>
      <c r="C790" s="9" t="s">
        <v>687</v>
      </c>
      <c r="D790" s="14" t="s">
        <v>1561</v>
      </c>
      <c r="E790" s="9" t="s">
        <v>11</v>
      </c>
    </row>
    <row r="791" spans="1:5" ht="15" customHeight="1" outlineLevel="2" x14ac:dyDescent="0.25">
      <c r="A791" s="3" t="str">
        <f>HYPERLINK("http://mystore1.ru/price_items/search?utf8=%E2%9C%93&amp;oem=2452RGSR5FD","2452RGSR5FD")</f>
        <v>2452RGSR5FD</v>
      </c>
      <c r="B791" s="1" t="s">
        <v>1562</v>
      </c>
      <c r="C791" s="9" t="s">
        <v>687</v>
      </c>
      <c r="D791" s="14" t="s">
        <v>1563</v>
      </c>
      <c r="E791" s="9" t="s">
        <v>11</v>
      </c>
    </row>
    <row r="792" spans="1:5" ht="15" customHeight="1" outlineLevel="2" x14ac:dyDescent="0.25">
      <c r="A792" s="3" t="str">
        <f>HYPERLINK("http://mystore1.ru/price_items/search?utf8=%E2%9C%93&amp;oem=2452RGSR5RD","2452RGSR5RD")</f>
        <v>2452RGSR5RD</v>
      </c>
      <c r="B792" s="1" t="s">
        <v>1564</v>
      </c>
      <c r="C792" s="9" t="s">
        <v>687</v>
      </c>
      <c r="D792" s="14" t="s">
        <v>1565</v>
      </c>
      <c r="E792" s="9" t="s">
        <v>11</v>
      </c>
    </row>
    <row r="793" spans="1:5" ht="15" customHeight="1" outlineLevel="2" x14ac:dyDescent="0.25">
      <c r="A793" s="3" t="str">
        <f>HYPERLINK("http://mystore1.ru/price_items/search?utf8=%E2%9C%93&amp;oem=2452RGSR5RV","2452RGSR5RV")</f>
        <v>2452RGSR5RV</v>
      </c>
      <c r="B793" s="1" t="s">
        <v>1566</v>
      </c>
      <c r="C793" s="9" t="s">
        <v>687</v>
      </c>
      <c r="D793" s="14" t="s">
        <v>1567</v>
      </c>
      <c r="E793" s="9" t="s">
        <v>11</v>
      </c>
    </row>
    <row r="794" spans="1:5" outlineLevel="1" x14ac:dyDescent="0.25">
      <c r="A794" s="2"/>
      <c r="B794" s="6" t="s">
        <v>1568</v>
      </c>
      <c r="C794" s="12"/>
      <c r="D794" s="13"/>
      <c r="E794" s="12"/>
    </row>
    <row r="795" spans="1:5" ht="15" customHeight="1" outlineLevel="2" x14ac:dyDescent="0.25">
      <c r="A795" s="3" t="str">
        <f>HYPERLINK("http://mystore1.ru/price_items/search?utf8=%E2%9C%93&amp;oem=2456AGSGYMV","2456AGSGYMV")</f>
        <v>2456AGSGYMV</v>
      </c>
      <c r="B795" s="1" t="s">
        <v>1569</v>
      </c>
      <c r="C795" s="9" t="s">
        <v>642</v>
      </c>
      <c r="D795" s="14" t="s">
        <v>1570</v>
      </c>
      <c r="E795" s="9" t="s">
        <v>8</v>
      </c>
    </row>
    <row r="796" spans="1:5" ht="15" customHeight="1" outlineLevel="2" x14ac:dyDescent="0.25">
      <c r="A796" s="3" t="str">
        <f>HYPERLINK("http://mystore1.ru/price_items/search?utf8=%E2%9C%93&amp;oem=2456AGSGYMV1B","2456AGSGYMV1B")</f>
        <v>2456AGSGYMV1B</v>
      </c>
      <c r="B796" s="1" t="s">
        <v>1571</v>
      </c>
      <c r="C796" s="9" t="s">
        <v>642</v>
      </c>
      <c r="D796" s="14" t="s">
        <v>1572</v>
      </c>
      <c r="E796" s="9" t="s">
        <v>8</v>
      </c>
    </row>
    <row r="797" spans="1:5" ht="15" customHeight="1" outlineLevel="2" x14ac:dyDescent="0.25">
      <c r="A797" s="3" t="str">
        <f>HYPERLINK("http://mystore1.ru/price_items/search?utf8=%E2%9C%93&amp;oem=2456AGSMUV1T","2456AGSMUV1T")</f>
        <v>2456AGSMUV1T</v>
      </c>
      <c r="B797" s="1" t="s">
        <v>1573</v>
      </c>
      <c r="C797" s="9" t="s">
        <v>642</v>
      </c>
      <c r="D797" s="14" t="s">
        <v>1574</v>
      </c>
      <c r="E797" s="9" t="s">
        <v>8</v>
      </c>
    </row>
    <row r="798" spans="1:5" outlineLevel="1" x14ac:dyDescent="0.25">
      <c r="A798" s="2"/>
      <c r="B798" s="6" t="s">
        <v>1575</v>
      </c>
      <c r="C798" s="12"/>
      <c r="D798" s="13"/>
      <c r="E798" s="12"/>
    </row>
    <row r="799" spans="1:5" ht="15" customHeight="1" outlineLevel="2" x14ac:dyDescent="0.25">
      <c r="A799" s="3" t="str">
        <f>HYPERLINK("http://mystore1.ru/price_items/search?utf8=%E2%9C%93&amp;oem=2435AGNGNV","2435AGNGNV")</f>
        <v>2435AGNGNV</v>
      </c>
      <c r="B799" s="1" t="s">
        <v>1576</v>
      </c>
      <c r="C799" s="9" t="s">
        <v>420</v>
      </c>
      <c r="D799" s="14" t="s">
        <v>1577</v>
      </c>
      <c r="E799" s="9" t="s">
        <v>8</v>
      </c>
    </row>
    <row r="800" spans="1:5" ht="15" customHeight="1" outlineLevel="2" x14ac:dyDescent="0.25">
      <c r="A800" s="3" t="str">
        <f>HYPERLINK("http://mystore1.ru/price_items/search?utf8=%E2%9C%93&amp;oem=2435AGNV","2435AGNV")</f>
        <v>2435AGNV</v>
      </c>
      <c r="B800" s="1" t="s">
        <v>1578</v>
      </c>
      <c r="C800" s="9" t="s">
        <v>420</v>
      </c>
      <c r="D800" s="14" t="s">
        <v>1579</v>
      </c>
      <c r="E800" s="9" t="s">
        <v>8</v>
      </c>
    </row>
    <row r="801" spans="1:5" ht="15" customHeight="1" outlineLevel="2" x14ac:dyDescent="0.25">
      <c r="A801" s="3" t="str">
        <f>HYPERLINK("http://mystore1.ru/price_items/search?utf8=%E2%9C%93&amp;oem=2435ASMT","2435ASMT")</f>
        <v>2435ASMT</v>
      </c>
      <c r="B801" s="1" t="s">
        <v>1580</v>
      </c>
      <c r="C801" s="9" t="s">
        <v>25</v>
      </c>
      <c r="D801" s="14" t="s">
        <v>1581</v>
      </c>
      <c r="E801" s="9" t="s">
        <v>27</v>
      </c>
    </row>
    <row r="802" spans="1:5" ht="15" customHeight="1" outlineLevel="2" x14ac:dyDescent="0.25">
      <c r="A802" s="3" t="str">
        <f>HYPERLINK("http://mystore1.ru/price_items/search?utf8=%E2%9C%93&amp;oem=2435BGNC","2435BGNC")</f>
        <v>2435BGNC</v>
      </c>
      <c r="B802" s="1" t="s">
        <v>1582</v>
      </c>
      <c r="C802" s="9" t="s">
        <v>420</v>
      </c>
      <c r="D802" s="14" t="s">
        <v>1583</v>
      </c>
      <c r="E802" s="9" t="s">
        <v>30</v>
      </c>
    </row>
    <row r="803" spans="1:5" ht="15" customHeight="1" outlineLevel="2" x14ac:dyDescent="0.25">
      <c r="A803" s="3" t="str">
        <f>HYPERLINK("http://mystore1.ru/price_items/search?utf8=%E2%9C%93&amp;oem=2435LGNC2RQ","2435LGNC2RQ")</f>
        <v>2435LGNC2RQ</v>
      </c>
      <c r="B803" s="1" t="s">
        <v>1584</v>
      </c>
      <c r="C803" s="9" t="s">
        <v>420</v>
      </c>
      <c r="D803" s="14" t="s">
        <v>1585</v>
      </c>
      <c r="E803" s="9" t="s">
        <v>11</v>
      </c>
    </row>
    <row r="804" spans="1:5" ht="15" customHeight="1" outlineLevel="2" x14ac:dyDescent="0.25">
      <c r="A804" s="3" t="str">
        <f>HYPERLINK("http://mystore1.ru/price_items/search?utf8=%E2%9C%93&amp;oem=2435RGNC2RQ","2435RGNC2RQ")</f>
        <v>2435RGNC2RQ</v>
      </c>
      <c r="B804" s="1" t="s">
        <v>1586</v>
      </c>
      <c r="C804" s="9" t="s">
        <v>420</v>
      </c>
      <c r="D804" s="14" t="s">
        <v>1587</v>
      </c>
      <c r="E804" s="9" t="s">
        <v>11</v>
      </c>
    </row>
    <row r="805" spans="1:5" outlineLevel="1" x14ac:dyDescent="0.25">
      <c r="A805" s="2"/>
      <c r="B805" s="6" t="s">
        <v>1588</v>
      </c>
      <c r="C805" s="12"/>
      <c r="D805" s="13"/>
      <c r="E805" s="12"/>
    </row>
    <row r="806" spans="1:5" ht="15" customHeight="1" outlineLevel="2" x14ac:dyDescent="0.25">
      <c r="A806" s="3" t="str">
        <f>HYPERLINK("http://mystore1.ru/price_items/search?utf8=%E2%9C%93&amp;oem=2444AGSMV","2444AGSMV")</f>
        <v>2444AGSMV</v>
      </c>
      <c r="B806" s="1" t="s">
        <v>1589</v>
      </c>
      <c r="C806" s="9" t="s">
        <v>1590</v>
      </c>
      <c r="D806" s="14" t="s">
        <v>1591</v>
      </c>
      <c r="E806" s="9" t="s">
        <v>8</v>
      </c>
    </row>
    <row r="807" spans="1:5" ht="15" customHeight="1" outlineLevel="2" x14ac:dyDescent="0.25">
      <c r="A807" s="3" t="str">
        <f>HYPERLINK("http://mystore1.ru/price_items/search?utf8=%E2%9C%93&amp;oem=2444ASMT","2444ASMT")</f>
        <v>2444ASMT</v>
      </c>
      <c r="B807" s="1" t="s">
        <v>1592</v>
      </c>
      <c r="C807" s="9" t="s">
        <v>25</v>
      </c>
      <c r="D807" s="14" t="s">
        <v>1593</v>
      </c>
      <c r="E807" s="9" t="s">
        <v>27</v>
      </c>
    </row>
    <row r="808" spans="1:5" outlineLevel="1" x14ac:dyDescent="0.25">
      <c r="A808" s="2"/>
      <c r="B808" s="6" t="s">
        <v>1594</v>
      </c>
      <c r="C808" s="12"/>
      <c r="D808" s="13"/>
      <c r="E808" s="12"/>
    </row>
    <row r="809" spans="1:5" outlineLevel="2" x14ac:dyDescent="0.25">
      <c r="A809" s="3" t="str">
        <f>HYPERLINK("http://mystore1.ru/price_items/search?utf8=%E2%9C%93&amp;oem=2453AGSGNMV1B","2453AGSGNMV1B")</f>
        <v>2453AGSGNMV1B</v>
      </c>
      <c r="B809" s="1" t="s">
        <v>1595</v>
      </c>
      <c r="C809" s="9" t="s">
        <v>1596</v>
      </c>
      <c r="D809" s="14" t="s">
        <v>1597</v>
      </c>
      <c r="E809" s="9" t="s">
        <v>8</v>
      </c>
    </row>
    <row r="810" spans="1:5" outlineLevel="2" x14ac:dyDescent="0.25">
      <c r="A810" s="3" t="str">
        <f>HYPERLINK("http://mystore1.ru/price_items/search?utf8=%E2%9C%93&amp;oem=2453AGSGNV","2453AGSGNV")</f>
        <v>2453AGSGNV</v>
      </c>
      <c r="B810" s="1" t="s">
        <v>1598</v>
      </c>
      <c r="C810" s="9" t="s">
        <v>1596</v>
      </c>
      <c r="D810" s="14" t="s">
        <v>1599</v>
      </c>
      <c r="E810" s="9" t="s">
        <v>8</v>
      </c>
    </row>
    <row r="811" spans="1:5" outlineLevel="2" x14ac:dyDescent="0.25">
      <c r="A811" s="3" t="str">
        <f>HYPERLINK("http://mystore1.ru/price_items/search?utf8=%E2%9C%93&amp;oem=2453AGSMV1B","2453AGSMV1B")</f>
        <v>2453AGSMV1B</v>
      </c>
      <c r="B811" s="1" t="s">
        <v>1600</v>
      </c>
      <c r="C811" s="9" t="s">
        <v>1596</v>
      </c>
      <c r="D811" s="14" t="s">
        <v>1601</v>
      </c>
      <c r="E811" s="9" t="s">
        <v>8</v>
      </c>
    </row>
    <row r="812" spans="1:5" outlineLevel="2" x14ac:dyDescent="0.25">
      <c r="A812" s="3" t="str">
        <f>HYPERLINK("http://mystore1.ru/price_items/search?utf8=%E2%9C%93&amp;oem=2453AGSV","2453AGSV")</f>
        <v>2453AGSV</v>
      </c>
      <c r="B812" s="1" t="s">
        <v>1602</v>
      </c>
      <c r="C812" s="9" t="s">
        <v>1596</v>
      </c>
      <c r="D812" s="14" t="s">
        <v>1603</v>
      </c>
      <c r="E812" s="9" t="s">
        <v>8</v>
      </c>
    </row>
    <row r="813" spans="1:5" x14ac:dyDescent="0.25">
      <c r="A813" s="61" t="s">
        <v>1604</v>
      </c>
      <c r="B813" s="61"/>
      <c r="C813" s="61"/>
      <c r="D813" s="61"/>
      <c r="E813" s="61"/>
    </row>
    <row r="814" spans="1:5" outlineLevel="1" x14ac:dyDescent="0.25">
      <c r="A814" s="2"/>
      <c r="B814" s="6" t="s">
        <v>1605</v>
      </c>
      <c r="C814" s="8"/>
      <c r="D814" s="8"/>
      <c r="E814" s="8"/>
    </row>
    <row r="815" spans="1:5" ht="15" customHeight="1" outlineLevel="2" x14ac:dyDescent="0.25">
      <c r="A815" s="3" t="str">
        <f>HYPERLINK("http://mystore1.ru/price_items/search?utf8=%E2%9C%93&amp;oem=A129AGSVW","A129AGSVW")</f>
        <v>A129AGSVW</v>
      </c>
      <c r="B815" s="1" t="s">
        <v>1606</v>
      </c>
      <c r="C815" s="9" t="s">
        <v>1607</v>
      </c>
      <c r="D815" s="14" t="s">
        <v>1608</v>
      </c>
      <c r="E815" s="9" t="s">
        <v>8</v>
      </c>
    </row>
    <row r="816" spans="1:5" ht="15" customHeight="1" outlineLevel="2" x14ac:dyDescent="0.25">
      <c r="A816" s="3" t="str">
        <f>HYPERLINK("http://mystore1.ru/price_items/search?utf8=%E2%9C%93&amp;oem=A129AGSMVW","A129AGSMVW")</f>
        <v>A129AGSMVW</v>
      </c>
      <c r="B816" s="1" t="s">
        <v>1609</v>
      </c>
      <c r="C816" s="9" t="s">
        <v>1607</v>
      </c>
      <c r="D816" s="14" t="s">
        <v>1610</v>
      </c>
      <c r="E816" s="9" t="s">
        <v>8</v>
      </c>
    </row>
    <row r="817" spans="1:5" ht="15" customHeight="1" outlineLevel="2" x14ac:dyDescent="0.25">
      <c r="A817" s="3" t="str">
        <f>HYPERLINK("http://mystore1.ru/price_items/search?utf8=%E2%9C%93&amp;oem=A129LGSS4FD","A129LGSS4FD")</f>
        <v>A129LGSS4FD</v>
      </c>
      <c r="B817" s="1" t="s">
        <v>1611</v>
      </c>
      <c r="C817" s="9" t="s">
        <v>1607</v>
      </c>
      <c r="D817" s="14" t="s">
        <v>1612</v>
      </c>
      <c r="E817" s="9" t="s">
        <v>11</v>
      </c>
    </row>
    <row r="818" spans="1:5" ht="15" customHeight="1" outlineLevel="2" x14ac:dyDescent="0.25">
      <c r="A818" s="3" t="str">
        <f>HYPERLINK("http://mystore1.ru/price_items/search?utf8=%E2%9C%93&amp;oem=A129RGSS4FD","A129RGSS4FD")</f>
        <v>A129RGSS4FD</v>
      </c>
      <c r="B818" s="1" t="s">
        <v>1613</v>
      </c>
      <c r="C818" s="9" t="s">
        <v>1607</v>
      </c>
      <c r="D818" s="14" t="s">
        <v>1614</v>
      </c>
      <c r="E818" s="9" t="s">
        <v>11</v>
      </c>
    </row>
    <row r="819" spans="1:5" outlineLevel="1" x14ac:dyDescent="0.25">
      <c r="A819" s="2"/>
      <c r="B819" s="6" t="s">
        <v>1615</v>
      </c>
      <c r="C819" s="8"/>
      <c r="D819" s="8"/>
      <c r="E819" s="8"/>
    </row>
    <row r="820" spans="1:5" ht="15" customHeight="1" outlineLevel="2" x14ac:dyDescent="0.25">
      <c r="A820" s="3" t="str">
        <f>HYPERLINK("http://mystore1.ru/price_items/search?utf8=%E2%9C%93&amp;oem=A124AGSBLAVW","A124AGSBLAVW")</f>
        <v>A124AGSBLAVW</v>
      </c>
      <c r="B820" s="1" t="s">
        <v>1616</v>
      </c>
      <c r="C820" s="9" t="s">
        <v>1617</v>
      </c>
      <c r="D820" s="14" t="s">
        <v>1618</v>
      </c>
      <c r="E820" s="9" t="s">
        <v>8</v>
      </c>
    </row>
    <row r="821" spans="1:5" ht="15" customHeight="1" outlineLevel="2" x14ac:dyDescent="0.25">
      <c r="A821" s="3" t="str">
        <f>HYPERLINK("http://mystore1.ru/price_items/search?utf8=%E2%9C%93&amp;oem=A124LGSS4FD","A124LGSS4FD")</f>
        <v>A124LGSS4FD</v>
      </c>
      <c r="B821" s="1" t="s">
        <v>1619</v>
      </c>
      <c r="C821" s="9" t="s">
        <v>1617</v>
      </c>
      <c r="D821" s="14" t="s">
        <v>1620</v>
      </c>
      <c r="E821" s="9" t="s">
        <v>11</v>
      </c>
    </row>
    <row r="822" spans="1:5" ht="15" customHeight="1" outlineLevel="2" x14ac:dyDescent="0.25">
      <c r="A822" s="3" t="str">
        <f>HYPERLINK("http://mystore1.ru/price_items/search?utf8=%E2%9C%93&amp;oem=A124RGSS4FD","A124RGSS4FD")</f>
        <v>A124RGSS4FD</v>
      </c>
      <c r="B822" s="1" t="s">
        <v>1621</v>
      </c>
      <c r="C822" s="9" t="s">
        <v>1617</v>
      </c>
      <c r="D822" s="14" t="s">
        <v>1622</v>
      </c>
      <c r="E822" s="9" t="s">
        <v>11</v>
      </c>
    </row>
    <row r="823" spans="1:5" outlineLevel="1" x14ac:dyDescent="0.25">
      <c r="A823" s="2"/>
      <c r="B823" s="6" t="s">
        <v>1623</v>
      </c>
      <c r="C823" s="8"/>
      <c r="D823" s="8"/>
      <c r="E823" s="8"/>
    </row>
    <row r="824" spans="1:5" ht="15" customHeight="1" outlineLevel="2" x14ac:dyDescent="0.25">
      <c r="A824" s="3" t="str">
        <f>HYPERLINK("http://mystore1.ru/price_items/search?utf8=%E2%9C%93&amp;oem=A121AGSBLZ","A121AGSBLZ")</f>
        <v>A121AGSBLZ</v>
      </c>
      <c r="B824" s="1" t="s">
        <v>1624</v>
      </c>
      <c r="C824" s="9" t="s">
        <v>1625</v>
      </c>
      <c r="D824" s="14" t="s">
        <v>1626</v>
      </c>
      <c r="E824" s="9" t="s">
        <v>8</v>
      </c>
    </row>
    <row r="825" spans="1:5" outlineLevel="1" x14ac:dyDescent="0.25">
      <c r="A825" s="2"/>
      <c r="B825" s="6" t="s">
        <v>1627</v>
      </c>
      <c r="C825" s="8"/>
      <c r="D825" s="8"/>
      <c r="E825" s="8"/>
    </row>
    <row r="826" spans="1:5" ht="15" customHeight="1" outlineLevel="2" x14ac:dyDescent="0.25">
      <c r="A826" s="3" t="str">
        <f>HYPERLINK("http://mystore1.ru/price_items/search?utf8=%E2%9C%93&amp;oem=A128AGSBLAW","A128AGSBLAW")</f>
        <v>A128AGSBLAW</v>
      </c>
      <c r="B826" s="1" t="s">
        <v>1628</v>
      </c>
      <c r="C826" s="9" t="s">
        <v>1629</v>
      </c>
      <c r="D826" s="14" t="s">
        <v>1630</v>
      </c>
      <c r="E826" s="9" t="s">
        <v>8</v>
      </c>
    </row>
    <row r="827" spans="1:5" ht="15" customHeight="1" outlineLevel="2" x14ac:dyDescent="0.25">
      <c r="A827" s="3" t="str">
        <f>HYPERLINK("http://mystore1.ru/price_items/search?utf8=%E2%9C%93&amp;oem=A128LGSR5FD","A128LGSR5FD")</f>
        <v>A128LGSR5FD</v>
      </c>
      <c r="B827" s="1" t="s">
        <v>1631</v>
      </c>
      <c r="C827" s="9" t="s">
        <v>1629</v>
      </c>
      <c r="D827" s="14" t="s">
        <v>1632</v>
      </c>
      <c r="E827" s="9" t="s">
        <v>11</v>
      </c>
    </row>
    <row r="828" spans="1:5" ht="15" customHeight="1" outlineLevel="2" x14ac:dyDescent="0.25">
      <c r="A828" s="3" t="str">
        <f>HYPERLINK("http://mystore1.ru/price_items/search?utf8=%E2%9C%93&amp;oem=A128RGSR5FD","A128RGSR5FD")</f>
        <v>A128RGSR5FD</v>
      </c>
      <c r="B828" s="1" t="s">
        <v>1633</v>
      </c>
      <c r="C828" s="9" t="s">
        <v>1629</v>
      </c>
      <c r="D828" s="14" t="s">
        <v>1634</v>
      </c>
      <c r="E828" s="9" t="s">
        <v>11</v>
      </c>
    </row>
    <row r="829" spans="1:5" outlineLevel="1" x14ac:dyDescent="0.25">
      <c r="A829" s="2"/>
      <c r="B829" s="6" t="s">
        <v>1635</v>
      </c>
      <c r="C829" s="8"/>
      <c r="D829" s="8"/>
      <c r="E829" s="8"/>
    </row>
    <row r="830" spans="1:5" outlineLevel="2" x14ac:dyDescent="0.25">
      <c r="A830" s="3" t="str">
        <f>HYPERLINK("http://mystore1.ru/price_items/search?utf8=%E2%9C%93&amp;oem=A127AGAMVZ1B","A127AGAMVZ1B")</f>
        <v>A127AGAMVZ1B</v>
      </c>
      <c r="B830" s="1" t="s">
        <v>1636</v>
      </c>
      <c r="C830" s="9" t="s">
        <v>1607</v>
      </c>
      <c r="D830" s="14" t="s">
        <v>1637</v>
      </c>
      <c r="E830" s="9" t="s">
        <v>8</v>
      </c>
    </row>
    <row r="831" spans="1:5" x14ac:dyDescent="0.25">
      <c r="A831" s="61" t="s">
        <v>1638</v>
      </c>
      <c r="B831" s="61"/>
      <c r="C831" s="61"/>
      <c r="D831" s="61"/>
      <c r="E831" s="61"/>
    </row>
    <row r="832" spans="1:5" outlineLevel="1" x14ac:dyDescent="0.25">
      <c r="A832" s="2"/>
      <c r="B832" s="6" t="s">
        <v>1639</v>
      </c>
      <c r="C832" s="8"/>
      <c r="D832" s="8"/>
      <c r="E832" s="8"/>
    </row>
    <row r="833" spans="1:5" ht="15" customHeight="1" outlineLevel="2" x14ac:dyDescent="0.25">
      <c r="A833" s="3" t="str">
        <f>HYPERLINK("http://mystore1.ru/price_items/search?utf8=%E2%9C%93&amp;oem=9611BCLS","9611BCLS")</f>
        <v>9611BCLS</v>
      </c>
      <c r="B833" s="1" t="s">
        <v>1640</v>
      </c>
      <c r="C833" s="9" t="s">
        <v>1607</v>
      </c>
      <c r="D833" s="14" t="s">
        <v>1641</v>
      </c>
      <c r="E833" s="9" t="s">
        <v>30</v>
      </c>
    </row>
    <row r="834" spans="1:5" ht="15" customHeight="1" outlineLevel="2" x14ac:dyDescent="0.25">
      <c r="A834" s="3" t="str">
        <f>HYPERLINK("http://mystore1.ru/price_items/search?utf8=%E2%9C%93&amp;oem=9611RCLS4RD","9611RCLS4RD")</f>
        <v>9611RCLS4RD</v>
      </c>
      <c r="B834" s="1" t="s">
        <v>1642</v>
      </c>
      <c r="C834" s="9" t="s">
        <v>1607</v>
      </c>
      <c r="D834" s="14" t="s">
        <v>1643</v>
      </c>
      <c r="E834" s="9" t="s">
        <v>11</v>
      </c>
    </row>
    <row r="835" spans="1:5" outlineLevel="1" x14ac:dyDescent="0.25">
      <c r="A835" s="2"/>
      <c r="B835" s="6" t="s">
        <v>1644</v>
      </c>
      <c r="C835" s="8"/>
      <c r="D835" s="8"/>
      <c r="E835" s="8"/>
    </row>
    <row r="836" spans="1:5" ht="15" customHeight="1" outlineLevel="2" x14ac:dyDescent="0.25">
      <c r="A836" s="3" t="str">
        <f>HYPERLINK("http://mystore1.ru/price_items/search?utf8=%E2%9C%93&amp;oem=9641AGNBL","9641AGNBL")</f>
        <v>9641AGNBL</v>
      </c>
      <c r="B836" s="1" t="s">
        <v>1645</v>
      </c>
      <c r="C836" s="9" t="s">
        <v>687</v>
      </c>
      <c r="D836" s="14" t="s">
        <v>1646</v>
      </c>
      <c r="E836" s="9" t="s">
        <v>8</v>
      </c>
    </row>
    <row r="837" spans="1:5" outlineLevel="1" x14ac:dyDescent="0.25">
      <c r="A837" s="2"/>
      <c r="B837" s="6" t="s">
        <v>1647</v>
      </c>
      <c r="C837" s="8"/>
      <c r="D837" s="8"/>
      <c r="E837" s="8"/>
    </row>
    <row r="838" spans="1:5" outlineLevel="2" x14ac:dyDescent="0.25">
      <c r="A838" s="3" t="str">
        <f>HYPERLINK("http://mystore1.ru/price_items/search?utf8=%E2%9C%93&amp;oem=9595XLGNR5RQ","9595XLGNR5RQ")</f>
        <v>9595XLGNR5RQ</v>
      </c>
      <c r="B838" s="1" t="s">
        <v>1648</v>
      </c>
      <c r="C838" s="9" t="s">
        <v>687</v>
      </c>
      <c r="D838" s="14" t="s">
        <v>1649</v>
      </c>
      <c r="E838" s="9" t="s">
        <v>11</v>
      </c>
    </row>
    <row r="839" spans="1:5" outlineLevel="2" x14ac:dyDescent="0.25">
      <c r="A839" s="3" t="str">
        <f>HYPERLINK("http://mystore1.ru/price_items/search?utf8=%E2%9C%93&amp;oem=9595XLGNR5RV","9595XLGNR5RV")</f>
        <v>9595XLGNR5RV</v>
      </c>
      <c r="B839" s="1" t="s">
        <v>1650</v>
      </c>
      <c r="C839" s="9" t="s">
        <v>687</v>
      </c>
      <c r="D839" s="14" t="s">
        <v>1651</v>
      </c>
      <c r="E839" s="9" t="s">
        <v>11</v>
      </c>
    </row>
    <row r="840" spans="1:5" outlineLevel="2" x14ac:dyDescent="0.25">
      <c r="A840" s="3" t="str">
        <f>HYPERLINK("http://mystore1.ru/price_items/search?utf8=%E2%9C%93&amp;oem=9595XRGNR5RD","9595XRGNR5RD")</f>
        <v>9595XRGNR5RD</v>
      </c>
      <c r="B840" s="1" t="s">
        <v>1652</v>
      </c>
      <c r="C840" s="9" t="s">
        <v>687</v>
      </c>
      <c r="D840" s="14" t="s">
        <v>1653</v>
      </c>
      <c r="E840" s="9" t="s">
        <v>11</v>
      </c>
    </row>
    <row r="841" spans="1:5" outlineLevel="2" x14ac:dyDescent="0.25">
      <c r="A841" s="3" t="str">
        <f>HYPERLINK("http://mystore1.ru/price_items/search?utf8=%E2%9C%93&amp;oem=9595XRGNR5RQ","9595XRGNR5RQ")</f>
        <v>9595XRGNR5RQ</v>
      </c>
      <c r="B841" s="1" t="s">
        <v>1654</v>
      </c>
      <c r="C841" s="9" t="s">
        <v>687</v>
      </c>
      <c r="D841" s="14" t="s">
        <v>1655</v>
      </c>
      <c r="E841" s="9" t="s">
        <v>11</v>
      </c>
    </row>
    <row r="842" spans="1:5" outlineLevel="2" x14ac:dyDescent="0.25">
      <c r="A842" s="3" t="str">
        <f>HYPERLINK("http://mystore1.ru/price_items/search?utf8=%E2%9C%93&amp;oem=9595XRGNR5RV","9595XRGNR5RV")</f>
        <v>9595XRGNR5RV</v>
      </c>
      <c r="B842" s="1" t="s">
        <v>1656</v>
      </c>
      <c r="C842" s="9" t="s">
        <v>687</v>
      </c>
      <c r="D842" s="14" t="s">
        <v>1657</v>
      </c>
      <c r="E842" s="9" t="s">
        <v>11</v>
      </c>
    </row>
    <row r="843" spans="1:5" x14ac:dyDescent="0.25">
      <c r="A843" s="61" t="s">
        <v>1658</v>
      </c>
      <c r="B843" s="61"/>
      <c r="C843" s="61"/>
      <c r="D843" s="61"/>
      <c r="E843" s="61"/>
    </row>
    <row r="844" spans="1:5" outlineLevel="1" x14ac:dyDescent="0.25">
      <c r="A844" s="2"/>
      <c r="B844" s="6" t="s">
        <v>1659</v>
      </c>
      <c r="C844" s="8"/>
      <c r="D844" s="8"/>
      <c r="E844" s="8"/>
    </row>
    <row r="845" spans="1:5" ht="15" customHeight="1" outlineLevel="2" x14ac:dyDescent="0.25">
      <c r="A845" s="3" t="str">
        <f>HYPERLINK("http://mystore1.ru/price_items/search?utf8=%E2%9C%93&amp;oem=3014AGSBL","3014AGSBL")</f>
        <v>3014AGSBL</v>
      </c>
      <c r="B845" s="1" t="s">
        <v>1660</v>
      </c>
      <c r="C845" s="9" t="s">
        <v>1496</v>
      </c>
      <c r="D845" s="14" t="s">
        <v>1661</v>
      </c>
      <c r="E845" s="9" t="s">
        <v>8</v>
      </c>
    </row>
    <row r="846" spans="1:5" ht="15" customHeight="1" outlineLevel="2" x14ac:dyDescent="0.25">
      <c r="A846" s="3" t="str">
        <f>HYPERLINK("http://mystore1.ru/price_items/search?utf8=%E2%9C%93&amp;oem=3014ASMH","3014ASMH")</f>
        <v>3014ASMH</v>
      </c>
      <c r="B846" s="1" t="s">
        <v>1662</v>
      </c>
      <c r="C846" s="9" t="s">
        <v>25</v>
      </c>
      <c r="D846" s="14" t="s">
        <v>1663</v>
      </c>
      <c r="E846" s="9" t="s">
        <v>27</v>
      </c>
    </row>
    <row r="847" spans="1:5" ht="15" customHeight="1" outlineLevel="2" x14ac:dyDescent="0.25">
      <c r="A847" s="3" t="str">
        <f>HYPERLINK("http://mystore1.ru/price_items/search?utf8=%E2%9C%93&amp;oem=3014BGSHW","3014BGSHW")</f>
        <v>3014BGSHW</v>
      </c>
      <c r="B847" s="1" t="s">
        <v>1664</v>
      </c>
      <c r="C847" s="9" t="s">
        <v>1496</v>
      </c>
      <c r="D847" s="14" t="s">
        <v>1665</v>
      </c>
      <c r="E847" s="9" t="s">
        <v>30</v>
      </c>
    </row>
    <row r="848" spans="1:5" ht="15" customHeight="1" outlineLevel="2" x14ac:dyDescent="0.25">
      <c r="A848" s="3" t="str">
        <f>HYPERLINK("http://mystore1.ru/price_items/search?utf8=%E2%9C%93&amp;oem=3014BGSSA","3014BGSSA")</f>
        <v>3014BGSSA</v>
      </c>
      <c r="B848" s="1" t="s">
        <v>1666</v>
      </c>
      <c r="C848" s="9" t="s">
        <v>1496</v>
      </c>
      <c r="D848" s="14" t="s">
        <v>1667</v>
      </c>
      <c r="E848" s="9" t="s">
        <v>30</v>
      </c>
    </row>
    <row r="849" spans="1:5" ht="15" customHeight="1" outlineLevel="2" x14ac:dyDescent="0.25">
      <c r="A849" s="3" t="str">
        <f>HYPERLINK("http://mystore1.ru/price_items/search?utf8=%E2%9C%93&amp;oem=3014LGSH5FD","3014LGSH5FD")</f>
        <v>3014LGSH5FD</v>
      </c>
      <c r="B849" s="1" t="s">
        <v>1668</v>
      </c>
      <c r="C849" s="9" t="s">
        <v>1496</v>
      </c>
      <c r="D849" s="14" t="s">
        <v>1669</v>
      </c>
      <c r="E849" s="9" t="s">
        <v>11</v>
      </c>
    </row>
    <row r="850" spans="1:5" ht="15" customHeight="1" outlineLevel="2" x14ac:dyDescent="0.25">
      <c r="A850" s="3" t="str">
        <f>HYPERLINK("http://mystore1.ru/price_items/search?utf8=%E2%9C%93&amp;oem=3014LGSH5RD","3014LGSH5RD")</f>
        <v>3014LGSH5RD</v>
      </c>
      <c r="B850" s="1" t="s">
        <v>1670</v>
      </c>
      <c r="C850" s="9" t="s">
        <v>1496</v>
      </c>
      <c r="D850" s="14" t="s">
        <v>1671</v>
      </c>
      <c r="E850" s="9" t="s">
        <v>11</v>
      </c>
    </row>
    <row r="851" spans="1:5" ht="15" customHeight="1" outlineLevel="2" x14ac:dyDescent="0.25">
      <c r="A851" s="3" t="str">
        <f>HYPERLINK("http://mystore1.ru/price_items/search?utf8=%E2%9C%93&amp;oem=3014LGSH5RQW","3014LGSH5RQW")</f>
        <v>3014LGSH5RQW</v>
      </c>
      <c r="B851" s="1" t="s">
        <v>1672</v>
      </c>
      <c r="C851" s="9" t="s">
        <v>1496</v>
      </c>
      <c r="D851" s="14" t="s">
        <v>1673</v>
      </c>
      <c r="E851" s="9" t="s">
        <v>11</v>
      </c>
    </row>
    <row r="852" spans="1:5" ht="15" customHeight="1" outlineLevel="2" x14ac:dyDescent="0.25">
      <c r="A852" s="3" t="str">
        <f>HYPERLINK("http://mystore1.ru/price_items/search?utf8=%E2%9C%93&amp;oem=3014LGSS4RD","3014LGSS4RD")</f>
        <v>3014LGSS4RD</v>
      </c>
      <c r="B852" s="1" t="s">
        <v>1674</v>
      </c>
      <c r="C852" s="9" t="s">
        <v>1496</v>
      </c>
      <c r="D852" s="14" t="s">
        <v>1671</v>
      </c>
      <c r="E852" s="9" t="s">
        <v>11</v>
      </c>
    </row>
    <row r="853" spans="1:5" ht="15" customHeight="1" outlineLevel="2" x14ac:dyDescent="0.25">
      <c r="A853" s="3" t="str">
        <f>HYPERLINK("http://mystore1.ru/price_items/search?utf8=%E2%9C%93&amp;oem=3014RGSH5FD","3014RGSH5FD")</f>
        <v>3014RGSH5FD</v>
      </c>
      <c r="B853" s="1" t="s">
        <v>1675</v>
      </c>
      <c r="C853" s="9" t="s">
        <v>1496</v>
      </c>
      <c r="D853" s="14" t="s">
        <v>1676</v>
      </c>
      <c r="E853" s="9" t="s">
        <v>11</v>
      </c>
    </row>
    <row r="854" spans="1:5" ht="15" customHeight="1" outlineLevel="2" x14ac:dyDescent="0.25">
      <c r="A854" s="3" t="str">
        <f>HYPERLINK("http://mystore1.ru/price_items/search?utf8=%E2%9C%93&amp;oem=3014RGSH5RD","3014RGSH5RD")</f>
        <v>3014RGSH5RD</v>
      </c>
      <c r="B854" s="1" t="s">
        <v>1677</v>
      </c>
      <c r="C854" s="9" t="s">
        <v>1496</v>
      </c>
      <c r="D854" s="14" t="s">
        <v>1678</v>
      </c>
      <c r="E854" s="9" t="s">
        <v>11</v>
      </c>
    </row>
    <row r="855" spans="1:5" ht="15" customHeight="1" outlineLevel="2" x14ac:dyDescent="0.25">
      <c r="A855" s="3" t="str">
        <f>HYPERLINK("http://mystore1.ru/price_items/search?utf8=%E2%9C%93&amp;oem=3014RGSH5RQW","3014RGSH5RQW")</f>
        <v>3014RGSH5RQW</v>
      </c>
      <c r="B855" s="1" t="s">
        <v>1679</v>
      </c>
      <c r="C855" s="9" t="s">
        <v>1496</v>
      </c>
      <c r="D855" s="14" t="s">
        <v>1680</v>
      </c>
      <c r="E855" s="9" t="s">
        <v>11</v>
      </c>
    </row>
    <row r="856" spans="1:5" ht="15" customHeight="1" outlineLevel="2" x14ac:dyDescent="0.25">
      <c r="A856" s="3" t="str">
        <f>HYPERLINK("http://mystore1.ru/price_items/search?utf8=%E2%9C%93&amp;oem=3014RGSS4RD","3014RGSS4RD")</f>
        <v>3014RGSS4RD</v>
      </c>
      <c r="B856" s="1" t="s">
        <v>1681</v>
      </c>
      <c r="C856" s="9" t="s">
        <v>1496</v>
      </c>
      <c r="D856" s="14" t="s">
        <v>1678</v>
      </c>
      <c r="E856" s="9" t="s">
        <v>11</v>
      </c>
    </row>
    <row r="857" spans="1:5" outlineLevel="1" x14ac:dyDescent="0.25">
      <c r="A857" s="2"/>
      <c r="B857" s="6" t="s">
        <v>1682</v>
      </c>
      <c r="C857" s="8"/>
      <c r="D857" s="8"/>
      <c r="E857" s="8"/>
    </row>
    <row r="858" spans="1:5" ht="15" customHeight="1" outlineLevel="2" x14ac:dyDescent="0.25">
      <c r="A858" s="3" t="str">
        <f>HYPERLINK("http://mystore1.ru/price_items/search?utf8=%E2%9C%93&amp;oem=3012AGSBL","3012AGSBL")</f>
        <v>3012AGSBL</v>
      </c>
      <c r="B858" s="1" t="s">
        <v>1683</v>
      </c>
      <c r="C858" s="9" t="s">
        <v>1496</v>
      </c>
      <c r="D858" s="14" t="s">
        <v>1684</v>
      </c>
      <c r="E858" s="9" t="s">
        <v>8</v>
      </c>
    </row>
    <row r="859" spans="1:5" ht="15" customHeight="1" outlineLevel="2" x14ac:dyDescent="0.25">
      <c r="A859" s="3" t="str">
        <f>HYPERLINK("http://mystore1.ru/price_items/search?utf8=%E2%9C%93&amp;oem=3012ASMS","3012ASMS")</f>
        <v>3012ASMS</v>
      </c>
      <c r="B859" s="1" t="s">
        <v>1685</v>
      </c>
      <c r="C859" s="9" t="s">
        <v>25</v>
      </c>
      <c r="D859" s="14" t="s">
        <v>1686</v>
      </c>
      <c r="E859" s="9" t="s">
        <v>27</v>
      </c>
    </row>
    <row r="860" spans="1:5" ht="15" customHeight="1" outlineLevel="2" x14ac:dyDescent="0.25">
      <c r="A860" s="3" t="str">
        <f>HYPERLINK("http://mystore1.ru/price_items/search?utf8=%E2%9C%93&amp;oem=3012BGNSA","3012BGNSA")</f>
        <v>3012BGNSA</v>
      </c>
      <c r="B860" s="1" t="s">
        <v>1687</v>
      </c>
      <c r="C860" s="9" t="s">
        <v>1496</v>
      </c>
      <c r="D860" s="14" t="s">
        <v>1688</v>
      </c>
      <c r="E860" s="9" t="s">
        <v>30</v>
      </c>
    </row>
    <row r="861" spans="1:5" ht="15" customHeight="1" outlineLevel="2" x14ac:dyDescent="0.25">
      <c r="A861" s="3" t="str">
        <f>HYPERLINK("http://mystore1.ru/price_items/search?utf8=%E2%9C%93&amp;oem=3012LGNS4FD","3012LGNS4FD")</f>
        <v>3012LGNS4FD</v>
      </c>
      <c r="B861" s="1" t="s">
        <v>1689</v>
      </c>
      <c r="C861" s="9" t="s">
        <v>1496</v>
      </c>
      <c r="D861" s="14" t="s">
        <v>1690</v>
      </c>
      <c r="E861" s="9" t="s">
        <v>11</v>
      </c>
    </row>
    <row r="862" spans="1:5" ht="15" customHeight="1" outlineLevel="2" x14ac:dyDescent="0.25">
      <c r="A862" s="3" t="str">
        <f>HYPERLINK("http://mystore1.ru/price_items/search?utf8=%E2%9C%93&amp;oem=3012LGNS4RD","3012LGNS4RD")</f>
        <v>3012LGNS4RD</v>
      </c>
      <c r="B862" s="1" t="s">
        <v>1691</v>
      </c>
      <c r="C862" s="9" t="s">
        <v>1496</v>
      </c>
      <c r="D862" s="14" t="s">
        <v>1692</v>
      </c>
      <c r="E862" s="9" t="s">
        <v>11</v>
      </c>
    </row>
    <row r="863" spans="1:5" ht="15" customHeight="1" outlineLevel="2" x14ac:dyDescent="0.25">
      <c r="A863" s="3" t="str">
        <f>HYPERLINK("http://mystore1.ru/price_items/search?utf8=%E2%9C%93&amp;oem=3012LGNS4RV","3012LGNS4RV")</f>
        <v>3012LGNS4RV</v>
      </c>
      <c r="B863" s="1" t="s">
        <v>1693</v>
      </c>
      <c r="C863" s="9" t="s">
        <v>1496</v>
      </c>
      <c r="D863" s="14" t="s">
        <v>1694</v>
      </c>
      <c r="E863" s="9" t="s">
        <v>11</v>
      </c>
    </row>
    <row r="864" spans="1:5" ht="15" customHeight="1" outlineLevel="2" x14ac:dyDescent="0.25">
      <c r="A864" s="3" t="str">
        <f>HYPERLINK("http://mystore1.ru/price_items/search?utf8=%E2%9C%93&amp;oem=3012RGNS4FD","3012RGNS4FD")</f>
        <v>3012RGNS4FD</v>
      </c>
      <c r="B864" s="1" t="s">
        <v>1695</v>
      </c>
      <c r="C864" s="9" t="s">
        <v>1496</v>
      </c>
      <c r="D864" s="14" t="s">
        <v>1696</v>
      </c>
      <c r="E864" s="9" t="s">
        <v>11</v>
      </c>
    </row>
    <row r="865" spans="1:5" ht="15" customHeight="1" outlineLevel="2" x14ac:dyDescent="0.25">
      <c r="A865" s="3" t="str">
        <f>HYPERLINK("http://mystore1.ru/price_items/search?utf8=%E2%9C%93&amp;oem=3012RGNS4RD","3012RGNS4RD")</f>
        <v>3012RGNS4RD</v>
      </c>
      <c r="B865" s="1" t="s">
        <v>1697</v>
      </c>
      <c r="C865" s="9" t="s">
        <v>1496</v>
      </c>
      <c r="D865" s="14" t="s">
        <v>1698</v>
      </c>
      <c r="E865" s="9" t="s">
        <v>11</v>
      </c>
    </row>
    <row r="866" spans="1:5" ht="15" customHeight="1" outlineLevel="2" x14ac:dyDescent="0.25">
      <c r="A866" s="3" t="str">
        <f>HYPERLINK("http://mystore1.ru/price_items/search?utf8=%E2%9C%93&amp;oem=3012RGNS4RV","3012RGNS4RV")</f>
        <v>3012RGNS4RV</v>
      </c>
      <c r="B866" s="1" t="s">
        <v>1699</v>
      </c>
      <c r="C866" s="9" t="s">
        <v>1496</v>
      </c>
      <c r="D866" s="14" t="s">
        <v>1700</v>
      </c>
      <c r="E866" s="9" t="s">
        <v>11</v>
      </c>
    </row>
    <row r="867" spans="1:5" outlineLevel="1" x14ac:dyDescent="0.25">
      <c r="A867" s="2"/>
      <c r="B867" s="6" t="s">
        <v>1701</v>
      </c>
      <c r="C867" s="8"/>
      <c r="D867" s="8"/>
      <c r="E867" s="8"/>
    </row>
    <row r="868" spans="1:5" outlineLevel="2" x14ac:dyDescent="0.25">
      <c r="A868" s="3" t="str">
        <f>HYPERLINK("http://mystore1.ru/price_items/search?utf8=%E2%9C%93&amp;oem=3011AGNBL","3011AGNBL")</f>
        <v>3011AGNBL</v>
      </c>
      <c r="B868" s="1" t="s">
        <v>1702</v>
      </c>
      <c r="C868" s="9" t="s">
        <v>1703</v>
      </c>
      <c r="D868" s="14" t="s">
        <v>1704</v>
      </c>
      <c r="E868" s="9" t="s">
        <v>8</v>
      </c>
    </row>
    <row r="869" spans="1:5" outlineLevel="2" x14ac:dyDescent="0.25">
      <c r="A869" s="3" t="str">
        <f>HYPERLINK("http://mystore1.ru/price_items/search?utf8=%E2%9C%93&amp;oem=3011AGNBLM1B","3011AGNBLM1B")</f>
        <v>3011AGNBLM1B</v>
      </c>
      <c r="B869" s="1" t="s">
        <v>1705</v>
      </c>
      <c r="C869" s="9" t="s">
        <v>1042</v>
      </c>
      <c r="D869" s="14" t="s">
        <v>1706</v>
      </c>
      <c r="E869" s="9" t="s">
        <v>8</v>
      </c>
    </row>
    <row r="870" spans="1:5" outlineLevel="2" x14ac:dyDescent="0.25">
      <c r="A870" s="3" t="str">
        <f>HYPERLINK("http://mystore1.ru/price_items/search?utf8=%E2%9C%93&amp;oem=3011ASMV","3011ASMV")</f>
        <v>3011ASMV</v>
      </c>
      <c r="B870" s="1" t="s">
        <v>1707</v>
      </c>
      <c r="C870" s="9" t="s">
        <v>25</v>
      </c>
      <c r="D870" s="14" t="s">
        <v>1708</v>
      </c>
      <c r="E870" s="9" t="s">
        <v>27</v>
      </c>
    </row>
    <row r="871" spans="1:5" outlineLevel="2" x14ac:dyDescent="0.25">
      <c r="A871" s="3" t="str">
        <f>HYPERLINK("http://mystore1.ru/price_items/search?utf8=%E2%9C%93&amp;oem=3011LGNV5FD","3011LGNV5FD")</f>
        <v>3011LGNV5FD</v>
      </c>
      <c r="B871" s="1" t="s">
        <v>1709</v>
      </c>
      <c r="C871" s="9" t="s">
        <v>1703</v>
      </c>
      <c r="D871" s="14" t="s">
        <v>1710</v>
      </c>
      <c r="E871" s="9" t="s">
        <v>11</v>
      </c>
    </row>
    <row r="872" spans="1:5" outlineLevel="2" x14ac:dyDescent="0.25">
      <c r="A872" s="3" t="str">
        <f>HYPERLINK("http://mystore1.ru/price_items/search?utf8=%E2%9C%93&amp;oem=3011LGNV5RD","3011LGNV5RD")</f>
        <v>3011LGNV5RD</v>
      </c>
      <c r="B872" s="1" t="s">
        <v>1711</v>
      </c>
      <c r="C872" s="9" t="s">
        <v>1703</v>
      </c>
      <c r="D872" s="14" t="s">
        <v>1712</v>
      </c>
      <c r="E872" s="9" t="s">
        <v>11</v>
      </c>
    </row>
    <row r="873" spans="1:5" outlineLevel="2" x14ac:dyDescent="0.25">
      <c r="A873" s="3" t="str">
        <f>HYPERLINK("http://mystore1.ru/price_items/search?utf8=%E2%9C%93&amp;oem=3011RGNV5FD","3011RGNV5FD")</f>
        <v>3011RGNV5FD</v>
      </c>
      <c r="B873" s="1" t="s">
        <v>1713</v>
      </c>
      <c r="C873" s="9" t="s">
        <v>1703</v>
      </c>
      <c r="D873" s="14" t="s">
        <v>1714</v>
      </c>
      <c r="E873" s="9" t="s">
        <v>11</v>
      </c>
    </row>
    <row r="874" spans="1:5" outlineLevel="2" x14ac:dyDescent="0.25">
      <c r="A874" s="3" t="str">
        <f>HYPERLINK("http://mystore1.ru/price_items/search?utf8=%E2%9C%93&amp;oem=3011RGNV5RD","3011RGNV5RD")</f>
        <v>3011RGNV5RD</v>
      </c>
      <c r="B874" s="1" t="s">
        <v>1715</v>
      </c>
      <c r="C874" s="9" t="s">
        <v>1703</v>
      </c>
      <c r="D874" s="14" t="s">
        <v>1716</v>
      </c>
      <c r="E874" s="9" t="s">
        <v>11</v>
      </c>
    </row>
    <row r="875" spans="1:5" outlineLevel="2" x14ac:dyDescent="0.25">
      <c r="A875" s="3" t="str">
        <f>HYPERLINK("http://mystore1.ru/price_items/search?utf8=%E2%9C%93&amp;oem=3011BGNVAB","3011BGNVAB")</f>
        <v>3011BGNVAB</v>
      </c>
      <c r="B875" s="1" t="s">
        <v>1717</v>
      </c>
      <c r="C875" s="9" t="s">
        <v>1703</v>
      </c>
      <c r="D875" s="14" t="s">
        <v>1718</v>
      </c>
      <c r="E875" s="9" t="s">
        <v>30</v>
      </c>
    </row>
    <row r="876" spans="1:5" x14ac:dyDescent="0.25">
      <c r="A876" s="61" t="s">
        <v>1719</v>
      </c>
      <c r="B876" s="61"/>
      <c r="C876" s="61"/>
      <c r="D876" s="61"/>
      <c r="E876" s="61"/>
    </row>
    <row r="877" spans="1:5" outlineLevel="1" x14ac:dyDescent="0.25">
      <c r="A877" s="2"/>
      <c r="B877" s="6" t="s">
        <v>1720</v>
      </c>
      <c r="C877" s="8"/>
      <c r="D877" s="8"/>
      <c r="E877" s="8"/>
    </row>
    <row r="878" spans="1:5" ht="15" customHeight="1" outlineLevel="2" x14ac:dyDescent="0.25">
      <c r="A878" s="3" t="str">
        <f>HYPERLINK("http://mystore1.ru/price_items/search?utf8=%E2%9C%93&amp;oem=3022AGSBL","3022AGSBL")</f>
        <v>3022AGSBL</v>
      </c>
      <c r="B878" s="1" t="s">
        <v>1721</v>
      </c>
      <c r="C878" s="9" t="s">
        <v>1722</v>
      </c>
      <c r="D878" s="14" t="s">
        <v>1723</v>
      </c>
      <c r="E878" s="9" t="s">
        <v>8</v>
      </c>
    </row>
    <row r="879" spans="1:5" ht="15" customHeight="1" outlineLevel="2" x14ac:dyDescent="0.25">
      <c r="A879" s="3" t="str">
        <f>HYPERLINK("http://mystore1.ru/price_items/search?utf8=%E2%9C%93&amp;oem=3022ASMS","3022ASMS")</f>
        <v>3022ASMS</v>
      </c>
      <c r="B879" s="1" t="s">
        <v>1724</v>
      </c>
      <c r="C879" s="9" t="s">
        <v>25</v>
      </c>
      <c r="D879" s="14" t="s">
        <v>1725</v>
      </c>
      <c r="E879" s="9" t="s">
        <v>27</v>
      </c>
    </row>
    <row r="880" spans="1:5" ht="15" customHeight="1" outlineLevel="2" x14ac:dyDescent="0.25">
      <c r="A880" s="3" t="str">
        <f>HYPERLINK("http://mystore1.ru/price_items/search?utf8=%E2%9C%93&amp;oem=3022BGSSA","3022BGSSA")</f>
        <v>3022BGSSA</v>
      </c>
      <c r="B880" s="1" t="s">
        <v>1726</v>
      </c>
      <c r="C880" s="9" t="s">
        <v>1722</v>
      </c>
      <c r="D880" s="14" t="s">
        <v>1727</v>
      </c>
      <c r="E880" s="9" t="s">
        <v>30</v>
      </c>
    </row>
    <row r="881" spans="1:5" ht="15" customHeight="1" outlineLevel="2" x14ac:dyDescent="0.25">
      <c r="A881" s="3" t="str">
        <f>HYPERLINK("http://mystore1.ru/price_items/search?utf8=%E2%9C%93&amp;oem=3022LGSS4FD","3022LGSS4FD")</f>
        <v>3022LGSS4FD</v>
      </c>
      <c r="B881" s="1" t="s">
        <v>1728</v>
      </c>
      <c r="C881" s="9" t="s">
        <v>1722</v>
      </c>
      <c r="D881" s="14" t="s">
        <v>1729</v>
      </c>
      <c r="E881" s="9" t="s">
        <v>11</v>
      </c>
    </row>
    <row r="882" spans="1:5" ht="15" customHeight="1" outlineLevel="2" x14ac:dyDescent="0.25">
      <c r="A882" s="3" t="str">
        <f>HYPERLINK("http://mystore1.ru/price_items/search?utf8=%E2%9C%93&amp;oem=3022LGSS4RD","3022LGSS4RD")</f>
        <v>3022LGSS4RD</v>
      </c>
      <c r="B882" s="1" t="s">
        <v>1730</v>
      </c>
      <c r="C882" s="9" t="s">
        <v>1722</v>
      </c>
      <c r="D882" s="14" t="s">
        <v>1731</v>
      </c>
      <c r="E882" s="9" t="s">
        <v>11</v>
      </c>
    </row>
    <row r="883" spans="1:5" ht="15" customHeight="1" outlineLevel="2" x14ac:dyDescent="0.25">
      <c r="A883" s="3" t="str">
        <f>HYPERLINK("http://mystore1.ru/price_items/search?utf8=%E2%9C%93&amp;oem=3022RGSS4FD","3022RGSS4FD")</f>
        <v>3022RGSS4FD</v>
      </c>
      <c r="B883" s="1" t="s">
        <v>1732</v>
      </c>
      <c r="C883" s="9" t="s">
        <v>1722</v>
      </c>
      <c r="D883" s="14" t="s">
        <v>1733</v>
      </c>
      <c r="E883" s="9" t="s">
        <v>11</v>
      </c>
    </row>
    <row r="884" spans="1:5" ht="15" customHeight="1" outlineLevel="2" x14ac:dyDescent="0.25">
      <c r="A884" s="3" t="str">
        <f>HYPERLINK("http://mystore1.ru/price_items/search?utf8=%E2%9C%93&amp;oem=3022RGSS4RD","3022RGSS4RD")</f>
        <v>3022RGSS4RD</v>
      </c>
      <c r="B884" s="1" t="s">
        <v>1734</v>
      </c>
      <c r="C884" s="9" t="s">
        <v>1722</v>
      </c>
      <c r="D884" s="14" t="s">
        <v>1735</v>
      </c>
      <c r="E884" s="9" t="s">
        <v>11</v>
      </c>
    </row>
    <row r="885" spans="1:5" outlineLevel="1" x14ac:dyDescent="0.25">
      <c r="A885" s="2"/>
      <c r="B885" s="6" t="s">
        <v>1736</v>
      </c>
      <c r="C885" s="8"/>
      <c r="D885" s="8"/>
      <c r="E885" s="8"/>
    </row>
    <row r="886" spans="1:5" ht="15" customHeight="1" outlineLevel="2" x14ac:dyDescent="0.25">
      <c r="A886" s="3" t="str">
        <f>HYPERLINK("http://mystore1.ru/price_items/search?utf8=%E2%9C%93&amp;oem=3031AGSBLV","3031AGSBLV")</f>
        <v>3031AGSBLV</v>
      </c>
      <c r="B886" s="1" t="s">
        <v>1737</v>
      </c>
      <c r="C886" s="9" t="s">
        <v>1738</v>
      </c>
      <c r="D886" s="14" t="s">
        <v>1739</v>
      </c>
      <c r="E886" s="9" t="s">
        <v>8</v>
      </c>
    </row>
    <row r="887" spans="1:5" outlineLevel="1" x14ac:dyDescent="0.25">
      <c r="A887" s="2"/>
      <c r="B887" s="6" t="s">
        <v>1740</v>
      </c>
      <c r="C887" s="8"/>
      <c r="D887" s="8"/>
      <c r="E887" s="8"/>
    </row>
    <row r="888" spans="1:5" ht="15" customHeight="1" outlineLevel="2" x14ac:dyDescent="0.25">
      <c r="A888" s="3" t="str">
        <f>HYPERLINK("http://mystore1.ru/price_items/search?utf8=%E2%9C%93&amp;oem=AC26AGNBLV1B","AC26AGNBLV1B")</f>
        <v>AC26AGNBLV1B</v>
      </c>
      <c r="B888" s="1" t="s">
        <v>1741</v>
      </c>
      <c r="C888" s="9" t="s">
        <v>1742</v>
      </c>
      <c r="D888" s="14" t="s">
        <v>1743</v>
      </c>
      <c r="E888" s="9" t="s">
        <v>8</v>
      </c>
    </row>
    <row r="889" spans="1:5" ht="15" customHeight="1" outlineLevel="2" x14ac:dyDescent="0.25">
      <c r="A889" s="3" t="str">
        <f>HYPERLINK("http://mystore1.ru/price_items/search?utf8=%E2%9C%93&amp;oem=AC27AGNBLV","AC27AGNBLV")</f>
        <v>AC27AGNBLV</v>
      </c>
      <c r="B889" s="1" t="s">
        <v>1744</v>
      </c>
      <c r="C889" s="9" t="s">
        <v>1745</v>
      </c>
      <c r="D889" s="14" t="s">
        <v>1746</v>
      </c>
      <c r="E889" s="9" t="s">
        <v>8</v>
      </c>
    </row>
    <row r="890" spans="1:5" outlineLevel="1" x14ac:dyDescent="0.25">
      <c r="A890" s="2"/>
      <c r="B890" s="6" t="s">
        <v>1747</v>
      </c>
      <c r="C890" s="47"/>
      <c r="D890" s="8"/>
      <c r="E890" s="8"/>
    </row>
    <row r="891" spans="1:5" ht="15" customHeight="1" outlineLevel="2" x14ac:dyDescent="0.25">
      <c r="A891" s="3" t="str">
        <f>HYPERLINK("http://mystore1.ru/price_items/search?utf8=%E2%9C%93&amp;oem=AC16AGNBL","AC16AGNBL")</f>
        <v>AC16AGNBL</v>
      </c>
      <c r="B891" s="1" t="s">
        <v>1748</v>
      </c>
      <c r="C891" s="9" t="s">
        <v>1749</v>
      </c>
      <c r="D891" s="14" t="s">
        <v>1750</v>
      </c>
      <c r="E891" s="9" t="s">
        <v>8</v>
      </c>
    </row>
    <row r="892" spans="1:5" outlineLevel="1" x14ac:dyDescent="0.25">
      <c r="A892" s="2"/>
      <c r="B892" s="6" t="s">
        <v>1751</v>
      </c>
      <c r="C892" s="8"/>
      <c r="D892" s="8"/>
      <c r="E892" s="8"/>
    </row>
    <row r="893" spans="1:5" ht="15" customHeight="1" outlineLevel="2" x14ac:dyDescent="0.25">
      <c r="A893" s="3" t="str">
        <f>HYPERLINK("http://mystore1.ru/price_items/search?utf8=%E2%9C%93&amp;oem=AC34AGSBLV","AC34AGSBLV")</f>
        <v>AC34AGSBLV</v>
      </c>
      <c r="B893" s="1" t="s">
        <v>1752</v>
      </c>
      <c r="C893" s="9" t="s">
        <v>1753</v>
      </c>
      <c r="D893" s="14" t="s">
        <v>1754</v>
      </c>
      <c r="E893" s="9" t="s">
        <v>8</v>
      </c>
    </row>
    <row r="894" spans="1:5" outlineLevel="1" x14ac:dyDescent="0.25">
      <c r="A894" s="2"/>
      <c r="B894" s="6" t="s">
        <v>1755</v>
      </c>
      <c r="C894" s="8"/>
      <c r="D894" s="8"/>
      <c r="E894" s="8"/>
    </row>
    <row r="895" spans="1:5" ht="15" customHeight="1" outlineLevel="2" x14ac:dyDescent="0.25">
      <c r="A895" s="3" t="str">
        <f>HYPERLINK("http://mystore1.ru/price_items/search?utf8=%E2%9C%93&amp;oem=AC33AGSBLV","AC33AGSBLV")</f>
        <v>AC33AGSBLV</v>
      </c>
      <c r="B895" s="1" t="s">
        <v>1756</v>
      </c>
      <c r="C895" s="9" t="s">
        <v>1757</v>
      </c>
      <c r="D895" s="14" t="s">
        <v>1758</v>
      </c>
      <c r="E895" s="9" t="s">
        <v>8</v>
      </c>
    </row>
    <row r="896" spans="1:5" outlineLevel="1" x14ac:dyDescent="0.25">
      <c r="A896" s="2"/>
      <c r="B896" s="6" t="s">
        <v>1759</v>
      </c>
      <c r="C896" s="8"/>
      <c r="D896" s="8"/>
      <c r="E896" s="8"/>
    </row>
    <row r="897" spans="1:5" ht="15" customHeight="1" outlineLevel="2" x14ac:dyDescent="0.25">
      <c r="A897" s="3" t="str">
        <f>HYPERLINK("http://mystore1.ru/price_items/search?utf8=%E2%9C%93&amp;oem=3024AGNBLV","3024AGNBLV")</f>
        <v>3024AGNBLV</v>
      </c>
      <c r="B897" s="1" t="s">
        <v>1760</v>
      </c>
      <c r="C897" s="9" t="s">
        <v>687</v>
      </c>
      <c r="D897" s="14" t="s">
        <v>1761</v>
      </c>
      <c r="E897" s="9" t="s">
        <v>8</v>
      </c>
    </row>
    <row r="898" spans="1:5" ht="15" customHeight="1" outlineLevel="2" x14ac:dyDescent="0.25">
      <c r="A898" s="3" t="str">
        <f>HYPERLINK("http://mystore1.ru/price_items/search?utf8=%E2%9C%93&amp;oem=3024AGSBLMV1B","3024AGSBLMV1B")</f>
        <v>3024AGSBLMV1B</v>
      </c>
      <c r="B898" s="1" t="s">
        <v>1762</v>
      </c>
      <c r="C898" s="9" t="s">
        <v>687</v>
      </c>
      <c r="D898" s="14" t="s">
        <v>1763</v>
      </c>
      <c r="E898" s="9" t="s">
        <v>8</v>
      </c>
    </row>
    <row r="899" spans="1:5" ht="15" customHeight="1" outlineLevel="2" x14ac:dyDescent="0.25">
      <c r="A899" s="3" t="str">
        <f>HYPERLINK("http://mystore1.ru/price_items/search?utf8=%E2%9C%93&amp;oem=3024AGNBLV","3024AGNBLV")</f>
        <v>3024AGNBLV</v>
      </c>
      <c r="B899" s="1" t="s">
        <v>1764</v>
      </c>
      <c r="C899" s="9" t="s">
        <v>687</v>
      </c>
      <c r="D899" s="14" t="s">
        <v>1765</v>
      </c>
      <c r="E899" s="9" t="s">
        <v>8</v>
      </c>
    </row>
    <row r="900" spans="1:5" ht="15" customHeight="1" outlineLevel="2" x14ac:dyDescent="0.25">
      <c r="A900" s="3" t="str">
        <f>HYPERLINK("http://mystore1.ru/price_items/search?utf8=%E2%9C%93&amp;oem=3024LGNR5FD","3024LGNR5FD")</f>
        <v>3024LGNR5FD</v>
      </c>
      <c r="B900" s="1" t="s">
        <v>1766</v>
      </c>
      <c r="C900" s="9" t="s">
        <v>687</v>
      </c>
      <c r="D900" s="14" t="s">
        <v>1767</v>
      </c>
      <c r="E900" s="9" t="s">
        <v>11</v>
      </c>
    </row>
    <row r="901" spans="1:5" ht="15" customHeight="1" outlineLevel="2" x14ac:dyDescent="0.25">
      <c r="A901" s="3" t="str">
        <f>HYPERLINK("http://mystore1.ru/price_items/search?utf8=%E2%9C%93&amp;oem=3024LGNR5RD","3024LGNR5RD")</f>
        <v>3024LGNR5RD</v>
      </c>
      <c r="B901" s="1" t="s">
        <v>1768</v>
      </c>
      <c r="C901" s="9" t="s">
        <v>687</v>
      </c>
      <c r="D901" s="14" t="s">
        <v>1769</v>
      </c>
      <c r="E901" s="9" t="s">
        <v>11</v>
      </c>
    </row>
    <row r="902" spans="1:5" ht="15" customHeight="1" outlineLevel="2" x14ac:dyDescent="0.25">
      <c r="A902" s="3" t="str">
        <f>HYPERLINK("http://mystore1.ru/price_items/search?utf8=%E2%9C%93&amp;oem=3024RGNR5FD","3024RGNR5FD")</f>
        <v>3024RGNR5FD</v>
      </c>
      <c r="B902" s="1" t="s">
        <v>1770</v>
      </c>
      <c r="C902" s="9" t="s">
        <v>687</v>
      </c>
      <c r="D902" s="14" t="s">
        <v>1771</v>
      </c>
      <c r="E902" s="9" t="s">
        <v>11</v>
      </c>
    </row>
    <row r="903" spans="1:5" ht="15" customHeight="1" outlineLevel="2" x14ac:dyDescent="0.25">
      <c r="A903" s="3" t="str">
        <f>HYPERLINK("http://mystore1.ru/price_items/search?utf8=%E2%9C%93&amp;oem=3024RGNR5RD","3024RGNR5RD")</f>
        <v>3024RGNR5RD</v>
      </c>
      <c r="B903" s="1" t="s">
        <v>1772</v>
      </c>
      <c r="C903" s="9" t="s">
        <v>687</v>
      </c>
      <c r="D903" s="14" t="s">
        <v>1773</v>
      </c>
      <c r="E903" s="9" t="s">
        <v>11</v>
      </c>
    </row>
    <row r="904" spans="1:5" outlineLevel="1" x14ac:dyDescent="0.25">
      <c r="A904" s="2"/>
      <c r="B904" s="6" t="s">
        <v>1774</v>
      </c>
      <c r="C904" s="8"/>
      <c r="D904" s="8"/>
      <c r="E904" s="8"/>
    </row>
    <row r="905" spans="1:5" ht="15" customHeight="1" outlineLevel="2" x14ac:dyDescent="0.25">
      <c r="A905" s="3" t="str">
        <f>HYPERLINK("http://mystore1.ru/price_items/search?utf8=%E2%9C%93&amp;oem=AC28AGSBLVZ1C","AC28AGSBLVZ1C")</f>
        <v>AC28AGSBLVZ1C</v>
      </c>
      <c r="B905" s="1" t="s">
        <v>1775</v>
      </c>
      <c r="C905" s="9" t="s">
        <v>926</v>
      </c>
      <c r="D905" s="14" t="s">
        <v>1776</v>
      </c>
      <c r="E905" s="9" t="s">
        <v>8</v>
      </c>
    </row>
    <row r="906" spans="1:5" outlineLevel="1" x14ac:dyDescent="0.25">
      <c r="A906" s="2"/>
      <c r="B906" s="6" t="s">
        <v>1777</v>
      </c>
      <c r="C906" s="47"/>
      <c r="D906" s="8"/>
      <c r="E906" s="8"/>
    </row>
    <row r="907" spans="1:5" ht="15" customHeight="1" outlineLevel="2" x14ac:dyDescent="0.25">
      <c r="A907" s="3" t="str">
        <f>HYPERLINK("http://mystore1.ru/price_items/search?utf8=%E2%9C%93&amp;oem=AC39AGSBLV","AC39AGSBLV")</f>
        <v>AC39AGSBLV</v>
      </c>
      <c r="B907" s="1" t="s">
        <v>1778</v>
      </c>
      <c r="C907" s="9" t="s">
        <v>1779</v>
      </c>
      <c r="D907" s="14" t="s">
        <v>1780</v>
      </c>
      <c r="E907" s="9" t="s">
        <v>8</v>
      </c>
    </row>
    <row r="908" spans="1:5" outlineLevel="1" x14ac:dyDescent="0.25">
      <c r="A908" s="2"/>
      <c r="B908" s="6" t="s">
        <v>1781</v>
      </c>
      <c r="C908" s="8"/>
      <c r="D908" s="8"/>
      <c r="E908" s="8"/>
    </row>
    <row r="909" spans="1:5" ht="15" customHeight="1" outlineLevel="2" x14ac:dyDescent="0.25">
      <c r="A909" s="3" t="str">
        <f>HYPERLINK("http://mystore1.ru/price_items/search?utf8=%E2%9C%93&amp;oem=3026AGSBLVI","3026AGSBLVI")</f>
        <v>3026AGSBLVI</v>
      </c>
      <c r="B909" s="1" t="s">
        <v>1782</v>
      </c>
      <c r="C909" s="9" t="s">
        <v>369</v>
      </c>
      <c r="D909" s="14" t="s">
        <v>1783</v>
      </c>
      <c r="E909" s="9" t="s">
        <v>8</v>
      </c>
    </row>
    <row r="910" spans="1:5" outlineLevel="1" x14ac:dyDescent="0.25">
      <c r="A910" s="2"/>
      <c r="B910" s="6" t="s">
        <v>1784</v>
      </c>
      <c r="C910" s="8"/>
      <c r="D910" s="8"/>
      <c r="E910" s="8"/>
    </row>
    <row r="911" spans="1:5" ht="15" customHeight="1" outlineLevel="2" x14ac:dyDescent="0.25">
      <c r="A911" s="3" t="str">
        <f>HYPERLINK("http://mystore1.ru/price_items/search?utf8=%E2%9C%93&amp;oem=3023AGNBL","3023AGNBL")</f>
        <v>3023AGNBL</v>
      </c>
      <c r="B911" s="1" t="s">
        <v>1785</v>
      </c>
      <c r="C911" s="9" t="s">
        <v>1786</v>
      </c>
      <c r="D911" s="14" t="s">
        <v>1787</v>
      </c>
      <c r="E911" s="9" t="s">
        <v>8</v>
      </c>
    </row>
    <row r="912" spans="1:5" ht="15" customHeight="1" outlineLevel="2" x14ac:dyDescent="0.25">
      <c r="A912" s="3" t="str">
        <f>HYPERLINK("http://mystore1.ru/price_items/search?utf8=%E2%9C%93&amp;oem=3023AGNBLH","3023AGNBLH")</f>
        <v>3023AGNBLH</v>
      </c>
      <c r="B912" s="1" t="s">
        <v>1788</v>
      </c>
      <c r="C912" s="9" t="s">
        <v>1786</v>
      </c>
      <c r="D912" s="14" t="s">
        <v>1789</v>
      </c>
      <c r="E912" s="9" t="s">
        <v>8</v>
      </c>
    </row>
    <row r="913" spans="1:5" ht="15" customHeight="1" outlineLevel="2" x14ac:dyDescent="0.25">
      <c r="A913" s="3" t="str">
        <f>HYPERLINK("http://mystore1.ru/price_items/search?utf8=%E2%9C%93&amp;oem=3023AGNBLHM1B","3023AGNBLHM1B")</f>
        <v>3023AGNBLHM1B</v>
      </c>
      <c r="B913" s="1" t="s">
        <v>1790</v>
      </c>
      <c r="C913" s="9" t="s">
        <v>1786</v>
      </c>
      <c r="D913" s="14" t="s">
        <v>1791</v>
      </c>
      <c r="E913" s="9" t="s">
        <v>8</v>
      </c>
    </row>
    <row r="914" spans="1:5" ht="15" customHeight="1" outlineLevel="2" x14ac:dyDescent="0.25">
      <c r="A914" s="3" t="str">
        <f>HYPERLINK("http://mystore1.ru/price_items/search?utf8=%E2%9C%93&amp;oem=3023AGNBLM1B","3023AGNBLM1B")</f>
        <v>3023AGNBLM1B</v>
      </c>
      <c r="B914" s="1" t="s">
        <v>1792</v>
      </c>
      <c r="C914" s="9" t="s">
        <v>1786</v>
      </c>
      <c r="D914" s="14" t="s">
        <v>1793</v>
      </c>
      <c r="E914" s="9" t="s">
        <v>8</v>
      </c>
    </row>
    <row r="915" spans="1:5" ht="15" customHeight="1" outlineLevel="2" x14ac:dyDescent="0.25">
      <c r="A915" s="3" t="str">
        <f>HYPERLINK("http://mystore1.ru/price_items/search?utf8=%E2%9C%93&amp;oem=3023LGNS4FD","3023LGNS4FD")</f>
        <v>3023LGNS4FD</v>
      </c>
      <c r="B915" s="1" t="s">
        <v>1794</v>
      </c>
      <c r="C915" s="9" t="s">
        <v>1786</v>
      </c>
      <c r="D915" s="14" t="s">
        <v>1795</v>
      </c>
      <c r="E915" s="9" t="s">
        <v>11</v>
      </c>
    </row>
    <row r="916" spans="1:5" ht="15" customHeight="1" outlineLevel="2" x14ac:dyDescent="0.25">
      <c r="A916" s="3" t="str">
        <f>HYPERLINK("http://mystore1.ru/price_items/search?utf8=%E2%9C%93&amp;oem=3023LGSS4RD","3023LGSS4RD")</f>
        <v>3023LGSS4RD</v>
      </c>
      <c r="B916" s="1" t="s">
        <v>1796</v>
      </c>
      <c r="C916" s="9" t="s">
        <v>1786</v>
      </c>
      <c r="D916" s="14" t="s">
        <v>1797</v>
      </c>
      <c r="E916" s="9" t="s">
        <v>11</v>
      </c>
    </row>
    <row r="917" spans="1:5" ht="15" customHeight="1" outlineLevel="2" x14ac:dyDescent="0.25">
      <c r="A917" s="3" t="str">
        <f>HYPERLINK("http://mystore1.ru/price_items/search?utf8=%E2%9C%93&amp;oem=3023RGNS4FD","3023RGNS4FD")</f>
        <v>3023RGNS4FD</v>
      </c>
      <c r="B917" s="1" t="s">
        <v>1798</v>
      </c>
      <c r="C917" s="9" t="s">
        <v>1786</v>
      </c>
      <c r="D917" s="14" t="s">
        <v>1799</v>
      </c>
      <c r="E917" s="9" t="s">
        <v>11</v>
      </c>
    </row>
    <row r="918" spans="1:5" ht="15" customHeight="1" outlineLevel="2" x14ac:dyDescent="0.25">
      <c r="A918" s="3" t="str">
        <f>HYPERLINK("http://mystore1.ru/price_items/search?utf8=%E2%9C%93&amp;oem=3023RGSS4RD","3023RGSS4RD")</f>
        <v>3023RGSS4RD</v>
      </c>
      <c r="B918" s="1" t="s">
        <v>1800</v>
      </c>
      <c r="C918" s="9" t="s">
        <v>1786</v>
      </c>
      <c r="D918" s="14" t="s">
        <v>1801</v>
      </c>
      <c r="E918" s="9" t="s">
        <v>11</v>
      </c>
    </row>
    <row r="919" spans="1:5" outlineLevel="1" x14ac:dyDescent="0.25">
      <c r="A919" s="2"/>
      <c r="B919" s="6" t="s">
        <v>1802</v>
      </c>
      <c r="C919" s="8"/>
      <c r="D919" s="8"/>
      <c r="E919" s="8"/>
    </row>
    <row r="920" spans="1:5" ht="15" customHeight="1" outlineLevel="2" x14ac:dyDescent="0.25">
      <c r="A920" s="3" t="str">
        <f>HYPERLINK("http://mystore1.ru/price_items/search?utf8=%E2%9C%93&amp;oem=AC40AGSBL1C","AC40AGSBL1C")</f>
        <v>AC40AGSBL1C</v>
      </c>
      <c r="B920" s="1" t="s">
        <v>1803</v>
      </c>
      <c r="C920" s="9" t="s">
        <v>1804</v>
      </c>
      <c r="D920" s="14" t="s">
        <v>1805</v>
      </c>
      <c r="E920" s="9" t="s">
        <v>8</v>
      </c>
    </row>
    <row r="921" spans="1:5" outlineLevel="1" x14ac:dyDescent="0.25">
      <c r="A921" s="2"/>
      <c r="B921" s="6" t="s">
        <v>1806</v>
      </c>
      <c r="C921" s="8"/>
      <c r="D921" s="8"/>
      <c r="E921" s="8"/>
    </row>
    <row r="922" spans="1:5" ht="15" customHeight="1" outlineLevel="2" x14ac:dyDescent="0.25">
      <c r="A922" s="3" t="str">
        <f>HYPERLINK("http://mystore1.ru/price_items/search?utf8=%E2%9C%93&amp;oem=3016AGNBL","3016AGNBL")</f>
        <v>3016AGNBL</v>
      </c>
      <c r="B922" s="1" t="s">
        <v>1807</v>
      </c>
      <c r="C922" s="9" t="s">
        <v>1408</v>
      </c>
      <c r="D922" s="14" t="s">
        <v>1808</v>
      </c>
      <c r="E922" s="9" t="s">
        <v>8</v>
      </c>
    </row>
    <row r="923" spans="1:5" ht="15" customHeight="1" outlineLevel="2" x14ac:dyDescent="0.25">
      <c r="A923" s="3" t="str">
        <f>HYPERLINK("http://mystore1.ru/price_items/search?utf8=%E2%9C%93&amp;oem=3016AGNBLA","3016AGNBLA")</f>
        <v>3016AGNBLA</v>
      </c>
      <c r="B923" s="1" t="s">
        <v>1809</v>
      </c>
      <c r="C923" s="9" t="s">
        <v>747</v>
      </c>
      <c r="D923" s="14" t="s">
        <v>1810</v>
      </c>
      <c r="E923" s="9" t="s">
        <v>8</v>
      </c>
    </row>
    <row r="924" spans="1:5" ht="15" customHeight="1" outlineLevel="2" x14ac:dyDescent="0.25">
      <c r="A924" s="3" t="str">
        <f>HYPERLINK("http://mystore1.ru/price_items/search?utf8=%E2%9C%93&amp;oem=3016AGNBLAM1B","3016AGNBLAM1B")</f>
        <v>3016AGNBLAM1B</v>
      </c>
      <c r="B924" s="1" t="s">
        <v>1811</v>
      </c>
      <c r="C924" s="9" t="s">
        <v>747</v>
      </c>
      <c r="D924" s="14" t="s">
        <v>1812</v>
      </c>
      <c r="E924" s="9" t="s">
        <v>8</v>
      </c>
    </row>
    <row r="925" spans="1:5" ht="15" customHeight="1" outlineLevel="2" x14ac:dyDescent="0.25">
      <c r="A925" s="3" t="str">
        <f>HYPERLINK("http://mystore1.ru/price_items/search?utf8=%E2%9C%93&amp;oem=3016AGNBLM1B","3016AGNBLM1B")</f>
        <v>3016AGNBLM1B</v>
      </c>
      <c r="B925" s="1" t="s">
        <v>1813</v>
      </c>
      <c r="C925" s="9" t="s">
        <v>1408</v>
      </c>
      <c r="D925" s="14" t="s">
        <v>1814</v>
      </c>
      <c r="E925" s="9" t="s">
        <v>8</v>
      </c>
    </row>
    <row r="926" spans="1:5" ht="15" customHeight="1" outlineLevel="2" x14ac:dyDescent="0.25">
      <c r="A926" s="3" t="str">
        <f>HYPERLINK("http://mystore1.ru/price_items/search?utf8=%E2%9C%93&amp;oem=3016ASMS","3016ASMS")</f>
        <v>3016ASMS</v>
      </c>
      <c r="B926" s="1" t="s">
        <v>1815</v>
      </c>
      <c r="C926" s="9" t="s">
        <v>25</v>
      </c>
      <c r="D926" s="14" t="s">
        <v>1816</v>
      </c>
      <c r="E926" s="9" t="s">
        <v>27</v>
      </c>
    </row>
    <row r="927" spans="1:5" ht="15" customHeight="1" outlineLevel="2" x14ac:dyDescent="0.25">
      <c r="A927" s="3" t="str">
        <f>HYPERLINK("http://mystore1.ru/price_items/search?utf8=%E2%9C%93&amp;oem=3016ASMH","3016ASMH")</f>
        <v>3016ASMH</v>
      </c>
      <c r="B927" s="1" t="s">
        <v>1817</v>
      </c>
      <c r="C927" s="9" t="s">
        <v>25</v>
      </c>
      <c r="D927" s="14" t="s">
        <v>1818</v>
      </c>
      <c r="E927" s="9" t="s">
        <v>27</v>
      </c>
    </row>
    <row r="928" spans="1:5" ht="15" customHeight="1" outlineLevel="2" x14ac:dyDescent="0.25">
      <c r="A928" s="3" t="str">
        <f>HYPERLINK("http://mystore1.ru/price_items/search?utf8=%E2%9C%93&amp;oem=3016BGNEW","3016BGNEW")</f>
        <v>3016BGNEW</v>
      </c>
      <c r="B928" s="1" t="s">
        <v>1819</v>
      </c>
      <c r="C928" s="9" t="s">
        <v>747</v>
      </c>
      <c r="D928" s="14" t="s">
        <v>1820</v>
      </c>
      <c r="E928" s="9" t="s">
        <v>30</v>
      </c>
    </row>
    <row r="929" spans="1:5" ht="15" customHeight="1" outlineLevel="2" x14ac:dyDescent="0.25">
      <c r="A929" s="3" t="str">
        <f>HYPERLINK("http://mystore1.ru/price_items/search?utf8=%E2%9C%93&amp;oem=3016BGNHW","3016BGNHW")</f>
        <v>3016BGNHW</v>
      </c>
      <c r="B929" s="1" t="s">
        <v>1821</v>
      </c>
      <c r="C929" s="9" t="s">
        <v>747</v>
      </c>
      <c r="D929" s="14" t="s">
        <v>1822</v>
      </c>
      <c r="E929" s="9" t="s">
        <v>30</v>
      </c>
    </row>
    <row r="930" spans="1:5" ht="15" customHeight="1" outlineLevel="2" x14ac:dyDescent="0.25">
      <c r="A930" s="3" t="str">
        <f>HYPERLINK("http://mystore1.ru/price_items/search?utf8=%E2%9C%93&amp;oem=3016LGNE5RD","3016LGNE5RD")</f>
        <v>3016LGNE5RD</v>
      </c>
      <c r="B930" s="1" t="s">
        <v>1823</v>
      </c>
      <c r="C930" s="9" t="s">
        <v>747</v>
      </c>
      <c r="D930" s="14" t="s">
        <v>1824</v>
      </c>
      <c r="E930" s="9" t="s">
        <v>11</v>
      </c>
    </row>
    <row r="931" spans="1:5" ht="15" customHeight="1" outlineLevel="2" x14ac:dyDescent="0.25">
      <c r="A931" s="3" t="str">
        <f>HYPERLINK("http://mystore1.ru/price_items/search?utf8=%E2%9C%93&amp;oem=3016LGNE5RQ","3016LGNE5RQ")</f>
        <v>3016LGNE5RQ</v>
      </c>
      <c r="B931" s="1" t="s">
        <v>1825</v>
      </c>
      <c r="C931" s="9" t="s">
        <v>747</v>
      </c>
      <c r="D931" s="14" t="s">
        <v>1826</v>
      </c>
      <c r="E931" s="9" t="s">
        <v>11</v>
      </c>
    </row>
    <row r="932" spans="1:5" ht="15" customHeight="1" outlineLevel="2" x14ac:dyDescent="0.25">
      <c r="A932" s="3" t="str">
        <f>HYPERLINK("http://mystore1.ru/price_items/search?utf8=%E2%9C%93&amp;oem=3016LGNH5RD","3016LGNH5RD")</f>
        <v>3016LGNH5RD</v>
      </c>
      <c r="B932" s="1" t="s">
        <v>1827</v>
      </c>
      <c r="C932" s="9" t="s">
        <v>747</v>
      </c>
      <c r="D932" s="14" t="s">
        <v>1828</v>
      </c>
      <c r="E932" s="9" t="s">
        <v>11</v>
      </c>
    </row>
    <row r="933" spans="1:5" ht="15" customHeight="1" outlineLevel="2" x14ac:dyDescent="0.25">
      <c r="A933" s="3" t="str">
        <f>HYPERLINK("http://mystore1.ru/price_items/search?utf8=%E2%9C%93&amp;oem=3016LGNS4FD","3016LGNS4FD")</f>
        <v>3016LGNS4FD</v>
      </c>
      <c r="B933" s="1" t="s">
        <v>1829</v>
      </c>
      <c r="C933" s="9" t="s">
        <v>1408</v>
      </c>
      <c r="D933" s="14" t="s">
        <v>1830</v>
      </c>
      <c r="E933" s="9" t="s">
        <v>11</v>
      </c>
    </row>
    <row r="934" spans="1:5" ht="15" customHeight="1" outlineLevel="2" x14ac:dyDescent="0.25">
      <c r="A934" s="3" t="str">
        <f>HYPERLINK("http://mystore1.ru/price_items/search?utf8=%E2%9C%93&amp;oem=3016LGNS4RD","3016LGNS4RD")</f>
        <v>3016LGNS4RD</v>
      </c>
      <c r="B934" s="1" t="s">
        <v>1831</v>
      </c>
      <c r="C934" s="9" t="s">
        <v>1408</v>
      </c>
      <c r="D934" s="14" t="s">
        <v>1832</v>
      </c>
      <c r="E934" s="9" t="s">
        <v>11</v>
      </c>
    </row>
    <row r="935" spans="1:5" ht="15" customHeight="1" outlineLevel="2" x14ac:dyDescent="0.25">
      <c r="A935" s="3" t="str">
        <f>HYPERLINK("http://mystore1.ru/price_items/search?utf8=%E2%9C%93&amp;oem=3016RGNE5RD","3016RGNE5RD")</f>
        <v>3016RGNE5RD</v>
      </c>
      <c r="B935" s="1" t="s">
        <v>1833</v>
      </c>
      <c r="C935" s="9" t="s">
        <v>747</v>
      </c>
      <c r="D935" s="14" t="s">
        <v>1834</v>
      </c>
      <c r="E935" s="9" t="s">
        <v>11</v>
      </c>
    </row>
    <row r="936" spans="1:5" ht="15" customHeight="1" outlineLevel="2" x14ac:dyDescent="0.25">
      <c r="A936" s="3" t="str">
        <f>HYPERLINK("http://mystore1.ru/price_items/search?utf8=%E2%9C%93&amp;oem=3016RGNE5RQ","3016RGNE5RQ")</f>
        <v>3016RGNE5RQ</v>
      </c>
      <c r="B936" s="1" t="s">
        <v>1835</v>
      </c>
      <c r="C936" s="9" t="s">
        <v>747</v>
      </c>
      <c r="D936" s="14" t="s">
        <v>1836</v>
      </c>
      <c r="E936" s="9" t="s">
        <v>11</v>
      </c>
    </row>
    <row r="937" spans="1:5" ht="15" customHeight="1" outlineLevel="2" x14ac:dyDescent="0.25">
      <c r="A937" s="3" t="str">
        <f>HYPERLINK("http://mystore1.ru/price_items/search?utf8=%E2%9C%93&amp;oem=3016RGNH5RD","3016RGNH5RD")</f>
        <v>3016RGNH5RD</v>
      </c>
      <c r="B937" s="1" t="s">
        <v>1837</v>
      </c>
      <c r="C937" s="9" t="s">
        <v>747</v>
      </c>
      <c r="D937" s="14" t="s">
        <v>1838</v>
      </c>
      <c r="E937" s="9" t="s">
        <v>11</v>
      </c>
    </row>
    <row r="938" spans="1:5" ht="15" customHeight="1" outlineLevel="2" x14ac:dyDescent="0.25">
      <c r="A938" s="3" t="str">
        <f>HYPERLINK("http://mystore1.ru/price_items/search?utf8=%E2%9C%93&amp;oem=3016RGNS4FD","3016RGNS4FD")</f>
        <v>3016RGNS4FD</v>
      </c>
      <c r="B938" s="1" t="s">
        <v>1839</v>
      </c>
      <c r="C938" s="9" t="s">
        <v>1408</v>
      </c>
      <c r="D938" s="14" t="s">
        <v>1840</v>
      </c>
      <c r="E938" s="9" t="s">
        <v>11</v>
      </c>
    </row>
    <row r="939" spans="1:5" ht="15" customHeight="1" outlineLevel="2" x14ac:dyDescent="0.25">
      <c r="A939" s="3" t="str">
        <f>HYPERLINK("http://mystore1.ru/price_items/search?utf8=%E2%9C%93&amp;oem=3016RGNS4RD","3016RGNS4RD")</f>
        <v>3016RGNS4RD</v>
      </c>
      <c r="B939" s="1" t="s">
        <v>1841</v>
      </c>
      <c r="C939" s="9" t="s">
        <v>1408</v>
      </c>
      <c r="D939" s="14" t="s">
        <v>1842</v>
      </c>
      <c r="E939" s="9" t="s">
        <v>11</v>
      </c>
    </row>
    <row r="940" spans="1:5" outlineLevel="1" x14ac:dyDescent="0.25">
      <c r="A940" s="2"/>
      <c r="B940" s="6" t="s">
        <v>1843</v>
      </c>
      <c r="C940" s="8"/>
      <c r="D940" s="8"/>
      <c r="E940" s="8"/>
    </row>
    <row r="941" spans="1:5" ht="15" customHeight="1" outlineLevel="2" x14ac:dyDescent="0.25">
      <c r="A941" s="3" t="str">
        <f>HYPERLINK("http://mystore1.ru/price_items/search?utf8=%E2%9C%93&amp;oem=3017ACL","3017ACL")</f>
        <v>3017ACL</v>
      </c>
      <c r="B941" s="1" t="s">
        <v>1844</v>
      </c>
      <c r="C941" s="9" t="s">
        <v>1607</v>
      </c>
      <c r="D941" s="14" t="s">
        <v>1845</v>
      </c>
      <c r="E941" s="9" t="s">
        <v>8</v>
      </c>
    </row>
    <row r="942" spans="1:5" ht="15" customHeight="1" outlineLevel="2" x14ac:dyDescent="0.25">
      <c r="A942" s="3" t="str">
        <f>HYPERLINK("http://mystore1.ru/price_items/search?utf8=%E2%9C%93&amp;oem=3017AGNBL","3017AGNBL")</f>
        <v>3017AGNBL</v>
      </c>
      <c r="B942" s="1" t="s">
        <v>1846</v>
      </c>
      <c r="C942" s="9" t="s">
        <v>1629</v>
      </c>
      <c r="D942" s="14" t="s">
        <v>1847</v>
      </c>
      <c r="E942" s="9" t="s">
        <v>8</v>
      </c>
    </row>
    <row r="943" spans="1:5" ht="15" customHeight="1" outlineLevel="2" x14ac:dyDescent="0.25">
      <c r="A943" s="3" t="str">
        <f>HYPERLINK("http://mystore1.ru/price_items/search?utf8=%E2%9C%93&amp;oem=3017ASMH","3017ASMH")</f>
        <v>3017ASMH</v>
      </c>
      <c r="B943" s="1" t="s">
        <v>1848</v>
      </c>
      <c r="C943" s="9" t="s">
        <v>25</v>
      </c>
      <c r="D943" s="14" t="s">
        <v>1849</v>
      </c>
      <c r="E943" s="9" t="s">
        <v>27</v>
      </c>
    </row>
    <row r="944" spans="1:5" ht="15" customHeight="1" outlineLevel="2" x14ac:dyDescent="0.25">
      <c r="A944" s="3" t="str">
        <f>HYPERLINK("http://mystore1.ru/price_items/search?utf8=%E2%9C%93&amp;oem=3017BGNHB","3017BGNHB")</f>
        <v>3017BGNHB</v>
      </c>
      <c r="B944" s="1" t="s">
        <v>1850</v>
      </c>
      <c r="C944" s="9" t="s">
        <v>1629</v>
      </c>
      <c r="D944" s="14" t="s">
        <v>1851</v>
      </c>
      <c r="E944" s="9" t="s">
        <v>30</v>
      </c>
    </row>
    <row r="945" spans="1:5" ht="15" customHeight="1" outlineLevel="2" x14ac:dyDescent="0.25">
      <c r="A945" s="3" t="str">
        <f>HYPERLINK("http://mystore1.ru/price_items/search?utf8=%E2%9C%93&amp;oem=3017BGNHB1H","3017BGNHB1H")</f>
        <v>3017BGNHB1H</v>
      </c>
      <c r="B945" s="1" t="s">
        <v>1852</v>
      </c>
      <c r="C945" s="9" t="s">
        <v>1629</v>
      </c>
      <c r="D945" s="14" t="s">
        <v>1853</v>
      </c>
      <c r="E945" s="9" t="s">
        <v>30</v>
      </c>
    </row>
    <row r="946" spans="1:5" ht="15" customHeight="1" outlineLevel="2" x14ac:dyDescent="0.25">
      <c r="A946" s="3" t="str">
        <f>HYPERLINK("http://mystore1.ru/price_items/search?utf8=%E2%9C%93&amp;oem=3017LCLH5FD","3017LCLH5FD")</f>
        <v>3017LCLH5FD</v>
      </c>
      <c r="B946" s="1" t="s">
        <v>1854</v>
      </c>
      <c r="C946" s="9" t="s">
        <v>1629</v>
      </c>
      <c r="D946" s="14" t="s">
        <v>1855</v>
      </c>
      <c r="E946" s="9" t="s">
        <v>11</v>
      </c>
    </row>
    <row r="947" spans="1:5" ht="15" customHeight="1" outlineLevel="2" x14ac:dyDescent="0.25">
      <c r="A947" s="3" t="str">
        <f>HYPERLINK("http://mystore1.ru/price_items/search?utf8=%E2%9C%93&amp;oem=3017LCLH5RD","3017LCLH5RD")</f>
        <v>3017LCLH5RD</v>
      </c>
      <c r="B947" s="1" t="s">
        <v>1856</v>
      </c>
      <c r="C947" s="9" t="s">
        <v>1629</v>
      </c>
      <c r="D947" s="14" t="s">
        <v>1857</v>
      </c>
      <c r="E947" s="9" t="s">
        <v>11</v>
      </c>
    </row>
    <row r="948" spans="1:5" ht="15" customHeight="1" outlineLevel="2" x14ac:dyDescent="0.25">
      <c r="A948" s="3" t="str">
        <f>HYPERLINK("http://mystore1.ru/price_items/search?utf8=%E2%9C%93&amp;oem=3017LGNH5FD","3017LGNH5FD")</f>
        <v>3017LGNH5FD</v>
      </c>
      <c r="B948" s="1" t="s">
        <v>1858</v>
      </c>
      <c r="C948" s="9" t="s">
        <v>1629</v>
      </c>
      <c r="D948" s="14" t="s">
        <v>1859</v>
      </c>
      <c r="E948" s="9" t="s">
        <v>11</v>
      </c>
    </row>
    <row r="949" spans="1:5" ht="15" customHeight="1" outlineLevel="2" x14ac:dyDescent="0.25">
      <c r="A949" s="3" t="str">
        <f>HYPERLINK("http://mystore1.ru/price_items/search?utf8=%E2%9C%93&amp;oem=3017LGNH5RD","3017LGNH5RD")</f>
        <v>3017LGNH5RD</v>
      </c>
      <c r="B949" s="1" t="s">
        <v>1860</v>
      </c>
      <c r="C949" s="9" t="s">
        <v>1629</v>
      </c>
      <c r="D949" s="14" t="s">
        <v>1861</v>
      </c>
      <c r="E949" s="9" t="s">
        <v>11</v>
      </c>
    </row>
    <row r="950" spans="1:5" ht="15" customHeight="1" outlineLevel="2" x14ac:dyDescent="0.25">
      <c r="A950" s="3" t="str">
        <f>HYPERLINK("http://mystore1.ru/price_items/search?utf8=%E2%9C%93&amp;oem=3017RCLH5RD","3017RCLH5RD")</f>
        <v>3017RCLH5RD</v>
      </c>
      <c r="B950" s="1" t="s">
        <v>1862</v>
      </c>
      <c r="C950" s="9" t="s">
        <v>1629</v>
      </c>
      <c r="D950" s="14" t="s">
        <v>1863</v>
      </c>
      <c r="E950" s="9" t="s">
        <v>11</v>
      </c>
    </row>
    <row r="951" spans="1:5" ht="15" customHeight="1" outlineLevel="2" x14ac:dyDescent="0.25">
      <c r="A951" s="3" t="str">
        <f>HYPERLINK("http://mystore1.ru/price_items/search?utf8=%E2%9C%93&amp;oem=3017RGNH5FD","3017RGNH5FD")</f>
        <v>3017RGNH5FD</v>
      </c>
      <c r="B951" s="1" t="s">
        <v>1864</v>
      </c>
      <c r="C951" s="9" t="s">
        <v>1629</v>
      </c>
      <c r="D951" s="14" t="s">
        <v>1865</v>
      </c>
      <c r="E951" s="9" t="s">
        <v>11</v>
      </c>
    </row>
    <row r="952" spans="1:5" ht="15" customHeight="1" outlineLevel="2" x14ac:dyDescent="0.25">
      <c r="A952" s="3" t="str">
        <f>HYPERLINK("http://mystore1.ru/price_items/search?utf8=%E2%9C%93&amp;oem=3017RGNH5RD","3017RGNH5RD")</f>
        <v>3017RGNH5RD</v>
      </c>
      <c r="B952" s="1" t="s">
        <v>1866</v>
      </c>
      <c r="C952" s="9" t="s">
        <v>1629</v>
      </c>
      <c r="D952" s="14" t="s">
        <v>1867</v>
      </c>
      <c r="E952" s="9" t="s">
        <v>11</v>
      </c>
    </row>
    <row r="953" spans="1:5" ht="15" customHeight="1" outlineLevel="2" x14ac:dyDescent="0.25">
      <c r="A953" s="3" t="str">
        <f>HYPERLINK("http://mystore1.ru/price_items/search?utf8=%E2%9C%93&amp;oem=3017RCLH5FD","3017RCLH5FD")</f>
        <v>3017RCLH5FD</v>
      </c>
      <c r="B953" s="1" t="s">
        <v>1868</v>
      </c>
      <c r="C953" s="9" t="s">
        <v>1607</v>
      </c>
      <c r="D953" s="14" t="s">
        <v>1869</v>
      </c>
      <c r="E953" s="9" t="s">
        <v>11</v>
      </c>
    </row>
    <row r="954" spans="1:5" outlineLevel="1" x14ac:dyDescent="0.25">
      <c r="A954" s="2"/>
      <c r="B954" s="6" t="s">
        <v>1870</v>
      </c>
      <c r="C954" s="8"/>
      <c r="D954" s="8"/>
      <c r="E954" s="8"/>
    </row>
    <row r="955" spans="1:5" ht="15" customHeight="1" outlineLevel="2" x14ac:dyDescent="0.25">
      <c r="A955" s="3" t="str">
        <f>HYPERLINK("http://mystore1.ru/price_items/search?utf8=%E2%9C%93&amp;oem=3028AGNBLHV","3028AGNBLHV")</f>
        <v>3028AGNBLHV</v>
      </c>
      <c r="B955" s="1" t="s">
        <v>1871</v>
      </c>
      <c r="C955" s="9" t="s">
        <v>601</v>
      </c>
      <c r="D955" s="14" t="s">
        <v>1872</v>
      </c>
      <c r="E955" s="9" t="s">
        <v>8</v>
      </c>
    </row>
    <row r="956" spans="1:5" ht="15" customHeight="1" outlineLevel="2" x14ac:dyDescent="0.25">
      <c r="A956" s="3" t="str">
        <f>HYPERLINK("http://mystore1.ru/price_items/search?utf8=%E2%9C%93&amp;oem=3028AGNV","3028AGNV")</f>
        <v>3028AGNV</v>
      </c>
      <c r="B956" s="1" t="s">
        <v>1873</v>
      </c>
      <c r="C956" s="9" t="s">
        <v>601</v>
      </c>
      <c r="D956" s="14" t="s">
        <v>1874</v>
      </c>
      <c r="E956" s="9" t="s">
        <v>8</v>
      </c>
    </row>
    <row r="957" spans="1:5" outlineLevel="1" x14ac:dyDescent="0.25">
      <c r="A957" s="2"/>
      <c r="B957" s="6" t="s">
        <v>1875</v>
      </c>
      <c r="C957" s="8"/>
      <c r="D957" s="8"/>
      <c r="E957" s="8"/>
    </row>
    <row r="958" spans="1:5" ht="15" customHeight="1" outlineLevel="2" x14ac:dyDescent="0.25">
      <c r="A958" s="3" t="str">
        <f>HYPERLINK("http://mystore1.ru/price_items/search?utf8=%E2%9C%93&amp;oem=AC79AGSW","AC79AGSW")</f>
        <v>AC79AGSW</v>
      </c>
      <c r="B958" s="1" t="s">
        <v>1876</v>
      </c>
      <c r="C958" s="9" t="s">
        <v>511</v>
      </c>
      <c r="D958" s="14" t="s">
        <v>1877</v>
      </c>
      <c r="E958" s="9" t="s">
        <v>8</v>
      </c>
    </row>
    <row r="959" spans="1:5" outlineLevel="1" x14ac:dyDescent="0.25">
      <c r="A959" s="2"/>
      <c r="B959" s="6" t="s">
        <v>1878</v>
      </c>
      <c r="C959" s="8"/>
      <c r="D959" s="8"/>
      <c r="E959" s="8"/>
    </row>
    <row r="960" spans="1:5" ht="15" customHeight="1" outlineLevel="2" x14ac:dyDescent="0.25">
      <c r="A960" s="3" t="str">
        <f>HYPERLINK("http://mystore1.ru/price_items/search?utf8=%E2%9C%93&amp;oem=AC69AGSBL1B","AC69AGSBL1B")</f>
        <v>AC69AGSBL1B</v>
      </c>
      <c r="B960" s="1" t="s">
        <v>1879</v>
      </c>
      <c r="C960" s="9" t="s">
        <v>1880</v>
      </c>
      <c r="D960" s="14" t="s">
        <v>1881</v>
      </c>
      <c r="E960" s="9" t="s">
        <v>8</v>
      </c>
    </row>
    <row r="961" spans="1:5" ht="15" customHeight="1" outlineLevel="2" x14ac:dyDescent="0.25">
      <c r="A961" s="3" t="str">
        <f>HYPERLINK("http://mystore1.ru/price_items/search?utf8=%E2%9C%93&amp;oem=AC69AGSBLZ","AC69AGSBLZ")</f>
        <v>AC69AGSBLZ</v>
      </c>
      <c r="B961" s="1" t="s">
        <v>1882</v>
      </c>
      <c r="C961" s="9" t="s">
        <v>1499</v>
      </c>
      <c r="D961" s="14" t="s">
        <v>1883</v>
      </c>
      <c r="E961" s="9" t="s">
        <v>8</v>
      </c>
    </row>
    <row r="962" spans="1:5" ht="15" customHeight="1" outlineLevel="2" x14ac:dyDescent="0.25">
      <c r="A962" s="3" t="str">
        <f>HYPERLINK("http://mystore1.ru/price_items/search?utf8=%E2%9C%93&amp;oem=AC69LGSR5FD","AC69LGSR5FD")</f>
        <v>AC69LGSR5FD</v>
      </c>
      <c r="B962" s="1" t="s">
        <v>1884</v>
      </c>
      <c r="C962" s="9" t="s">
        <v>1499</v>
      </c>
      <c r="D962" s="14" t="s">
        <v>1885</v>
      </c>
      <c r="E962" s="9" t="s">
        <v>11</v>
      </c>
    </row>
    <row r="963" spans="1:5" outlineLevel="1" x14ac:dyDescent="0.25">
      <c r="A963" s="2"/>
      <c r="B963" s="6" t="s">
        <v>1886</v>
      </c>
      <c r="C963" s="8"/>
      <c r="D963" s="8"/>
      <c r="E963" s="8"/>
    </row>
    <row r="964" spans="1:5" outlineLevel="2" x14ac:dyDescent="0.25">
      <c r="A964" s="3" t="str">
        <f>HYPERLINK("http://mystore1.ru/price_items/search?utf8=%E2%9C%93&amp;oem=AC77AGSBL","AC77AGSBL")</f>
        <v>AC77AGSBL</v>
      </c>
      <c r="B964" s="1" t="s">
        <v>1887</v>
      </c>
      <c r="C964" s="9" t="s">
        <v>1888</v>
      </c>
      <c r="D964" s="14" t="s">
        <v>1889</v>
      </c>
      <c r="E964" s="9" t="s">
        <v>8</v>
      </c>
    </row>
    <row r="965" spans="1:5" outlineLevel="2" x14ac:dyDescent="0.25">
      <c r="A965" s="3" t="str">
        <f>HYPERLINK("http://mystore1.ru/price_items/search?utf8=%E2%9C%93&amp;oem=AC77AGSBLM","AC77AGSBLM")</f>
        <v>AC77AGSBLM</v>
      </c>
      <c r="B965" s="1" t="s">
        <v>1890</v>
      </c>
      <c r="C965" s="9" t="s">
        <v>1888</v>
      </c>
      <c r="D965" s="14" t="s">
        <v>1891</v>
      </c>
      <c r="E965" s="9" t="s">
        <v>8</v>
      </c>
    </row>
    <row r="966" spans="1:5" outlineLevel="2" x14ac:dyDescent="0.25">
      <c r="A966" s="3" t="str">
        <f>HYPERLINK("http://mystore1.ru/price_items/search?utf8=%E2%9C%93&amp;oem=AC77LGSR5FD","AC77LGSR5FD")</f>
        <v>AC77LGSR5FD</v>
      </c>
      <c r="B966" s="1" t="s">
        <v>1892</v>
      </c>
      <c r="C966" s="9" t="s">
        <v>1888</v>
      </c>
      <c r="D966" s="14" t="s">
        <v>1893</v>
      </c>
      <c r="E966" s="9" t="s">
        <v>11</v>
      </c>
    </row>
    <row r="967" spans="1:5" outlineLevel="2" x14ac:dyDescent="0.25">
      <c r="A967" s="3" t="str">
        <f>HYPERLINK("http://mystore1.ru/price_items/search?utf8=%E2%9C%93&amp;oem=AC77RGSR5FD","AC77RGSR5FD")</f>
        <v>AC77RGSR5FD</v>
      </c>
      <c r="B967" s="1" t="s">
        <v>1894</v>
      </c>
      <c r="C967" s="9" t="s">
        <v>1888</v>
      </c>
      <c r="D967" s="14" t="s">
        <v>1895</v>
      </c>
      <c r="E967" s="9" t="s">
        <v>11</v>
      </c>
    </row>
    <row r="968" spans="1:5" x14ac:dyDescent="0.25">
      <c r="A968" s="61" t="s">
        <v>1896</v>
      </c>
      <c r="B968" s="61"/>
      <c r="C968" s="61"/>
      <c r="D968" s="61"/>
      <c r="E968" s="61"/>
    </row>
    <row r="969" spans="1:5" outlineLevel="1" x14ac:dyDescent="0.25">
      <c r="A969" s="2"/>
      <c r="B969" s="6" t="s">
        <v>1897</v>
      </c>
      <c r="C969" s="8"/>
      <c r="D969" s="8"/>
      <c r="E969" s="8"/>
    </row>
    <row r="970" spans="1:5" ht="15" customHeight="1" outlineLevel="2" x14ac:dyDescent="0.25">
      <c r="A970" s="3" t="str">
        <f>HYPERLINK("http://mystore1.ru/price_items/search?utf8=%E2%9C%93&amp;oem=A226AGSBL","A226AGSBL")</f>
        <v>A226AGSBL</v>
      </c>
      <c r="B970" s="1" t="s">
        <v>1898</v>
      </c>
      <c r="C970" s="9" t="s">
        <v>564</v>
      </c>
      <c r="D970" s="14" t="s">
        <v>1899</v>
      </c>
      <c r="E970" s="9" t="s">
        <v>8</v>
      </c>
    </row>
    <row r="971" spans="1:5" ht="15" customHeight="1" outlineLevel="2" x14ac:dyDescent="0.25">
      <c r="A971" s="3" t="str">
        <f>HYPERLINK("http://mystore1.ru/price_items/search?utf8=%E2%9C%93&amp;oem=A226ASMS","A226ASMS")</f>
        <v>A226ASMS</v>
      </c>
      <c r="B971" s="1" t="s">
        <v>1900</v>
      </c>
      <c r="C971" s="9" t="s">
        <v>25</v>
      </c>
      <c r="D971" s="14" t="s">
        <v>1901</v>
      </c>
      <c r="E971" s="9" t="s">
        <v>27</v>
      </c>
    </row>
    <row r="972" spans="1:5" ht="15" customHeight="1" outlineLevel="2" x14ac:dyDescent="0.25">
      <c r="A972" s="3" t="str">
        <f>HYPERLINK("http://mystore1.ru/price_items/search?utf8=%E2%9C%93&amp;oem=A226ASMST","A226ASMST")</f>
        <v>A226ASMST</v>
      </c>
      <c r="B972" s="1" t="s">
        <v>1902</v>
      </c>
      <c r="C972" s="9" t="s">
        <v>25</v>
      </c>
      <c r="D972" s="14" t="s">
        <v>1903</v>
      </c>
      <c r="E972" s="9" t="s">
        <v>27</v>
      </c>
    </row>
    <row r="973" spans="1:5" ht="15" customHeight="1" outlineLevel="2" x14ac:dyDescent="0.25">
      <c r="A973" s="3" t="str">
        <f>HYPERLINK("http://mystore1.ru/price_items/search?utf8=%E2%9C%93&amp;oem=A226LGNS4FDW","A226LGNS4FDW")</f>
        <v>A226LGNS4FDW</v>
      </c>
      <c r="B973" s="1" t="s">
        <v>1904</v>
      </c>
      <c r="C973" s="9" t="s">
        <v>564</v>
      </c>
      <c r="D973" s="14" t="s">
        <v>1905</v>
      </c>
      <c r="E973" s="9" t="s">
        <v>11</v>
      </c>
    </row>
    <row r="974" spans="1:5" ht="15" customHeight="1" outlineLevel="2" x14ac:dyDescent="0.25">
      <c r="A974" s="3" t="str">
        <f>HYPERLINK("http://mystore1.ru/price_items/search?utf8=%E2%9C%93&amp;oem=A226RGNS4FDW","A226RGNS4FDW")</f>
        <v>A226RGNS4FDW</v>
      </c>
      <c r="B974" s="1" t="s">
        <v>1906</v>
      </c>
      <c r="C974" s="9" t="s">
        <v>564</v>
      </c>
      <c r="D974" s="14" t="s">
        <v>1907</v>
      </c>
      <c r="E974" s="9" t="s">
        <v>11</v>
      </c>
    </row>
    <row r="975" spans="1:5" outlineLevel="1" x14ac:dyDescent="0.25">
      <c r="A975" s="2"/>
      <c r="B975" s="6" t="s">
        <v>1908</v>
      </c>
      <c r="C975" s="8"/>
      <c r="D975" s="8"/>
      <c r="E975" s="8"/>
    </row>
    <row r="976" spans="1:5" ht="15" customHeight="1" outlineLevel="2" x14ac:dyDescent="0.25">
      <c r="A976" s="3" t="str">
        <f>HYPERLINK("http://mystore1.ru/price_items/search?utf8=%E2%9C%93&amp;oem=A234AGSMV","A234AGSMV")</f>
        <v>A234AGSMV</v>
      </c>
      <c r="B976" s="1" t="s">
        <v>1909</v>
      </c>
      <c r="C976" s="9" t="s">
        <v>1629</v>
      </c>
      <c r="D976" s="14" t="s">
        <v>1910</v>
      </c>
      <c r="E976" s="9" t="s">
        <v>8</v>
      </c>
    </row>
    <row r="977" spans="1:5" ht="15" customHeight="1" outlineLevel="2" x14ac:dyDescent="0.25">
      <c r="A977" s="3" t="str">
        <f>HYPERLINK("http://mystore1.ru/price_items/search?utf8=%E2%9C%93&amp;oem=A234AGSV","A234AGSV")</f>
        <v>A234AGSV</v>
      </c>
      <c r="B977" s="1" t="s">
        <v>1911</v>
      </c>
      <c r="C977" s="9" t="s">
        <v>1629</v>
      </c>
      <c r="D977" s="14" t="s">
        <v>1912</v>
      </c>
      <c r="E977" s="9" t="s">
        <v>8</v>
      </c>
    </row>
    <row r="978" spans="1:5" ht="15" customHeight="1" outlineLevel="2" x14ac:dyDescent="0.25">
      <c r="A978" s="3" t="str">
        <f>HYPERLINK("http://mystore1.ru/price_items/search?utf8=%E2%9C%93&amp;oem=A234ASMS","A234ASMS")</f>
        <v>A234ASMS</v>
      </c>
      <c r="B978" s="1" t="s">
        <v>1913</v>
      </c>
      <c r="C978" s="9" t="s">
        <v>25</v>
      </c>
      <c r="D978" s="14" t="s">
        <v>1914</v>
      </c>
      <c r="E978" s="9" t="s">
        <v>27</v>
      </c>
    </row>
    <row r="979" spans="1:5" ht="15" customHeight="1" outlineLevel="2" x14ac:dyDescent="0.25">
      <c r="A979" s="3" t="str">
        <f>HYPERLINK("http://mystore1.ru/price_items/search?utf8=%E2%9C%93&amp;oem=A234LGSS4FD","A234LGSS4FD")</f>
        <v>A234LGSS4FD</v>
      </c>
      <c r="B979" s="1" t="s">
        <v>1915</v>
      </c>
      <c r="C979" s="9" t="s">
        <v>1629</v>
      </c>
      <c r="D979" s="14" t="s">
        <v>1916</v>
      </c>
      <c r="E979" s="9" t="s">
        <v>11</v>
      </c>
    </row>
    <row r="980" spans="1:5" ht="15" customHeight="1" outlineLevel="2" x14ac:dyDescent="0.25">
      <c r="A980" s="3" t="str">
        <f>HYPERLINK("http://mystore1.ru/price_items/search?utf8=%E2%9C%93&amp;oem=A234RGSS4FD","A234RGSS4FD")</f>
        <v>A234RGSS4FD</v>
      </c>
      <c r="B980" s="1" t="s">
        <v>1917</v>
      </c>
      <c r="C980" s="9" t="s">
        <v>1629</v>
      </c>
      <c r="D980" s="14" t="s">
        <v>1918</v>
      </c>
      <c r="E980" s="9" t="s">
        <v>11</v>
      </c>
    </row>
    <row r="981" spans="1:5" outlineLevel="1" x14ac:dyDescent="0.25">
      <c r="A981" s="2"/>
      <c r="B981" s="6" t="s">
        <v>1919</v>
      </c>
      <c r="C981" s="8"/>
      <c r="D981" s="8"/>
      <c r="E981" s="8"/>
    </row>
    <row r="982" spans="1:5" ht="15" customHeight="1" outlineLevel="2" x14ac:dyDescent="0.25">
      <c r="A982" s="3" t="str">
        <f>HYPERLINK("http://mystore1.ru/price_items/search?utf8=%E2%9C%93&amp;oem=AJ03AGNBL","AJ03AGNBL")</f>
        <v>AJ03AGNBL</v>
      </c>
      <c r="B982" s="1" t="s">
        <v>1920</v>
      </c>
      <c r="C982" s="9" t="s">
        <v>1921</v>
      </c>
      <c r="D982" s="14" t="s">
        <v>1922</v>
      </c>
      <c r="E982" s="9" t="s">
        <v>8</v>
      </c>
    </row>
    <row r="983" spans="1:5" ht="15" customHeight="1" outlineLevel="2" x14ac:dyDescent="0.25">
      <c r="A983" s="3" t="str">
        <f>HYPERLINK("http://mystore1.ru/price_items/search?utf8=%E2%9C%93&amp;oem=AJ03AGNBL1P","AJ03AGNBL1P")</f>
        <v>AJ03AGNBL1P</v>
      </c>
      <c r="B983" s="1" t="s">
        <v>1923</v>
      </c>
      <c r="C983" s="9" t="s">
        <v>1924</v>
      </c>
      <c r="D983" s="14" t="s">
        <v>1925</v>
      </c>
      <c r="E983" s="9" t="s">
        <v>8</v>
      </c>
    </row>
    <row r="984" spans="1:5" ht="15" customHeight="1" outlineLevel="2" x14ac:dyDescent="0.25">
      <c r="A984" s="3" t="str">
        <f>HYPERLINK("http://mystore1.ru/price_items/search?utf8=%E2%9C%93&amp;oem=AJ03ASMR","AJ03ASMR")</f>
        <v>AJ03ASMR</v>
      </c>
      <c r="B984" s="1" t="s">
        <v>1926</v>
      </c>
      <c r="C984" s="9" t="s">
        <v>25</v>
      </c>
      <c r="D984" s="14" t="s">
        <v>1927</v>
      </c>
      <c r="E984" s="9" t="s">
        <v>27</v>
      </c>
    </row>
    <row r="985" spans="1:5" ht="15" customHeight="1" outlineLevel="2" x14ac:dyDescent="0.25">
      <c r="A985" s="3" t="str">
        <f>HYPERLINK("http://mystore1.ru/price_items/search?utf8=%E2%9C%93&amp;oem=AJ03BGNR","AJ03BGNR")</f>
        <v>AJ03BGNR</v>
      </c>
      <c r="B985" s="1" t="s">
        <v>1928</v>
      </c>
      <c r="C985" s="9" t="s">
        <v>1921</v>
      </c>
      <c r="D985" s="14" t="s">
        <v>1929</v>
      </c>
      <c r="E985" s="9" t="s">
        <v>30</v>
      </c>
    </row>
    <row r="986" spans="1:5" ht="15" customHeight="1" outlineLevel="2" x14ac:dyDescent="0.25">
      <c r="A986" s="3" t="str">
        <f>HYPERLINK("http://mystore1.ru/price_items/search?utf8=%E2%9C%93&amp;oem=AJ03LGNR3FD","AJ03LGNR3FD")</f>
        <v>AJ03LGNR3FD</v>
      </c>
      <c r="B986" s="1" t="s">
        <v>1930</v>
      </c>
      <c r="C986" s="9" t="s">
        <v>1921</v>
      </c>
      <c r="D986" s="14" t="s">
        <v>1931</v>
      </c>
      <c r="E986" s="9" t="s">
        <v>11</v>
      </c>
    </row>
    <row r="987" spans="1:5" ht="15" customHeight="1" outlineLevel="2" x14ac:dyDescent="0.25">
      <c r="A987" s="3" t="str">
        <f>HYPERLINK("http://mystore1.ru/price_items/search?utf8=%E2%9C%93&amp;oem=AJ03LGNR5FD","AJ03LGNR5FD")</f>
        <v>AJ03LGNR5FD</v>
      </c>
      <c r="B987" s="1" t="s">
        <v>1932</v>
      </c>
      <c r="C987" s="9" t="s">
        <v>1921</v>
      </c>
      <c r="D987" s="14" t="s">
        <v>1933</v>
      </c>
      <c r="E987" s="9" t="s">
        <v>11</v>
      </c>
    </row>
    <row r="988" spans="1:5" ht="15" customHeight="1" outlineLevel="2" x14ac:dyDescent="0.25">
      <c r="A988" s="3" t="str">
        <f>HYPERLINK("http://mystore1.ru/price_items/search?utf8=%E2%9C%93&amp;oem=AJ03LGNR5FV","AJ03LGNR5FV")</f>
        <v>AJ03LGNR5FV</v>
      </c>
      <c r="B988" s="1" t="s">
        <v>1934</v>
      </c>
      <c r="C988" s="9" t="s">
        <v>1921</v>
      </c>
      <c r="D988" s="14" t="s">
        <v>1935</v>
      </c>
      <c r="E988" s="9" t="s">
        <v>11</v>
      </c>
    </row>
    <row r="989" spans="1:5" ht="15" customHeight="1" outlineLevel="2" x14ac:dyDescent="0.25">
      <c r="A989" s="3" t="str">
        <f>HYPERLINK("http://mystore1.ru/price_items/search?utf8=%E2%9C%93&amp;oem=AJ03LGNR5RV","AJ03LGNR5RV")</f>
        <v>AJ03LGNR5RV</v>
      </c>
      <c r="B989" s="1" t="s">
        <v>1936</v>
      </c>
      <c r="C989" s="9" t="s">
        <v>1921</v>
      </c>
      <c r="D989" s="14" t="s">
        <v>1937</v>
      </c>
      <c r="E989" s="9" t="s">
        <v>11</v>
      </c>
    </row>
    <row r="990" spans="1:5" ht="15" customHeight="1" outlineLevel="2" x14ac:dyDescent="0.25">
      <c r="A990" s="3" t="str">
        <f>HYPERLINK("http://mystore1.ru/price_items/search?utf8=%E2%9C%93&amp;oem=AJ03RGNR3FD","AJ03RGNR3FD")</f>
        <v>AJ03RGNR3FD</v>
      </c>
      <c r="B990" s="1" t="s">
        <v>1938</v>
      </c>
      <c r="C990" s="9" t="s">
        <v>1921</v>
      </c>
      <c r="D990" s="14" t="s">
        <v>1939</v>
      </c>
      <c r="E990" s="9" t="s">
        <v>11</v>
      </c>
    </row>
    <row r="991" spans="1:5" ht="15" customHeight="1" outlineLevel="2" x14ac:dyDescent="0.25">
      <c r="A991" s="3" t="str">
        <f>HYPERLINK("http://mystore1.ru/price_items/search?utf8=%E2%9C%93&amp;oem=AJ03RGNR3FVOW","AJ03RGNR3FVOW")</f>
        <v>AJ03RGNR3FVOW</v>
      </c>
      <c r="B991" s="1" t="s">
        <v>1940</v>
      </c>
      <c r="C991" s="9" t="s">
        <v>47</v>
      </c>
      <c r="D991" s="14" t="s">
        <v>1941</v>
      </c>
      <c r="E991" s="9" t="s">
        <v>11</v>
      </c>
    </row>
    <row r="992" spans="1:5" ht="15" customHeight="1" outlineLevel="2" x14ac:dyDescent="0.25">
      <c r="A992" s="3" t="str">
        <f>HYPERLINK("http://mystore1.ru/price_items/search?utf8=%E2%9C%93&amp;oem=AJ03RGNR5FD","AJ03RGNR5FD")</f>
        <v>AJ03RGNR5FD</v>
      </c>
      <c r="B992" s="1" t="s">
        <v>1942</v>
      </c>
      <c r="C992" s="9" t="s">
        <v>1921</v>
      </c>
      <c r="D992" s="14" t="s">
        <v>1943</v>
      </c>
      <c r="E992" s="9" t="s">
        <v>11</v>
      </c>
    </row>
    <row r="993" spans="1:5" ht="15" customHeight="1" outlineLevel="2" x14ac:dyDescent="0.25">
      <c r="A993" s="3" t="str">
        <f>HYPERLINK("http://mystore1.ru/price_items/search?utf8=%E2%9C%93&amp;oem=AJ03RGNR5FV","AJ03RGNR5FV")</f>
        <v>AJ03RGNR5FV</v>
      </c>
      <c r="B993" s="1" t="s">
        <v>1944</v>
      </c>
      <c r="C993" s="9" t="s">
        <v>1921</v>
      </c>
      <c r="D993" s="14" t="s">
        <v>1945</v>
      </c>
      <c r="E993" s="9" t="s">
        <v>11</v>
      </c>
    </row>
    <row r="994" spans="1:5" ht="15" customHeight="1" outlineLevel="2" x14ac:dyDescent="0.25">
      <c r="A994" s="3" t="str">
        <f>HYPERLINK("http://mystore1.ru/price_items/search?utf8=%E2%9C%93&amp;oem=AJ03RGNR5RV","AJ03RGNR5RV")</f>
        <v>AJ03RGNR5RV</v>
      </c>
      <c r="B994" s="1" t="s">
        <v>1946</v>
      </c>
      <c r="C994" s="9" t="s">
        <v>1921</v>
      </c>
      <c r="D994" s="14" t="s">
        <v>1947</v>
      </c>
      <c r="E994" s="9" t="s">
        <v>11</v>
      </c>
    </row>
    <row r="995" spans="1:5" outlineLevel="1" x14ac:dyDescent="0.25">
      <c r="A995" s="2"/>
      <c r="B995" s="6" t="s">
        <v>1948</v>
      </c>
      <c r="C995" s="8"/>
      <c r="D995" s="8"/>
      <c r="E995" s="8"/>
    </row>
    <row r="996" spans="1:5" ht="15" customHeight="1" outlineLevel="2" x14ac:dyDescent="0.25">
      <c r="A996" s="3" t="str">
        <f>HYPERLINK("http://mystore1.ru/price_items/search?utf8=%E2%9C%93&amp;oem=A219AGSBL","A219AGSBL")</f>
        <v>A219AGSBL</v>
      </c>
      <c r="B996" s="1" t="s">
        <v>1949</v>
      </c>
      <c r="C996" s="9" t="s">
        <v>52</v>
      </c>
      <c r="D996" s="14" t="s">
        <v>1950</v>
      </c>
      <c r="E996" s="9" t="s">
        <v>8</v>
      </c>
    </row>
    <row r="997" spans="1:5" ht="15" customHeight="1" outlineLevel="2" x14ac:dyDescent="0.25">
      <c r="A997" s="3" t="str">
        <f>HYPERLINK("http://mystore1.ru/price_items/search?utf8=%E2%9C%93&amp;oem=A219BGNS","A219BGNS")</f>
        <v>A219BGNS</v>
      </c>
      <c r="B997" s="1" t="s">
        <v>1951</v>
      </c>
      <c r="C997" s="9" t="s">
        <v>52</v>
      </c>
      <c r="D997" s="14" t="s">
        <v>1952</v>
      </c>
      <c r="E997" s="9" t="s">
        <v>30</v>
      </c>
    </row>
    <row r="998" spans="1:5" outlineLevel="1" x14ac:dyDescent="0.25">
      <c r="A998" s="2"/>
      <c r="B998" s="6" t="s">
        <v>1953</v>
      </c>
      <c r="C998" s="8"/>
      <c r="D998" s="8"/>
      <c r="E998" s="8"/>
    </row>
    <row r="999" spans="1:5" ht="15" customHeight="1" outlineLevel="2" x14ac:dyDescent="0.25">
      <c r="A999" s="3" t="str">
        <f>HYPERLINK("http://mystore1.ru/price_items/search?utf8=%E2%9C%93&amp;oem=AJ11AGSMV","AJ11AGSMV")</f>
        <v>AJ11AGSMV</v>
      </c>
      <c r="B999" s="1" t="s">
        <v>1954</v>
      </c>
      <c r="C999" s="9" t="s">
        <v>687</v>
      </c>
      <c r="D999" s="14" t="s">
        <v>1955</v>
      </c>
      <c r="E999" s="9" t="s">
        <v>8</v>
      </c>
    </row>
    <row r="1000" spans="1:5" ht="15" customHeight="1" outlineLevel="2" x14ac:dyDescent="0.25">
      <c r="A1000" s="3" t="str">
        <f>HYPERLINK("http://mystore1.ru/price_items/search?utf8=%E2%9C%93&amp;oem=AJ11AGSV","AJ11AGSV")</f>
        <v>AJ11AGSV</v>
      </c>
      <c r="B1000" s="1" t="s">
        <v>1956</v>
      </c>
      <c r="C1000" s="9" t="s">
        <v>687</v>
      </c>
      <c r="D1000" s="14" t="s">
        <v>1957</v>
      </c>
      <c r="E1000" s="9" t="s">
        <v>8</v>
      </c>
    </row>
    <row r="1001" spans="1:5" ht="15" customHeight="1" outlineLevel="2" x14ac:dyDescent="0.25">
      <c r="A1001" s="3" t="str">
        <f>HYPERLINK("http://mystore1.ru/price_items/search?utf8=%E2%9C%93&amp;oem=AJ11ASMRT","AJ11ASMRT")</f>
        <v>AJ11ASMRT</v>
      </c>
      <c r="B1001" s="1" t="s">
        <v>1958</v>
      </c>
      <c r="C1001" s="9" t="s">
        <v>25</v>
      </c>
      <c r="D1001" s="14" t="s">
        <v>1959</v>
      </c>
      <c r="E1001" s="9" t="s">
        <v>27</v>
      </c>
    </row>
    <row r="1002" spans="1:5" outlineLevel="1" x14ac:dyDescent="0.25">
      <c r="A1002" s="2"/>
      <c r="B1002" s="6" t="s">
        <v>1960</v>
      </c>
      <c r="C1002" s="6"/>
      <c r="D1002" s="49"/>
      <c r="E1002" s="49"/>
    </row>
    <row r="1003" spans="1:5" ht="15" customHeight="1" outlineLevel="2" x14ac:dyDescent="0.25">
      <c r="A1003" s="3" t="str">
        <f>HYPERLINK("http://mystore1.ru/price_items/search?utf8=%E2%9C%93&amp;oem=A218AGSBL","A218AGSBL")</f>
        <v>A218AGSBL</v>
      </c>
      <c r="B1003" s="1" t="s">
        <v>1961</v>
      </c>
      <c r="C1003" s="9" t="s">
        <v>623</v>
      </c>
      <c r="D1003" s="14" t="s">
        <v>1962</v>
      </c>
      <c r="E1003" s="9" t="s">
        <v>8</v>
      </c>
    </row>
    <row r="1004" spans="1:5" ht="15" customHeight="1" outlineLevel="2" x14ac:dyDescent="0.25">
      <c r="A1004" s="3" t="str">
        <f>HYPERLINK("http://mystore1.ru/price_items/search?utf8=%E2%9C%93&amp;oem=A218ASMS","A218ASMS")</f>
        <v>A218ASMS</v>
      </c>
      <c r="B1004" s="1" t="s">
        <v>1963</v>
      </c>
      <c r="C1004" s="9" t="s">
        <v>25</v>
      </c>
      <c r="D1004" s="14" t="s">
        <v>1964</v>
      </c>
      <c r="E1004" s="9" t="s">
        <v>27</v>
      </c>
    </row>
    <row r="1005" spans="1:5" outlineLevel="1" x14ac:dyDescent="0.25">
      <c r="A1005" s="2"/>
      <c r="B1005" s="6" t="s">
        <v>1965</v>
      </c>
      <c r="C1005" s="8"/>
      <c r="D1005" s="8"/>
      <c r="E1005" s="8"/>
    </row>
    <row r="1006" spans="1:5" ht="15" customHeight="1" outlineLevel="2" x14ac:dyDescent="0.25">
      <c r="A1006" s="3" t="str">
        <f>HYPERLINK("http://mystore1.ru/price_items/search?utf8=%E2%9C%93&amp;oem=A231AGSV","A231AGSV")</f>
        <v>A231AGSV</v>
      </c>
      <c r="B1006" s="1" t="s">
        <v>1966</v>
      </c>
      <c r="C1006" s="9" t="s">
        <v>1408</v>
      </c>
      <c r="D1006" s="14" t="s">
        <v>1967</v>
      </c>
      <c r="E1006" s="9" t="s">
        <v>8</v>
      </c>
    </row>
    <row r="1007" spans="1:5" ht="15" customHeight="1" outlineLevel="2" x14ac:dyDescent="0.25">
      <c r="A1007" s="3" t="str">
        <f>HYPERLINK("http://mystore1.ru/price_items/search?utf8=%E2%9C%93&amp;oem=A231LGSC2FD","A231LGSC2FD")</f>
        <v>A231LGSC2FD</v>
      </c>
      <c r="B1007" s="1" t="s">
        <v>1968</v>
      </c>
      <c r="C1007" s="9" t="s">
        <v>1408</v>
      </c>
      <c r="D1007" s="14" t="s">
        <v>1969</v>
      </c>
      <c r="E1007" s="9" t="s">
        <v>11</v>
      </c>
    </row>
    <row r="1008" spans="1:5" ht="15" customHeight="1" outlineLevel="2" x14ac:dyDescent="0.25">
      <c r="A1008" s="3" t="str">
        <f>HYPERLINK("http://mystore1.ru/price_items/search?utf8=%E2%9C%93&amp;oem=A231RGSC2FD","A231RGSC2FD")</f>
        <v>A231RGSC2FD</v>
      </c>
      <c r="B1008" s="1" t="s">
        <v>1970</v>
      </c>
      <c r="C1008" s="9" t="s">
        <v>1408</v>
      </c>
      <c r="D1008" s="14" t="s">
        <v>1971</v>
      </c>
      <c r="E1008" s="9" t="s">
        <v>11</v>
      </c>
    </row>
    <row r="1009" spans="1:5" outlineLevel="1" x14ac:dyDescent="0.25">
      <c r="A1009" s="2"/>
      <c r="B1009" s="6" t="s">
        <v>1972</v>
      </c>
      <c r="C1009" s="8"/>
      <c r="D1009" s="8"/>
      <c r="E1009" s="8"/>
    </row>
    <row r="1010" spans="1:5" ht="15" customHeight="1" outlineLevel="2" x14ac:dyDescent="0.25">
      <c r="A1010" s="3" t="str">
        <f>HYPERLINK("http://mystore1.ru/price_items/search?utf8=%E2%9C%93&amp;oem=A230AGSV","A230AGSV")</f>
        <v>A230AGSV</v>
      </c>
      <c r="B1010" s="1" t="s">
        <v>1973</v>
      </c>
      <c r="C1010" s="9" t="s">
        <v>642</v>
      </c>
      <c r="D1010" s="14" t="s">
        <v>1974</v>
      </c>
      <c r="E1010" s="9" t="s">
        <v>8</v>
      </c>
    </row>
    <row r="1011" spans="1:5" ht="15" customHeight="1" outlineLevel="2" x14ac:dyDescent="0.25">
      <c r="A1011" s="3" t="str">
        <f>HYPERLINK("http://mystore1.ru/price_items/search?utf8=%E2%9C%93&amp;oem=A230AGSBLV","A230AGSBLV")</f>
        <v>A230AGSBLV</v>
      </c>
      <c r="B1011" s="1" t="s">
        <v>1975</v>
      </c>
      <c r="C1011" s="9" t="s">
        <v>642</v>
      </c>
      <c r="D1011" s="14" t="s">
        <v>1976</v>
      </c>
      <c r="E1011" s="9" t="s">
        <v>8</v>
      </c>
    </row>
    <row r="1012" spans="1:5" outlineLevel="1" x14ac:dyDescent="0.25">
      <c r="A1012" s="2"/>
      <c r="B1012" s="6" t="s">
        <v>1977</v>
      </c>
      <c r="C1012" s="8"/>
      <c r="D1012" s="8"/>
      <c r="E1012" s="8"/>
    </row>
    <row r="1013" spans="1:5" ht="15" customHeight="1" outlineLevel="2" x14ac:dyDescent="0.25">
      <c r="A1013" s="3" t="str">
        <f>HYPERLINK("http://mystore1.ru/price_items/search?utf8=%E2%9C%93&amp;oem=9261LGNV5FD","9261LGNV5FD")</f>
        <v>9261LGNV5FD</v>
      </c>
      <c r="B1013" s="1" t="s">
        <v>1978</v>
      </c>
      <c r="C1013" s="9" t="s">
        <v>1979</v>
      </c>
      <c r="D1013" s="14" t="s">
        <v>1980</v>
      </c>
      <c r="E1013" s="9" t="s">
        <v>11</v>
      </c>
    </row>
    <row r="1014" spans="1:5" ht="15" customHeight="1" outlineLevel="2" x14ac:dyDescent="0.25">
      <c r="A1014" s="3" t="str">
        <f>HYPERLINK("http://mystore1.ru/price_items/search?utf8=%E2%9C%93&amp;oem=9261RGNV5FD","9261RGNV5FD")</f>
        <v>9261RGNV5FD</v>
      </c>
      <c r="B1014" s="1" t="s">
        <v>1981</v>
      </c>
      <c r="C1014" s="9" t="s">
        <v>1979</v>
      </c>
      <c r="D1014" s="14" t="s">
        <v>1982</v>
      </c>
      <c r="E1014" s="9" t="s">
        <v>11</v>
      </c>
    </row>
    <row r="1015" spans="1:5" outlineLevel="1" x14ac:dyDescent="0.25">
      <c r="A1015" s="2"/>
      <c r="B1015" s="6" t="s">
        <v>1983</v>
      </c>
      <c r="C1015" s="8"/>
      <c r="D1015" s="8"/>
      <c r="E1015" s="8"/>
    </row>
    <row r="1016" spans="1:5" ht="15" customHeight="1" outlineLevel="2" x14ac:dyDescent="0.25">
      <c r="A1016" s="3" t="str">
        <f>HYPERLINK("http://mystore1.ru/price_items/search?utf8=%E2%9C%93&amp;oem=A215AGNBLV1B","A215AGNBLV1B")</f>
        <v>A215AGNBLV1B</v>
      </c>
      <c r="B1016" s="1" t="s">
        <v>1984</v>
      </c>
      <c r="C1016" s="9" t="s">
        <v>1985</v>
      </c>
      <c r="D1016" s="14" t="s">
        <v>1986</v>
      </c>
      <c r="E1016" s="9" t="s">
        <v>8</v>
      </c>
    </row>
    <row r="1017" spans="1:5" ht="15" customHeight="1" outlineLevel="2" x14ac:dyDescent="0.25">
      <c r="A1017" s="3" t="str">
        <f>HYPERLINK("http://mystore1.ru/price_items/search?utf8=%E2%9C%93&amp;oem=A215AGNBLV1L","A215AGNBLV1L")</f>
        <v>A215AGNBLV1L</v>
      </c>
      <c r="B1017" s="1" t="s">
        <v>1987</v>
      </c>
      <c r="C1017" s="9" t="s">
        <v>1985</v>
      </c>
      <c r="D1017" s="14" t="s">
        <v>1986</v>
      </c>
      <c r="E1017" s="9" t="s">
        <v>8</v>
      </c>
    </row>
    <row r="1018" spans="1:5" ht="15" customHeight="1" outlineLevel="2" x14ac:dyDescent="0.25">
      <c r="A1018" s="3" t="str">
        <f>HYPERLINK("http://mystore1.ru/price_items/search?utf8=%E2%9C%93&amp;oem=A215ASMV","A215ASMV")</f>
        <v>A215ASMV</v>
      </c>
      <c r="B1018" s="1" t="s">
        <v>1988</v>
      </c>
      <c r="C1018" s="9" t="s">
        <v>25</v>
      </c>
      <c r="D1018" s="14" t="s">
        <v>1989</v>
      </c>
      <c r="E1018" s="9" t="s">
        <v>27</v>
      </c>
    </row>
    <row r="1019" spans="1:5" ht="15" customHeight="1" outlineLevel="2" x14ac:dyDescent="0.25">
      <c r="A1019" s="3" t="str">
        <f>HYPERLINK("http://mystore1.ru/price_items/search?utf8=%E2%9C%93&amp;oem=A215BGNVBW1R","A215BGNVBW1R")</f>
        <v>A215BGNVBW1R</v>
      </c>
      <c r="B1019" s="1" t="s">
        <v>1990</v>
      </c>
      <c r="C1019" s="9" t="s">
        <v>1985</v>
      </c>
      <c r="D1019" s="14" t="s">
        <v>1991</v>
      </c>
      <c r="E1019" s="9" t="s">
        <v>30</v>
      </c>
    </row>
    <row r="1020" spans="1:5" ht="15" customHeight="1" outlineLevel="2" x14ac:dyDescent="0.25">
      <c r="A1020" s="3" t="str">
        <f>HYPERLINK("http://mystore1.ru/price_items/search?utf8=%E2%9C%93&amp;oem=A215LGNV4FD","A215LGNV4FD")</f>
        <v>A215LGNV4FD</v>
      </c>
      <c r="B1020" s="1" t="s">
        <v>1992</v>
      </c>
      <c r="C1020" s="9" t="s">
        <v>1985</v>
      </c>
      <c r="D1020" s="14" t="s">
        <v>1993</v>
      </c>
      <c r="E1020" s="9" t="s">
        <v>11</v>
      </c>
    </row>
    <row r="1021" spans="1:5" ht="15" customHeight="1" outlineLevel="2" x14ac:dyDescent="0.25">
      <c r="A1021" s="3" t="str">
        <f>HYPERLINK("http://mystore1.ru/price_items/search?utf8=%E2%9C%93&amp;oem=A215RGNV4FD","A215RGNV4FD")</f>
        <v>A215RGNV4FD</v>
      </c>
      <c r="B1021" s="1" t="s">
        <v>1994</v>
      </c>
      <c r="C1021" s="9" t="s">
        <v>1985</v>
      </c>
      <c r="D1021" s="14" t="s">
        <v>1995</v>
      </c>
      <c r="E1021" s="9" t="s">
        <v>11</v>
      </c>
    </row>
    <row r="1022" spans="1:5" outlineLevel="1" x14ac:dyDescent="0.25">
      <c r="A1022" s="2"/>
      <c r="B1022" s="6" t="s">
        <v>1996</v>
      </c>
      <c r="C1022" s="8"/>
      <c r="D1022" s="8"/>
      <c r="E1022" s="8"/>
    </row>
    <row r="1023" spans="1:5" ht="15" customHeight="1" outlineLevel="2" x14ac:dyDescent="0.25">
      <c r="A1023" s="3" t="str">
        <f>HYPERLINK("http://mystore1.ru/price_items/search?utf8=%E2%9C%93&amp;oem=A235AGSMV","A235AGSMV")</f>
        <v>A235AGSMV</v>
      </c>
      <c r="B1023" s="1" t="s">
        <v>1997</v>
      </c>
      <c r="C1023" s="9" t="s">
        <v>687</v>
      </c>
      <c r="D1023" s="14" t="s">
        <v>1998</v>
      </c>
      <c r="E1023" s="9" t="s">
        <v>8</v>
      </c>
    </row>
    <row r="1024" spans="1:5" ht="15" customHeight="1" outlineLevel="2" x14ac:dyDescent="0.25">
      <c r="A1024" s="3" t="str">
        <f>HYPERLINK("http://mystore1.ru/price_items/search?utf8=%E2%9C%93&amp;oem=A235AGSV","A235AGSV")</f>
        <v>A235AGSV</v>
      </c>
      <c r="B1024" s="1" t="s">
        <v>1999</v>
      </c>
      <c r="C1024" s="9" t="s">
        <v>687</v>
      </c>
      <c r="D1024" s="14" t="s">
        <v>2000</v>
      </c>
      <c r="E1024" s="9" t="s">
        <v>8</v>
      </c>
    </row>
    <row r="1025" spans="1:5" ht="15" customHeight="1" outlineLevel="2" x14ac:dyDescent="0.25">
      <c r="A1025" s="3" t="str">
        <f>HYPERLINK("http://mystore1.ru/price_items/search?utf8=%E2%9C%93&amp;oem=A235LGSR5FDKW","A235LGSR5FDKW")</f>
        <v>A235LGSR5FDKW</v>
      </c>
      <c r="B1025" s="1" t="s">
        <v>2001</v>
      </c>
      <c r="C1025" s="9" t="s">
        <v>687</v>
      </c>
      <c r="D1025" s="14" t="s">
        <v>2002</v>
      </c>
      <c r="E1025" s="9" t="s">
        <v>11</v>
      </c>
    </row>
    <row r="1026" spans="1:5" ht="15" customHeight="1" outlineLevel="2" x14ac:dyDescent="0.25">
      <c r="A1026" s="3" t="str">
        <f>HYPERLINK("http://mystore1.ru/price_items/search?utf8=%E2%9C%93&amp;oem=A235LGSR5RD","A235LGSR5RD")</f>
        <v>A235LGSR5RD</v>
      </c>
      <c r="B1026" s="1" t="s">
        <v>2003</v>
      </c>
      <c r="C1026" s="9" t="s">
        <v>687</v>
      </c>
      <c r="D1026" s="14" t="s">
        <v>2004</v>
      </c>
      <c r="E1026" s="9" t="s">
        <v>11</v>
      </c>
    </row>
    <row r="1027" spans="1:5" ht="15" customHeight="1" outlineLevel="2" x14ac:dyDescent="0.25">
      <c r="A1027" s="3" t="str">
        <f>HYPERLINK("http://mystore1.ru/price_items/search?utf8=%E2%9C%93&amp;oem=A235LYPR5RD","A235LYPR5RD")</f>
        <v>A235LYPR5RD</v>
      </c>
      <c r="B1027" s="1" t="s">
        <v>2005</v>
      </c>
      <c r="C1027" s="9" t="s">
        <v>687</v>
      </c>
      <c r="D1027" s="14" t="s">
        <v>2006</v>
      </c>
      <c r="E1027" s="9" t="s">
        <v>11</v>
      </c>
    </row>
    <row r="1028" spans="1:5" ht="15" customHeight="1" outlineLevel="2" x14ac:dyDescent="0.25">
      <c r="A1028" s="3" t="str">
        <f>HYPERLINK("http://mystore1.ru/price_items/search?utf8=%E2%9C%93&amp;oem=A235RGSR5FDKW","A235RGSR5FDKW")</f>
        <v>A235RGSR5FDKW</v>
      </c>
      <c r="B1028" s="1" t="s">
        <v>2007</v>
      </c>
      <c r="C1028" s="9" t="s">
        <v>687</v>
      </c>
      <c r="D1028" s="14" t="s">
        <v>2008</v>
      </c>
      <c r="E1028" s="9" t="s">
        <v>11</v>
      </c>
    </row>
    <row r="1029" spans="1:5" ht="15" customHeight="1" outlineLevel="2" x14ac:dyDescent="0.25">
      <c r="A1029" s="3" t="str">
        <f>HYPERLINK("http://mystore1.ru/price_items/search?utf8=%E2%9C%93&amp;oem=A235RGSR5RD","A235RGSR5RD")</f>
        <v>A235RGSR5RD</v>
      </c>
      <c r="B1029" s="1" t="s">
        <v>2009</v>
      </c>
      <c r="C1029" s="9" t="s">
        <v>687</v>
      </c>
      <c r="D1029" s="14" t="s">
        <v>2010</v>
      </c>
      <c r="E1029" s="9" t="s">
        <v>11</v>
      </c>
    </row>
    <row r="1030" spans="1:5" ht="15" customHeight="1" outlineLevel="2" x14ac:dyDescent="0.25">
      <c r="A1030" s="3" t="str">
        <f>HYPERLINK("http://mystore1.ru/price_items/search?utf8=%E2%9C%93&amp;oem=A235RYPR5RD","A235RYPR5RD")</f>
        <v>A235RYPR5RD</v>
      </c>
      <c r="B1030" s="1" t="s">
        <v>2011</v>
      </c>
      <c r="C1030" s="9" t="s">
        <v>687</v>
      </c>
      <c r="D1030" s="14" t="s">
        <v>2012</v>
      </c>
      <c r="E1030" s="9" t="s">
        <v>11</v>
      </c>
    </row>
    <row r="1031" spans="1:5" outlineLevel="1" x14ac:dyDescent="0.25">
      <c r="A1031" s="2"/>
      <c r="B1031" s="6" t="s">
        <v>2013</v>
      </c>
      <c r="C1031" s="8"/>
      <c r="D1031" s="8"/>
      <c r="E1031" s="8"/>
    </row>
    <row r="1032" spans="1:5" ht="15" customHeight="1" outlineLevel="2" x14ac:dyDescent="0.25">
      <c r="A1032" s="3" t="str">
        <f>HYPERLINK("http://mystore1.ru/price_items/search?utf8=%E2%9C%93&amp;oem=AJ05AGNBLV","AJ05AGNBLV")</f>
        <v>AJ05AGNBLV</v>
      </c>
      <c r="B1032" s="1" t="s">
        <v>2014</v>
      </c>
      <c r="C1032" s="9" t="s">
        <v>2015</v>
      </c>
      <c r="D1032" s="14" t="s">
        <v>2016</v>
      </c>
      <c r="E1032" s="9" t="s">
        <v>8</v>
      </c>
    </row>
    <row r="1033" spans="1:5" ht="15" customHeight="1" outlineLevel="2" x14ac:dyDescent="0.25">
      <c r="A1033" s="3" t="str">
        <f>HYPERLINK("http://mystore1.ru/price_items/search?utf8=%E2%9C%93&amp;oem=AJ05ASMR","AJ05ASMR")</f>
        <v>AJ05ASMR</v>
      </c>
      <c r="B1033" s="1" t="s">
        <v>2017</v>
      </c>
      <c r="C1033" s="9" t="s">
        <v>25</v>
      </c>
      <c r="D1033" s="14" t="s">
        <v>2018</v>
      </c>
      <c r="E1033" s="9" t="s">
        <v>27</v>
      </c>
    </row>
    <row r="1034" spans="1:5" ht="15" customHeight="1" outlineLevel="2" x14ac:dyDescent="0.25">
      <c r="A1034" s="3" t="str">
        <f>HYPERLINK("http://mystore1.ru/price_items/search?utf8=%E2%9C%93&amp;oem=AJ05ASMRT","AJ05ASMRT")</f>
        <v>AJ05ASMRT</v>
      </c>
      <c r="B1034" s="1" t="s">
        <v>2019</v>
      </c>
      <c r="C1034" s="9" t="s">
        <v>25</v>
      </c>
      <c r="D1034" s="14" t="s">
        <v>2020</v>
      </c>
      <c r="E1034" s="9" t="s">
        <v>27</v>
      </c>
    </row>
    <row r="1035" spans="1:5" ht="15" customHeight="1" outlineLevel="2" x14ac:dyDescent="0.25">
      <c r="A1035" s="3" t="str">
        <f>HYPERLINK("http://mystore1.ru/price_items/search?utf8=%E2%9C%93&amp;oem=AJ05LGNR5FDW","AJ05LGNR5FDW")</f>
        <v>AJ05LGNR5FDW</v>
      </c>
      <c r="B1035" s="1" t="s">
        <v>2021</v>
      </c>
      <c r="C1035" s="9" t="s">
        <v>2015</v>
      </c>
      <c r="D1035" s="14" t="s">
        <v>2022</v>
      </c>
      <c r="E1035" s="9" t="s">
        <v>11</v>
      </c>
    </row>
    <row r="1036" spans="1:5" ht="15" customHeight="1" outlineLevel="2" x14ac:dyDescent="0.25">
      <c r="A1036" s="3" t="str">
        <f>HYPERLINK("http://mystore1.ru/price_items/search?utf8=%E2%9C%93&amp;oem=AJ05LGNR5RDW","AJ05LGNR5RDW")</f>
        <v>AJ05LGNR5RDW</v>
      </c>
      <c r="B1036" s="1" t="s">
        <v>2023</v>
      </c>
      <c r="C1036" s="9" t="s">
        <v>2015</v>
      </c>
      <c r="D1036" s="14" t="s">
        <v>2024</v>
      </c>
      <c r="E1036" s="9" t="s">
        <v>11</v>
      </c>
    </row>
    <row r="1037" spans="1:5" ht="15" customHeight="1" outlineLevel="2" x14ac:dyDescent="0.25">
      <c r="A1037" s="3" t="str">
        <f>HYPERLINK("http://mystore1.ru/price_items/search?utf8=%E2%9C%93&amp;oem=AJ05RGNR5FDW","AJ05RGNR5FDW")</f>
        <v>AJ05RGNR5FDW</v>
      </c>
      <c r="B1037" s="1" t="s">
        <v>2025</v>
      </c>
      <c r="C1037" s="9" t="s">
        <v>2015</v>
      </c>
      <c r="D1037" s="14" t="s">
        <v>2026</v>
      </c>
      <c r="E1037" s="9" t="s">
        <v>11</v>
      </c>
    </row>
    <row r="1038" spans="1:5" ht="15" customHeight="1" outlineLevel="2" x14ac:dyDescent="0.25">
      <c r="A1038" s="3" t="str">
        <f>HYPERLINK("http://mystore1.ru/price_items/search?utf8=%E2%9C%93&amp;oem=AJ05RGNR5RDW","AJ05RGNR5RDW")</f>
        <v>AJ05RGNR5RDW</v>
      </c>
      <c r="B1038" s="1" t="s">
        <v>2027</v>
      </c>
      <c r="C1038" s="9" t="s">
        <v>2015</v>
      </c>
      <c r="D1038" s="14" t="s">
        <v>2028</v>
      </c>
      <c r="E1038" s="9" t="s">
        <v>11</v>
      </c>
    </row>
    <row r="1039" spans="1:5" outlineLevel="1" x14ac:dyDescent="0.25">
      <c r="A1039" s="2"/>
      <c r="B1039" s="6" t="s">
        <v>2029</v>
      </c>
      <c r="C1039" s="8"/>
      <c r="D1039" s="8"/>
      <c r="E1039" s="8"/>
    </row>
    <row r="1040" spans="1:5" ht="15" customHeight="1" outlineLevel="2" x14ac:dyDescent="0.25">
      <c r="A1040" s="3" t="str">
        <f>HYPERLINK("http://mystore1.ru/price_items/search?utf8=%E2%9C%93&amp;oem=AJ07AGNBL","AJ07AGNBL")</f>
        <v>AJ07AGNBL</v>
      </c>
      <c r="B1040" s="1" t="s">
        <v>2030</v>
      </c>
      <c r="C1040" s="9" t="s">
        <v>2031</v>
      </c>
      <c r="D1040" s="14" t="s">
        <v>2032</v>
      </c>
      <c r="E1040" s="9" t="s">
        <v>8</v>
      </c>
    </row>
    <row r="1041" spans="1:5" ht="15" customHeight="1" outlineLevel="2" x14ac:dyDescent="0.25">
      <c r="A1041" s="3" t="str">
        <f>HYPERLINK("http://mystore1.ru/price_items/search?utf8=%E2%9C%93&amp;oem=AJ07ASMRT","AJ07ASMRT")</f>
        <v>AJ07ASMRT</v>
      </c>
      <c r="B1041" s="1" t="s">
        <v>2033</v>
      </c>
      <c r="C1041" s="9" t="s">
        <v>25</v>
      </c>
      <c r="D1041" s="14" t="s">
        <v>2034</v>
      </c>
      <c r="E1041" s="9" t="s">
        <v>27</v>
      </c>
    </row>
    <row r="1042" spans="1:5" ht="15" customHeight="1" outlineLevel="2" x14ac:dyDescent="0.25">
      <c r="A1042" s="3" t="str">
        <f>HYPERLINK("http://mystore1.ru/price_items/search?utf8=%E2%9C%93&amp;oem=AJ07LGNR5FDW","AJ07LGNR5FDW")</f>
        <v>AJ07LGNR5FDW</v>
      </c>
      <c r="B1042" s="1" t="s">
        <v>2035</v>
      </c>
      <c r="C1042" s="9" t="s">
        <v>2036</v>
      </c>
      <c r="D1042" s="14" t="s">
        <v>2037</v>
      </c>
      <c r="E1042" s="9" t="s">
        <v>11</v>
      </c>
    </row>
    <row r="1043" spans="1:5" ht="15" customHeight="1" outlineLevel="2" x14ac:dyDescent="0.25">
      <c r="A1043" s="3" t="str">
        <f>HYPERLINK("http://mystore1.ru/price_items/search?utf8=%E2%9C%93&amp;oem=AJ07RGNR5FDW","AJ07RGNR5FDW")</f>
        <v>AJ07RGNR5FDW</v>
      </c>
      <c r="B1043" s="1" t="s">
        <v>2038</v>
      </c>
      <c r="C1043" s="9" t="s">
        <v>2036</v>
      </c>
      <c r="D1043" s="14" t="s">
        <v>2039</v>
      </c>
      <c r="E1043" s="9" t="s">
        <v>11</v>
      </c>
    </row>
    <row r="1044" spans="1:5" outlineLevel="1" x14ac:dyDescent="0.25">
      <c r="A1044" s="2"/>
      <c r="B1044" s="6" t="s">
        <v>2040</v>
      </c>
      <c r="C1044" s="8"/>
      <c r="D1044" s="8"/>
      <c r="E1044" s="8"/>
    </row>
    <row r="1045" spans="1:5" ht="15" customHeight="1" outlineLevel="2" x14ac:dyDescent="0.25">
      <c r="A1045" s="3" t="str">
        <f>HYPERLINK("http://mystore1.ru/price_items/search?utf8=%E2%9C%93&amp;oem=A217AGNBL","A217AGNBL")</f>
        <v>A217AGNBL</v>
      </c>
      <c r="B1045" s="1" t="s">
        <v>2041</v>
      </c>
      <c r="C1045" s="9" t="s">
        <v>2042</v>
      </c>
      <c r="D1045" s="14" t="s">
        <v>2043</v>
      </c>
      <c r="E1045" s="9" t="s">
        <v>8</v>
      </c>
    </row>
    <row r="1046" spans="1:5" outlineLevel="1" x14ac:dyDescent="0.25">
      <c r="A1046" s="2"/>
      <c r="B1046" s="6" t="s">
        <v>2044</v>
      </c>
      <c r="C1046" s="8"/>
      <c r="D1046" s="8"/>
      <c r="E1046" s="8"/>
    </row>
    <row r="1047" spans="1:5" ht="15" customHeight="1" outlineLevel="2" x14ac:dyDescent="0.25">
      <c r="A1047" s="3" t="str">
        <f>HYPERLINK("http://mystore1.ru/price_items/search?utf8=%E2%9C%93&amp;oem=A225AGNBL","A225AGNBL")</f>
        <v>A225AGNBL</v>
      </c>
      <c r="B1047" s="1" t="s">
        <v>2045</v>
      </c>
      <c r="C1047" s="9" t="s">
        <v>1403</v>
      </c>
      <c r="D1047" s="14" t="s">
        <v>2046</v>
      </c>
      <c r="E1047" s="9" t="s">
        <v>8</v>
      </c>
    </row>
    <row r="1048" spans="1:5" ht="15" customHeight="1" outlineLevel="2" x14ac:dyDescent="0.25">
      <c r="A1048" s="3" t="str">
        <f>HYPERLINK("http://mystore1.ru/price_items/search?utf8=%E2%9C%93&amp;oem=A225ASMST","A225ASMST")</f>
        <v>A225ASMST</v>
      </c>
      <c r="B1048" s="1" t="s">
        <v>2047</v>
      </c>
      <c r="C1048" s="9" t="s">
        <v>25</v>
      </c>
      <c r="D1048" s="14" t="s">
        <v>2048</v>
      </c>
      <c r="E1048" s="9" t="s">
        <v>27</v>
      </c>
    </row>
    <row r="1049" spans="1:5" ht="15" customHeight="1" outlineLevel="2" x14ac:dyDescent="0.25">
      <c r="A1049" s="3" t="str">
        <f>HYPERLINK("http://mystore1.ru/price_items/search?utf8=%E2%9C%93&amp;oem=A225LGNS4FD","A225LGNS4FD")</f>
        <v>A225LGNS4FD</v>
      </c>
      <c r="B1049" s="1" t="s">
        <v>2049</v>
      </c>
      <c r="C1049" s="9" t="s">
        <v>1403</v>
      </c>
      <c r="D1049" s="14" t="s">
        <v>2050</v>
      </c>
      <c r="E1049" s="9" t="s">
        <v>11</v>
      </c>
    </row>
    <row r="1050" spans="1:5" ht="15" customHeight="1" outlineLevel="2" x14ac:dyDescent="0.25">
      <c r="A1050" s="3" t="str">
        <f>HYPERLINK("http://mystore1.ru/price_items/search?utf8=%E2%9C%93&amp;oem=A225RGNS4FD","A225RGNS4FD")</f>
        <v>A225RGNS4FD</v>
      </c>
      <c r="B1050" s="1" t="s">
        <v>2051</v>
      </c>
      <c r="C1050" s="9" t="s">
        <v>1403</v>
      </c>
      <c r="D1050" s="14" t="s">
        <v>2052</v>
      </c>
      <c r="E1050" s="9" t="s">
        <v>11</v>
      </c>
    </row>
    <row r="1051" spans="1:5" outlineLevel="1" x14ac:dyDescent="0.25">
      <c r="A1051" s="2"/>
      <c r="B1051" s="6" t="s">
        <v>2053</v>
      </c>
      <c r="C1051" s="8"/>
      <c r="D1051" s="8"/>
      <c r="E1051" s="8"/>
    </row>
    <row r="1052" spans="1:5" ht="15" customHeight="1" outlineLevel="2" x14ac:dyDescent="0.25">
      <c r="A1052" s="3" t="str">
        <f>HYPERLINK("http://mystore1.ru/price_items/search?utf8=%E2%9C%93&amp;oem=A220AGNBL","A220AGNBL")</f>
        <v>A220AGNBL</v>
      </c>
      <c r="B1052" s="1" t="s">
        <v>2054</v>
      </c>
      <c r="C1052" s="9" t="s">
        <v>883</v>
      </c>
      <c r="D1052" s="14" t="s">
        <v>2055</v>
      </c>
      <c r="E1052" s="9" t="s">
        <v>8</v>
      </c>
    </row>
    <row r="1053" spans="1:5" ht="15" customHeight="1" outlineLevel="2" x14ac:dyDescent="0.25">
      <c r="A1053" s="3" t="str">
        <f>HYPERLINK("http://mystore1.ru/price_items/search?utf8=%E2%9C%93&amp;oem=A220ASMS","A220ASMS")</f>
        <v>A220ASMS</v>
      </c>
      <c r="B1053" s="1" t="s">
        <v>2056</v>
      </c>
      <c r="C1053" s="9" t="s">
        <v>25</v>
      </c>
      <c r="D1053" s="14" t="s">
        <v>2057</v>
      </c>
      <c r="E1053" s="9" t="s">
        <v>27</v>
      </c>
    </row>
    <row r="1054" spans="1:5" ht="15" customHeight="1" outlineLevel="2" x14ac:dyDescent="0.25">
      <c r="A1054" s="3" t="str">
        <f>HYPERLINK("http://mystore1.ru/price_items/search?utf8=%E2%9C%93&amp;oem=A220RGNS4FD","A220RGNS4FD")</f>
        <v>A220RGNS4FD</v>
      </c>
      <c r="B1054" s="1" t="s">
        <v>2058</v>
      </c>
      <c r="C1054" s="9" t="s">
        <v>926</v>
      </c>
      <c r="D1054" s="14" t="s">
        <v>2059</v>
      </c>
      <c r="E1054" s="9" t="s">
        <v>11</v>
      </c>
    </row>
    <row r="1055" spans="1:5" outlineLevel="1" x14ac:dyDescent="0.25">
      <c r="A1055" s="2"/>
      <c r="B1055" s="6" t="s">
        <v>2060</v>
      </c>
      <c r="C1055" s="8"/>
      <c r="D1055" s="8"/>
      <c r="E1055" s="8"/>
    </row>
    <row r="1056" spans="1:5" ht="15" customHeight="1" outlineLevel="2" x14ac:dyDescent="0.25">
      <c r="A1056" s="3" t="str">
        <f>HYPERLINK("http://mystore1.ru/price_items/search?utf8=%E2%9C%93&amp;oem=A224AGSBLZ","A224AGSBLZ")</f>
        <v>A224AGSBLZ</v>
      </c>
      <c r="B1056" s="1" t="s">
        <v>2061</v>
      </c>
      <c r="C1056" s="9" t="s">
        <v>2062</v>
      </c>
      <c r="D1056" s="14" t="s">
        <v>2063</v>
      </c>
      <c r="E1056" s="9" t="s">
        <v>8</v>
      </c>
    </row>
    <row r="1057" spans="1:5" ht="15" customHeight="1" outlineLevel="2" x14ac:dyDescent="0.25">
      <c r="A1057" s="3" t="str">
        <f>HYPERLINK("http://mystore1.ru/price_items/search?utf8=%E2%9C%93&amp;oem=A224AGSZ","A224AGSZ")</f>
        <v>A224AGSZ</v>
      </c>
      <c r="B1057" s="1" t="s">
        <v>2064</v>
      </c>
      <c r="C1057" s="9" t="s">
        <v>2062</v>
      </c>
      <c r="D1057" s="14" t="s">
        <v>2065</v>
      </c>
      <c r="E1057" s="9" t="s">
        <v>8</v>
      </c>
    </row>
    <row r="1058" spans="1:5" ht="15" customHeight="1" outlineLevel="2" x14ac:dyDescent="0.25">
      <c r="A1058" s="3" t="str">
        <f>HYPERLINK("http://mystore1.ru/price_items/search?utf8=%E2%9C%93&amp;oem=A224BGSVBW","A224BGSVBW")</f>
        <v>A224BGSVBW</v>
      </c>
      <c r="B1058" s="1" t="s">
        <v>2066</v>
      </c>
      <c r="C1058" s="9" t="s">
        <v>2062</v>
      </c>
      <c r="D1058" s="14" t="s">
        <v>2067</v>
      </c>
      <c r="E1058" s="9" t="s">
        <v>30</v>
      </c>
    </row>
    <row r="1059" spans="1:5" ht="15" customHeight="1" outlineLevel="2" x14ac:dyDescent="0.25">
      <c r="A1059" s="3" t="str">
        <f>HYPERLINK("http://mystore1.ru/price_items/search?utf8=%E2%9C%93&amp;oem=A224LGPV5RD","A224LGPV5RD")</f>
        <v>A224LGPV5RD</v>
      </c>
      <c r="B1059" s="1" t="s">
        <v>2068</v>
      </c>
      <c r="C1059" s="9" t="s">
        <v>2062</v>
      </c>
      <c r="D1059" s="14" t="s">
        <v>2069</v>
      </c>
      <c r="E1059" s="9" t="s">
        <v>11</v>
      </c>
    </row>
    <row r="1060" spans="1:5" ht="15" customHeight="1" outlineLevel="2" x14ac:dyDescent="0.25">
      <c r="A1060" s="3" t="str">
        <f>HYPERLINK("http://mystore1.ru/price_items/search?utf8=%E2%9C%93&amp;oem=A224LGSV5FD","A224LGSV5FD")</f>
        <v>A224LGSV5FD</v>
      </c>
      <c r="B1060" s="1" t="s">
        <v>2070</v>
      </c>
      <c r="C1060" s="9" t="s">
        <v>2062</v>
      </c>
      <c r="D1060" s="14" t="s">
        <v>2071</v>
      </c>
      <c r="E1060" s="9" t="s">
        <v>11</v>
      </c>
    </row>
    <row r="1061" spans="1:5" ht="15" customHeight="1" outlineLevel="2" x14ac:dyDescent="0.25">
      <c r="A1061" s="3" t="str">
        <f>HYPERLINK("http://mystore1.ru/price_items/search?utf8=%E2%9C%93&amp;oem=A224LGSV5RD","A224LGSV5RD")</f>
        <v>A224LGSV5RD</v>
      </c>
      <c r="B1061" s="1" t="s">
        <v>2072</v>
      </c>
      <c r="C1061" s="9" t="s">
        <v>2062</v>
      </c>
      <c r="D1061" s="14" t="s">
        <v>2073</v>
      </c>
      <c r="E1061" s="9" t="s">
        <v>11</v>
      </c>
    </row>
    <row r="1062" spans="1:5" ht="15" customHeight="1" outlineLevel="2" x14ac:dyDescent="0.25">
      <c r="A1062" s="3" t="str">
        <f>HYPERLINK("http://mystore1.ru/price_items/search?utf8=%E2%9C%93&amp;oem=A224RGPV5RD","A224RGPV5RD")</f>
        <v>A224RGPV5RD</v>
      </c>
      <c r="B1062" s="1" t="s">
        <v>2074</v>
      </c>
      <c r="C1062" s="9" t="s">
        <v>2062</v>
      </c>
      <c r="D1062" s="14" t="s">
        <v>2075</v>
      </c>
      <c r="E1062" s="9" t="s">
        <v>11</v>
      </c>
    </row>
    <row r="1063" spans="1:5" ht="15" customHeight="1" outlineLevel="2" x14ac:dyDescent="0.25">
      <c r="A1063" s="3" t="str">
        <f>HYPERLINK("http://mystore1.ru/price_items/search?utf8=%E2%9C%93&amp;oem=A224RGSV5FD","A224RGSV5FD")</f>
        <v>A224RGSV5FD</v>
      </c>
      <c r="B1063" s="1" t="s">
        <v>2076</v>
      </c>
      <c r="C1063" s="9" t="s">
        <v>2062</v>
      </c>
      <c r="D1063" s="14" t="s">
        <v>2077</v>
      </c>
      <c r="E1063" s="9" t="s">
        <v>11</v>
      </c>
    </row>
    <row r="1064" spans="1:5" ht="15" customHeight="1" outlineLevel="2" x14ac:dyDescent="0.25">
      <c r="A1064" s="3" t="str">
        <f>HYPERLINK("http://mystore1.ru/price_items/search?utf8=%E2%9C%93&amp;oem=A224RGSV5RD","A224RGSV5RD")</f>
        <v>A224RGSV5RD</v>
      </c>
      <c r="B1064" s="1" t="s">
        <v>2078</v>
      </c>
      <c r="C1064" s="9" t="s">
        <v>2062</v>
      </c>
      <c r="D1064" s="14" t="s">
        <v>2079</v>
      </c>
      <c r="E1064" s="9" t="s">
        <v>11</v>
      </c>
    </row>
    <row r="1065" spans="1:5" outlineLevel="1" x14ac:dyDescent="0.25">
      <c r="A1065" s="2"/>
      <c r="B1065" s="6" t="s">
        <v>2080</v>
      </c>
      <c r="C1065" s="8"/>
      <c r="D1065" s="8"/>
      <c r="E1065" s="8"/>
    </row>
    <row r="1066" spans="1:5" ht="15" customHeight="1" outlineLevel="2" x14ac:dyDescent="0.25">
      <c r="A1066" s="3" t="str">
        <f>HYPERLINK("http://mystore1.ru/price_items/search?utf8=%E2%9C%93&amp;oem=A228AGSBL","A228AGSBL")</f>
        <v>A228AGSBL</v>
      </c>
      <c r="B1066" s="1" t="s">
        <v>2081</v>
      </c>
      <c r="C1066" s="9" t="s">
        <v>1423</v>
      </c>
      <c r="D1066" s="14" t="s">
        <v>2082</v>
      </c>
      <c r="E1066" s="9" t="s">
        <v>8</v>
      </c>
    </row>
    <row r="1067" spans="1:5" ht="15" customHeight="1" outlineLevel="2" x14ac:dyDescent="0.25">
      <c r="A1067" s="3" t="str">
        <f>HYPERLINK("http://mystore1.ru/price_items/search?utf8=%E2%9C%93&amp;oem=A228LGNS4FDW","A228LGNS4FDW")</f>
        <v>A228LGNS4FDW</v>
      </c>
      <c r="B1067" s="1" t="s">
        <v>2083</v>
      </c>
      <c r="C1067" s="9" t="s">
        <v>1423</v>
      </c>
      <c r="D1067" s="14" t="s">
        <v>2084</v>
      </c>
      <c r="E1067" s="9" t="s">
        <v>11</v>
      </c>
    </row>
    <row r="1068" spans="1:5" ht="15" customHeight="1" outlineLevel="2" x14ac:dyDescent="0.25">
      <c r="A1068" s="3" t="str">
        <f>HYPERLINK("http://mystore1.ru/price_items/search?utf8=%E2%9C%93&amp;oem=A228RGNS4FDW","A228RGNS4FDW")</f>
        <v>A228RGNS4FDW</v>
      </c>
      <c r="B1068" s="1" t="s">
        <v>2085</v>
      </c>
      <c r="C1068" s="9" t="s">
        <v>1423</v>
      </c>
      <c r="D1068" s="14" t="s">
        <v>2086</v>
      </c>
      <c r="E1068" s="9" t="s">
        <v>11</v>
      </c>
    </row>
    <row r="1069" spans="1:5" outlineLevel="1" x14ac:dyDescent="0.25">
      <c r="A1069" s="2"/>
      <c r="B1069" s="6" t="s">
        <v>2087</v>
      </c>
      <c r="C1069" s="8"/>
      <c r="D1069" s="8"/>
      <c r="E1069" s="8"/>
    </row>
    <row r="1070" spans="1:5" outlineLevel="2" x14ac:dyDescent="0.25">
      <c r="A1070" s="3" t="str">
        <f>HYPERLINK("http://mystore1.ru/price_items/search?utf8=%E2%9C%93&amp;oem=A223AGNBLH1E","A223AGNBLH1E")</f>
        <v>A223AGNBLH1E</v>
      </c>
      <c r="B1070" s="1" t="s">
        <v>2088</v>
      </c>
      <c r="C1070" s="9" t="s">
        <v>1171</v>
      </c>
      <c r="D1070" s="14" t="s">
        <v>2089</v>
      </c>
      <c r="E1070" s="9" t="s">
        <v>8</v>
      </c>
    </row>
    <row r="1071" spans="1:5" outlineLevel="2" x14ac:dyDescent="0.25">
      <c r="A1071" s="3" t="str">
        <f>HYPERLINK("http://mystore1.ru/price_items/search?utf8=%E2%9C%93&amp;oem=A223AGNBLH2E","A223AGNBLH2E")</f>
        <v>A223AGNBLH2E</v>
      </c>
      <c r="B1071" s="1" t="s">
        <v>2090</v>
      </c>
      <c r="C1071" s="9" t="s">
        <v>1359</v>
      </c>
      <c r="D1071" s="14" t="s">
        <v>2091</v>
      </c>
      <c r="E1071" s="9" t="s">
        <v>8</v>
      </c>
    </row>
    <row r="1072" spans="1:5" outlineLevel="2" x14ac:dyDescent="0.25">
      <c r="A1072" s="3" t="str">
        <f>HYPERLINK("http://mystore1.ru/price_items/search?utf8=%E2%9C%93&amp;oem=A223AGS","A223AGS")</f>
        <v>A223AGS</v>
      </c>
      <c r="B1072" s="1" t="s">
        <v>2092</v>
      </c>
      <c r="C1072" s="9" t="s">
        <v>1362</v>
      </c>
      <c r="D1072" s="14" t="s">
        <v>2093</v>
      </c>
      <c r="E1072" s="9" t="s">
        <v>8</v>
      </c>
    </row>
    <row r="1073" spans="1:5" outlineLevel="2" x14ac:dyDescent="0.25">
      <c r="A1073" s="3" t="str">
        <f>HYPERLINK("http://mystore1.ru/price_items/search?utf8=%E2%9C%93&amp;oem=A223AGSBL","A223AGSBL")</f>
        <v>A223AGSBL</v>
      </c>
      <c r="B1073" s="1" t="s">
        <v>2094</v>
      </c>
      <c r="C1073" s="9" t="s">
        <v>1362</v>
      </c>
      <c r="D1073" s="14" t="s">
        <v>2095</v>
      </c>
      <c r="E1073" s="9" t="s">
        <v>8</v>
      </c>
    </row>
    <row r="1074" spans="1:5" outlineLevel="2" x14ac:dyDescent="0.25">
      <c r="A1074" s="3" t="str">
        <f>HYPERLINK("http://mystore1.ru/price_items/search?utf8=%E2%9C%93&amp;oem=A223ASMV","A223ASMV")</f>
        <v>A223ASMV</v>
      </c>
      <c r="B1074" s="1" t="s">
        <v>2096</v>
      </c>
      <c r="C1074" s="9" t="s">
        <v>25</v>
      </c>
      <c r="D1074" s="14" t="s">
        <v>2097</v>
      </c>
      <c r="E1074" s="9" t="s">
        <v>27</v>
      </c>
    </row>
    <row r="1075" spans="1:5" outlineLevel="2" x14ac:dyDescent="0.25">
      <c r="A1075" s="3" t="str">
        <f>HYPERLINK("http://mystore1.ru/price_items/search?utf8=%E2%9C%93&amp;oem=A223BGNVB","A223BGNVB")</f>
        <v>A223BGNVB</v>
      </c>
      <c r="B1075" s="1" t="s">
        <v>2098</v>
      </c>
      <c r="C1075" s="9" t="s">
        <v>2099</v>
      </c>
      <c r="D1075" s="14" t="s">
        <v>2100</v>
      </c>
      <c r="E1075" s="9" t="s">
        <v>30</v>
      </c>
    </row>
    <row r="1076" spans="1:5" outlineLevel="2" x14ac:dyDescent="0.25">
      <c r="A1076" s="3" t="str">
        <f>HYPERLINK("http://mystore1.ru/price_items/search?utf8=%E2%9C%93&amp;oem=A223BGNVB1H","A223BGNVB1H")</f>
        <v>A223BGNVB1H</v>
      </c>
      <c r="B1076" s="1" t="s">
        <v>2101</v>
      </c>
      <c r="C1076" s="9" t="s">
        <v>2099</v>
      </c>
      <c r="D1076" s="14" t="s">
        <v>2102</v>
      </c>
      <c r="E1076" s="9" t="s">
        <v>30</v>
      </c>
    </row>
    <row r="1077" spans="1:5" outlineLevel="2" x14ac:dyDescent="0.25">
      <c r="A1077" s="3" t="str">
        <f>HYPERLINK("http://mystore1.ru/price_items/search?utf8=%E2%9C%93&amp;oem=A223LGNV4FDW","A223LGNV4FDW")</f>
        <v>A223LGNV4FDW</v>
      </c>
      <c r="B1077" s="1" t="s">
        <v>2103</v>
      </c>
      <c r="C1077" s="9" t="s">
        <v>2099</v>
      </c>
      <c r="D1077" s="14" t="s">
        <v>2104</v>
      </c>
      <c r="E1077" s="9" t="s">
        <v>11</v>
      </c>
    </row>
    <row r="1078" spans="1:5" outlineLevel="2" x14ac:dyDescent="0.25">
      <c r="A1078" s="3" t="str">
        <f>HYPERLINK("http://mystore1.ru/price_items/search?utf8=%E2%9C%93&amp;oem=A223LGPV5RDW1J","A223LGPV5RDW1J")</f>
        <v>A223LGPV5RDW1J</v>
      </c>
      <c r="B1078" s="1" t="s">
        <v>2105</v>
      </c>
      <c r="C1078" s="9" t="s">
        <v>2099</v>
      </c>
      <c r="D1078" s="14" t="s">
        <v>2106</v>
      </c>
      <c r="E1078" s="9" t="s">
        <v>11</v>
      </c>
    </row>
    <row r="1079" spans="1:5" x14ac:dyDescent="0.25">
      <c r="A1079" s="61" t="s">
        <v>2107</v>
      </c>
      <c r="B1079" s="61"/>
      <c r="C1079" s="61"/>
      <c r="D1079" s="61"/>
      <c r="E1079" s="61"/>
    </row>
    <row r="1080" spans="1:5" outlineLevel="1" x14ac:dyDescent="0.25">
      <c r="A1080" s="2"/>
      <c r="B1080" s="6" t="s">
        <v>2108</v>
      </c>
      <c r="C1080" s="8"/>
      <c r="D1080" s="8"/>
      <c r="E1080" s="8"/>
    </row>
    <row r="1081" spans="1:5" ht="15" customHeight="1" outlineLevel="2" x14ac:dyDescent="0.25">
      <c r="A1081" s="3" t="str">
        <f>HYPERLINK("http://mystore1.ru/price_items/search?utf8=%E2%9C%93&amp;oem=AJ13AGS","AJ13AGS")</f>
        <v>AJ13AGS</v>
      </c>
      <c r="B1081" s="1" t="s">
        <v>2109</v>
      </c>
      <c r="C1081" s="9" t="s">
        <v>1204</v>
      </c>
      <c r="D1081" s="14" t="s">
        <v>2110</v>
      </c>
      <c r="E1081" s="9" t="s">
        <v>8</v>
      </c>
    </row>
    <row r="1082" spans="1:5" outlineLevel="1" x14ac:dyDescent="0.25">
      <c r="A1082" s="2"/>
      <c r="B1082" s="6" t="s">
        <v>2111</v>
      </c>
      <c r="C1082" s="8"/>
      <c r="D1082" s="8"/>
      <c r="E1082" s="8"/>
    </row>
    <row r="1083" spans="1:5" ht="15" customHeight="1" outlineLevel="2" x14ac:dyDescent="0.25">
      <c r="A1083" s="3" t="str">
        <f>HYPERLINK("http://mystore1.ru/price_items/search?utf8=%E2%9C%93&amp;oem=AJ15LGSR5FD","AJ15LGSR5FD")</f>
        <v>AJ15LGSR5FD</v>
      </c>
      <c r="B1083" s="1" t="s">
        <v>2112</v>
      </c>
      <c r="C1083" s="9" t="s">
        <v>687</v>
      </c>
      <c r="D1083" s="14" t="s">
        <v>2113</v>
      </c>
      <c r="E1083" s="9" t="s">
        <v>11</v>
      </c>
    </row>
    <row r="1084" spans="1:5" ht="15" customHeight="1" outlineLevel="2" x14ac:dyDescent="0.25">
      <c r="A1084" s="3" t="str">
        <f>HYPERLINK("http://mystore1.ru/price_items/search?utf8=%E2%9C%93&amp;oem=AJ15LGSR5RD","AJ15LGSR5RD")</f>
        <v>AJ15LGSR5RD</v>
      </c>
      <c r="B1084" s="1" t="s">
        <v>2114</v>
      </c>
      <c r="C1084" s="9" t="s">
        <v>687</v>
      </c>
      <c r="D1084" s="14" t="s">
        <v>2115</v>
      </c>
      <c r="E1084" s="9" t="s">
        <v>11</v>
      </c>
    </row>
    <row r="1085" spans="1:5" ht="15" customHeight="1" outlineLevel="2" x14ac:dyDescent="0.25">
      <c r="A1085" s="3" t="str">
        <f>HYPERLINK("http://mystore1.ru/price_items/search?utf8=%E2%9C%93&amp;oem=AJ15LYPR5RD","AJ15LYPR5RD")</f>
        <v>AJ15LYPR5RD</v>
      </c>
      <c r="B1085" s="1" t="s">
        <v>2116</v>
      </c>
      <c r="C1085" s="9" t="s">
        <v>687</v>
      </c>
      <c r="D1085" s="14" t="s">
        <v>2117</v>
      </c>
      <c r="E1085" s="9" t="s">
        <v>11</v>
      </c>
    </row>
    <row r="1086" spans="1:5" ht="15" customHeight="1" outlineLevel="2" x14ac:dyDescent="0.25">
      <c r="A1086" s="3" t="str">
        <f>HYPERLINK("http://mystore1.ru/price_items/search?utf8=%E2%9C%93&amp;oem=AJ15RGSR5FD","AJ15RGSR5FD")</f>
        <v>AJ15RGSR5FD</v>
      </c>
      <c r="B1086" s="1" t="s">
        <v>2118</v>
      </c>
      <c r="C1086" s="9" t="s">
        <v>687</v>
      </c>
      <c r="D1086" s="14" t="s">
        <v>2119</v>
      </c>
      <c r="E1086" s="9" t="s">
        <v>11</v>
      </c>
    </row>
    <row r="1087" spans="1:5" ht="15" customHeight="1" outlineLevel="2" x14ac:dyDescent="0.25">
      <c r="A1087" s="3" t="str">
        <f>HYPERLINK("http://mystore1.ru/price_items/search?utf8=%E2%9C%93&amp;oem=AJ15RGSR5RD","AJ15RGSR5RD")</f>
        <v>AJ15RGSR5RD</v>
      </c>
      <c r="B1087" s="1" t="s">
        <v>2120</v>
      </c>
      <c r="C1087" s="9" t="s">
        <v>687</v>
      </c>
      <c r="D1087" s="14" t="s">
        <v>2121</v>
      </c>
      <c r="E1087" s="9" t="s">
        <v>11</v>
      </c>
    </row>
    <row r="1088" spans="1:5" ht="15" customHeight="1" outlineLevel="2" x14ac:dyDescent="0.25">
      <c r="A1088" s="3" t="str">
        <f>HYPERLINK("http://mystore1.ru/price_items/search?utf8=%E2%9C%93&amp;oem=AJ15RYPR5RD","AJ15RYPR5RD")</f>
        <v>AJ15RYPR5RD</v>
      </c>
      <c r="B1088" s="1" t="s">
        <v>2122</v>
      </c>
      <c r="C1088" s="9" t="s">
        <v>687</v>
      </c>
      <c r="D1088" s="14" t="s">
        <v>2123</v>
      </c>
      <c r="E1088" s="9" t="s">
        <v>11</v>
      </c>
    </row>
    <row r="1089" spans="1:5" outlineLevel="1" x14ac:dyDescent="0.25">
      <c r="A1089" s="2"/>
      <c r="B1089" s="6" t="s">
        <v>2124</v>
      </c>
      <c r="C1089" s="8"/>
      <c r="D1089" s="8"/>
      <c r="E1089" s="8"/>
    </row>
    <row r="1090" spans="1:5" ht="15" customHeight="1" outlineLevel="2" x14ac:dyDescent="0.25">
      <c r="A1090" s="3" t="str">
        <f>HYPERLINK("http://mystore1.ru/price_items/search?utf8=%E2%9C%93&amp;oem=AJ04AGN1B","AJ04AGN1B")</f>
        <v>AJ04AGN1B</v>
      </c>
      <c r="B1090" s="1" t="s">
        <v>2125</v>
      </c>
      <c r="C1090" s="9" t="s">
        <v>2126</v>
      </c>
      <c r="D1090" s="14" t="s">
        <v>2127</v>
      </c>
      <c r="E1090" s="9" t="s">
        <v>8</v>
      </c>
    </row>
    <row r="1091" spans="1:5" ht="15" customHeight="1" outlineLevel="2" x14ac:dyDescent="0.25">
      <c r="A1091" s="3" t="str">
        <f>HYPERLINK("http://mystore1.ru/price_items/search?utf8=%E2%9C%93&amp;oem=AJ04AGNBL1B","AJ04AGNBL1B")</f>
        <v>AJ04AGNBL1B</v>
      </c>
      <c r="B1091" s="1" t="s">
        <v>2128</v>
      </c>
      <c r="C1091" s="9" t="s">
        <v>2126</v>
      </c>
      <c r="D1091" s="14" t="s">
        <v>2129</v>
      </c>
      <c r="E1091" s="9" t="s">
        <v>8</v>
      </c>
    </row>
    <row r="1092" spans="1:5" ht="15" customHeight="1" outlineLevel="2" x14ac:dyDescent="0.25">
      <c r="A1092" s="3" t="str">
        <f>HYPERLINK("http://mystore1.ru/price_items/search?utf8=%E2%9C%93&amp;oem=AJ04ASMR","AJ04ASMR")</f>
        <v>AJ04ASMR</v>
      </c>
      <c r="B1092" s="1" t="s">
        <v>2130</v>
      </c>
      <c r="C1092" s="9" t="s">
        <v>25</v>
      </c>
      <c r="D1092" s="14" t="s">
        <v>2131</v>
      </c>
      <c r="E1092" s="9" t="s">
        <v>27</v>
      </c>
    </row>
    <row r="1093" spans="1:5" outlineLevel="1" x14ac:dyDescent="0.25">
      <c r="A1093" s="2"/>
      <c r="B1093" s="6" t="s">
        <v>2132</v>
      </c>
      <c r="C1093" s="8"/>
      <c r="D1093" s="8"/>
      <c r="E1093" s="8"/>
    </row>
    <row r="1094" spans="1:5" outlineLevel="2" x14ac:dyDescent="0.25">
      <c r="A1094" s="3" t="str">
        <f>HYPERLINK("http://mystore1.ru/price_items/search?utf8=%E2%9C%93&amp;oem=AJ14AGS","AJ14AGS")</f>
        <v>AJ14AGS</v>
      </c>
      <c r="B1094" s="1" t="s">
        <v>2133</v>
      </c>
      <c r="C1094" s="9" t="s">
        <v>511</v>
      </c>
      <c r="D1094" s="14" t="s">
        <v>2134</v>
      </c>
      <c r="E1094" s="9" t="s">
        <v>8</v>
      </c>
    </row>
    <row r="1095" spans="1:5" x14ac:dyDescent="0.25">
      <c r="A1095" s="61" t="s">
        <v>2135</v>
      </c>
      <c r="B1095" s="61"/>
      <c r="C1095" s="61"/>
      <c r="D1095" s="61"/>
      <c r="E1095" s="61"/>
    </row>
    <row r="1096" spans="1:5" outlineLevel="1" x14ac:dyDescent="0.25">
      <c r="A1096" s="2"/>
      <c r="B1096" s="6" t="s">
        <v>2136</v>
      </c>
      <c r="C1096" s="8"/>
      <c r="D1096" s="8"/>
      <c r="E1096" s="8"/>
    </row>
    <row r="1097" spans="1:5" ht="15" customHeight="1" outlineLevel="2" x14ac:dyDescent="0.25">
      <c r="A1097" s="3" t="str">
        <f>HYPERLINK("http://mystore1.ru/price_items/search?utf8=%E2%9C%93&amp;oem=2705ACL","2705ACL")</f>
        <v>2705ACL</v>
      </c>
      <c r="B1097" s="1" t="s">
        <v>2137</v>
      </c>
      <c r="C1097" s="9" t="s">
        <v>2138</v>
      </c>
      <c r="D1097" s="14" t="s">
        <v>2139</v>
      </c>
      <c r="E1097" s="9" t="s">
        <v>8</v>
      </c>
    </row>
    <row r="1098" spans="1:5" outlineLevel="1" x14ac:dyDescent="0.25">
      <c r="A1098" s="2"/>
      <c r="B1098" s="6" t="s">
        <v>2140</v>
      </c>
      <c r="C1098" s="8"/>
      <c r="D1098" s="8"/>
      <c r="E1098" s="8"/>
    </row>
    <row r="1099" spans="1:5" ht="15" customHeight="1" outlineLevel="2" x14ac:dyDescent="0.25">
      <c r="A1099" s="3" t="str">
        <f>HYPERLINK("http://mystore1.ru/price_items/search?utf8=%E2%9C%93&amp;oem=2717ABZ1C","2717ABZ1C")</f>
        <v>2717ABZ1C</v>
      </c>
      <c r="B1099" s="1" t="s">
        <v>2141</v>
      </c>
      <c r="C1099" s="9" t="s">
        <v>2142</v>
      </c>
      <c r="D1099" s="14" t="s">
        <v>2143</v>
      </c>
      <c r="E1099" s="9" t="s">
        <v>8</v>
      </c>
    </row>
    <row r="1100" spans="1:5" ht="15" customHeight="1" outlineLevel="2" x14ac:dyDescent="0.25">
      <c r="A1100" s="3" t="str">
        <f>HYPERLINK("http://mystore1.ru/price_items/search?utf8=%E2%9C%93&amp;oem=2717ACL1C","2717ACL1C")</f>
        <v>2717ACL1C</v>
      </c>
      <c r="B1100" s="1" t="s">
        <v>2144</v>
      </c>
      <c r="C1100" s="9" t="s">
        <v>2142</v>
      </c>
      <c r="D1100" s="14" t="s">
        <v>2145</v>
      </c>
      <c r="E1100" s="9" t="s">
        <v>8</v>
      </c>
    </row>
    <row r="1101" spans="1:5" ht="15" customHeight="1" outlineLevel="2" x14ac:dyDescent="0.25">
      <c r="A1101" s="3" t="str">
        <f>HYPERLINK("http://mystore1.ru/price_items/search?utf8=%E2%9C%93&amp;oem=2717AGN1C","2717AGN1C")</f>
        <v>2717AGN1C</v>
      </c>
      <c r="B1101" s="1" t="s">
        <v>2146</v>
      </c>
      <c r="C1101" s="9" t="s">
        <v>2142</v>
      </c>
      <c r="D1101" s="14" t="s">
        <v>2147</v>
      </c>
      <c r="E1101" s="9" t="s">
        <v>8</v>
      </c>
    </row>
    <row r="1102" spans="1:5" ht="15" customHeight="1" outlineLevel="2" x14ac:dyDescent="0.25">
      <c r="A1102" s="3" t="str">
        <f>HYPERLINK("http://mystore1.ru/price_items/search?utf8=%E2%9C%93&amp;oem=2717AGNBL1C","2717AGNBL1C")</f>
        <v>2717AGNBL1C</v>
      </c>
      <c r="B1102" s="1" t="s">
        <v>2148</v>
      </c>
      <c r="C1102" s="9" t="s">
        <v>2142</v>
      </c>
      <c r="D1102" s="14" t="s">
        <v>2149</v>
      </c>
      <c r="E1102" s="9" t="s">
        <v>8</v>
      </c>
    </row>
    <row r="1103" spans="1:5" ht="15" customHeight="1" outlineLevel="2" x14ac:dyDescent="0.25">
      <c r="A1103" s="3" t="str">
        <f>HYPERLINK("http://mystore1.ru/price_items/search?utf8=%E2%9C%93&amp;oem=2717BCLH1J","2717BCLH1J")</f>
        <v>2717BCLH1J</v>
      </c>
      <c r="B1103" s="1" t="s">
        <v>2150</v>
      </c>
      <c r="C1103" s="9" t="s">
        <v>891</v>
      </c>
      <c r="D1103" s="14" t="s">
        <v>2151</v>
      </c>
      <c r="E1103" s="9" t="s">
        <v>30</v>
      </c>
    </row>
    <row r="1104" spans="1:5" ht="15" customHeight="1" outlineLevel="2" x14ac:dyDescent="0.25">
      <c r="A1104" s="3" t="str">
        <f>HYPERLINK("http://mystore1.ru/price_items/search?utf8=%E2%9C%93&amp;oem=2717BGNH1J","2717BGNH1J")</f>
        <v>2717BGNH1J</v>
      </c>
      <c r="B1104" s="1" t="s">
        <v>2152</v>
      </c>
      <c r="C1104" s="9" t="s">
        <v>891</v>
      </c>
      <c r="D1104" s="14" t="s">
        <v>2153</v>
      </c>
      <c r="E1104" s="9" t="s">
        <v>30</v>
      </c>
    </row>
    <row r="1105" spans="1:5" ht="15" customHeight="1" outlineLevel="2" x14ac:dyDescent="0.25">
      <c r="A1105" s="3" t="str">
        <f>HYPERLINK("http://mystore1.ru/price_items/search?utf8=%E2%9C%93&amp;oem=2717LBZH3FD","2717LBZH3FD")</f>
        <v>2717LBZH3FD</v>
      </c>
      <c r="B1105" s="1" t="s">
        <v>2154</v>
      </c>
      <c r="C1105" s="9" t="s">
        <v>2142</v>
      </c>
      <c r="D1105" s="14" t="s">
        <v>2155</v>
      </c>
      <c r="E1105" s="9" t="s">
        <v>11</v>
      </c>
    </row>
    <row r="1106" spans="1:5" ht="15" customHeight="1" outlineLevel="2" x14ac:dyDescent="0.25">
      <c r="A1106" s="3" t="str">
        <f>HYPERLINK("http://mystore1.ru/price_items/search?utf8=%E2%9C%93&amp;oem=2717LCLH3FD","2717LCLH3FD")</f>
        <v>2717LCLH3FD</v>
      </c>
      <c r="B1106" s="1" t="s">
        <v>2156</v>
      </c>
      <c r="C1106" s="9" t="s">
        <v>2142</v>
      </c>
      <c r="D1106" s="14" t="s">
        <v>2157</v>
      </c>
      <c r="E1106" s="9" t="s">
        <v>11</v>
      </c>
    </row>
    <row r="1107" spans="1:5" ht="15" customHeight="1" outlineLevel="2" x14ac:dyDescent="0.25">
      <c r="A1107" s="3" t="str">
        <f>HYPERLINK("http://mystore1.ru/price_items/search?utf8=%E2%9C%93&amp;oem=2717LCLH3FV","2717LCLH3FV")</f>
        <v>2717LCLH3FV</v>
      </c>
      <c r="B1107" s="1" t="s">
        <v>2158</v>
      </c>
      <c r="C1107" s="9" t="s">
        <v>2142</v>
      </c>
      <c r="D1107" s="14" t="s">
        <v>2159</v>
      </c>
      <c r="E1107" s="9" t="s">
        <v>11</v>
      </c>
    </row>
    <row r="1108" spans="1:5" ht="15" customHeight="1" outlineLevel="2" x14ac:dyDescent="0.25">
      <c r="A1108" s="3" t="str">
        <f>HYPERLINK("http://mystore1.ru/price_items/search?utf8=%E2%9C%93&amp;oem=2717LCLH3RQO1H","2717LCLH3RQO1H")</f>
        <v>2717LCLH3RQO1H</v>
      </c>
      <c r="B1108" s="1" t="s">
        <v>2160</v>
      </c>
      <c r="C1108" s="9" t="s">
        <v>2142</v>
      </c>
      <c r="D1108" s="14" t="s">
        <v>2161</v>
      </c>
      <c r="E1108" s="9" t="s">
        <v>11</v>
      </c>
    </row>
    <row r="1109" spans="1:5" ht="15" customHeight="1" outlineLevel="2" x14ac:dyDescent="0.25">
      <c r="A1109" s="3" t="str">
        <f>HYPERLINK("http://mystore1.ru/price_items/search?utf8=%E2%9C%93&amp;oem=2717LCLH5FD","2717LCLH5FD")</f>
        <v>2717LCLH5FD</v>
      </c>
      <c r="B1109" s="1" t="s">
        <v>2162</v>
      </c>
      <c r="C1109" s="9" t="s">
        <v>2142</v>
      </c>
      <c r="D1109" s="14" t="s">
        <v>2163</v>
      </c>
      <c r="E1109" s="9" t="s">
        <v>11</v>
      </c>
    </row>
    <row r="1110" spans="1:5" ht="15" customHeight="1" outlineLevel="2" x14ac:dyDescent="0.25">
      <c r="A1110" s="3" t="str">
        <f>HYPERLINK("http://mystore1.ru/price_items/search?utf8=%E2%9C%93&amp;oem=2717LCLH5RD","2717LCLH5RD")</f>
        <v>2717LCLH5RD</v>
      </c>
      <c r="B1110" s="1" t="s">
        <v>2164</v>
      </c>
      <c r="C1110" s="9" t="s">
        <v>2142</v>
      </c>
      <c r="D1110" s="14" t="s">
        <v>2165</v>
      </c>
      <c r="E1110" s="9" t="s">
        <v>11</v>
      </c>
    </row>
    <row r="1111" spans="1:5" ht="15" customHeight="1" outlineLevel="2" x14ac:dyDescent="0.25">
      <c r="A1111" s="3" t="str">
        <f>HYPERLINK("http://mystore1.ru/price_items/search?utf8=%E2%9C%93&amp;oem=2717LGNH3FD","2717LGNH3FD")</f>
        <v>2717LGNH3FD</v>
      </c>
      <c r="B1111" s="1" t="s">
        <v>2166</v>
      </c>
      <c r="C1111" s="9" t="s">
        <v>2142</v>
      </c>
      <c r="D1111" s="14" t="s">
        <v>2167</v>
      </c>
      <c r="E1111" s="9" t="s">
        <v>11</v>
      </c>
    </row>
    <row r="1112" spans="1:5" ht="15" customHeight="1" outlineLevel="2" x14ac:dyDescent="0.25">
      <c r="A1112" s="3" t="str">
        <f>HYPERLINK("http://mystore1.ru/price_items/search?utf8=%E2%9C%93&amp;oem=2717LGNH3FV","2717LGNH3FV")</f>
        <v>2717LGNH3FV</v>
      </c>
      <c r="B1112" s="1" t="s">
        <v>2168</v>
      </c>
      <c r="C1112" s="9" t="s">
        <v>2142</v>
      </c>
      <c r="D1112" s="14" t="s">
        <v>2169</v>
      </c>
      <c r="E1112" s="9" t="s">
        <v>11</v>
      </c>
    </row>
    <row r="1113" spans="1:5" ht="15" customHeight="1" outlineLevel="2" x14ac:dyDescent="0.25">
      <c r="A1113" s="3" t="str">
        <f>HYPERLINK("http://mystore1.ru/price_items/search?utf8=%E2%9C%93&amp;oem=2717LGNH3RQO1H","2717LGNH3RQO1H")</f>
        <v>2717LGNH3RQO1H</v>
      </c>
      <c r="B1113" s="1" t="s">
        <v>2170</v>
      </c>
      <c r="C1113" s="9" t="s">
        <v>2171</v>
      </c>
      <c r="D1113" s="14" t="s">
        <v>2172</v>
      </c>
      <c r="E1113" s="9" t="s">
        <v>11</v>
      </c>
    </row>
    <row r="1114" spans="1:5" ht="15" customHeight="1" outlineLevel="2" x14ac:dyDescent="0.25">
      <c r="A1114" s="3" t="str">
        <f>HYPERLINK("http://mystore1.ru/price_items/search?utf8=%E2%9C%93&amp;oem=2717LGNH5FD","2717LGNH5FD")</f>
        <v>2717LGNH5FD</v>
      </c>
      <c r="B1114" s="1" t="s">
        <v>2173</v>
      </c>
      <c r="C1114" s="9" t="s">
        <v>2142</v>
      </c>
      <c r="D1114" s="14" t="s">
        <v>2174</v>
      </c>
      <c r="E1114" s="9" t="s">
        <v>11</v>
      </c>
    </row>
    <row r="1115" spans="1:5" ht="15" customHeight="1" outlineLevel="2" x14ac:dyDescent="0.25">
      <c r="A1115" s="3" t="str">
        <f>HYPERLINK("http://mystore1.ru/price_items/search?utf8=%E2%9C%93&amp;oem=2717LGNH5RD","2717LGNH5RD")</f>
        <v>2717LGNH5RD</v>
      </c>
      <c r="B1115" s="1" t="s">
        <v>2175</v>
      </c>
      <c r="C1115" s="9" t="s">
        <v>2142</v>
      </c>
      <c r="D1115" s="14" t="s">
        <v>2176</v>
      </c>
      <c r="E1115" s="9" t="s">
        <v>11</v>
      </c>
    </row>
    <row r="1116" spans="1:5" ht="15" customHeight="1" outlineLevel="2" x14ac:dyDescent="0.25">
      <c r="A1116" s="3" t="str">
        <f>HYPERLINK("http://mystore1.ru/price_items/search?utf8=%E2%9C%93&amp;oem=2717RCLH3FD","2717RCLH3FD")</f>
        <v>2717RCLH3FD</v>
      </c>
      <c r="B1116" s="1" t="s">
        <v>2177</v>
      </c>
      <c r="C1116" s="9" t="s">
        <v>2142</v>
      </c>
      <c r="D1116" s="14" t="s">
        <v>2178</v>
      </c>
      <c r="E1116" s="9" t="s">
        <v>11</v>
      </c>
    </row>
    <row r="1117" spans="1:5" ht="15" customHeight="1" outlineLevel="2" x14ac:dyDescent="0.25">
      <c r="A1117" s="3" t="str">
        <f>HYPERLINK("http://mystore1.ru/price_items/search?utf8=%E2%9C%93&amp;oem=2717RCLH3FV","2717RCLH3FV")</f>
        <v>2717RCLH3FV</v>
      </c>
      <c r="B1117" s="1" t="s">
        <v>2179</v>
      </c>
      <c r="C1117" s="9" t="s">
        <v>2142</v>
      </c>
      <c r="D1117" s="14" t="s">
        <v>2180</v>
      </c>
      <c r="E1117" s="9" t="s">
        <v>11</v>
      </c>
    </row>
    <row r="1118" spans="1:5" ht="15" customHeight="1" outlineLevel="2" x14ac:dyDescent="0.25">
      <c r="A1118" s="3" t="str">
        <f>HYPERLINK("http://mystore1.ru/price_items/search?utf8=%E2%9C%93&amp;oem=2717RCLH5FD","2717RCLH5FD")</f>
        <v>2717RCLH5FD</v>
      </c>
      <c r="B1118" s="1" t="s">
        <v>2181</v>
      </c>
      <c r="C1118" s="9" t="s">
        <v>2142</v>
      </c>
      <c r="D1118" s="14" t="s">
        <v>2182</v>
      </c>
      <c r="E1118" s="9" t="s">
        <v>11</v>
      </c>
    </row>
    <row r="1119" spans="1:5" ht="15" customHeight="1" outlineLevel="2" x14ac:dyDescent="0.25">
      <c r="A1119" s="3" t="str">
        <f>HYPERLINK("http://mystore1.ru/price_items/search?utf8=%E2%9C%93&amp;oem=2717RCLH5RD","2717RCLH5RD")</f>
        <v>2717RCLH5RD</v>
      </c>
      <c r="B1119" s="1" t="s">
        <v>2183</v>
      </c>
      <c r="C1119" s="9" t="s">
        <v>2142</v>
      </c>
      <c r="D1119" s="14" t="s">
        <v>2184</v>
      </c>
      <c r="E1119" s="9" t="s">
        <v>11</v>
      </c>
    </row>
    <row r="1120" spans="1:5" ht="15" customHeight="1" outlineLevel="2" x14ac:dyDescent="0.25">
      <c r="A1120" s="3" t="str">
        <f>HYPERLINK("http://mystore1.ru/price_items/search?utf8=%E2%9C%93&amp;oem=2717RGNH3FD","2717RGNH3FD")</f>
        <v>2717RGNH3FD</v>
      </c>
      <c r="B1120" s="1" t="s">
        <v>2185</v>
      </c>
      <c r="C1120" s="9" t="s">
        <v>2142</v>
      </c>
      <c r="D1120" s="14" t="s">
        <v>2186</v>
      </c>
      <c r="E1120" s="9" t="s">
        <v>11</v>
      </c>
    </row>
    <row r="1121" spans="1:5" ht="15" customHeight="1" outlineLevel="2" x14ac:dyDescent="0.25">
      <c r="A1121" s="3" t="str">
        <f>HYPERLINK("http://mystore1.ru/price_items/search?utf8=%E2%9C%93&amp;oem=2717RGNH3FV","2717RGNH3FV")</f>
        <v>2717RGNH3FV</v>
      </c>
      <c r="B1121" s="1" t="s">
        <v>2187</v>
      </c>
      <c r="C1121" s="9" t="s">
        <v>2142</v>
      </c>
      <c r="D1121" s="14" t="s">
        <v>2188</v>
      </c>
      <c r="E1121" s="9" t="s">
        <v>11</v>
      </c>
    </row>
    <row r="1122" spans="1:5" ht="15" customHeight="1" outlineLevel="2" x14ac:dyDescent="0.25">
      <c r="A1122" s="3" t="str">
        <f>HYPERLINK("http://mystore1.ru/price_items/search?utf8=%E2%9C%93&amp;oem=2717RGNH3RQ","2717RGNH3RQ")</f>
        <v>2717RGNH3RQ</v>
      </c>
      <c r="B1122" s="1" t="s">
        <v>2189</v>
      </c>
      <c r="C1122" s="9" t="s">
        <v>2142</v>
      </c>
      <c r="D1122" s="14" t="s">
        <v>2190</v>
      </c>
      <c r="E1122" s="9" t="s">
        <v>11</v>
      </c>
    </row>
    <row r="1123" spans="1:5" ht="15" customHeight="1" outlineLevel="2" x14ac:dyDescent="0.25">
      <c r="A1123" s="3" t="str">
        <f>HYPERLINK("http://mystore1.ru/price_items/search?utf8=%E2%9C%93&amp;oem=2717RGNH5FD","2717RGNH5FD")</f>
        <v>2717RGNH5FD</v>
      </c>
      <c r="B1123" s="1" t="s">
        <v>2191</v>
      </c>
      <c r="C1123" s="9" t="s">
        <v>2142</v>
      </c>
      <c r="D1123" s="14" t="s">
        <v>2192</v>
      </c>
      <c r="E1123" s="9" t="s">
        <v>11</v>
      </c>
    </row>
    <row r="1124" spans="1:5" ht="15" customHeight="1" outlineLevel="2" x14ac:dyDescent="0.25">
      <c r="A1124" s="3" t="str">
        <f>HYPERLINK("http://mystore1.ru/price_items/search?utf8=%E2%9C%93&amp;oem=2717RGNH5RD","2717RGNH5RD")</f>
        <v>2717RGNH5RD</v>
      </c>
      <c r="B1124" s="1" t="s">
        <v>2193</v>
      </c>
      <c r="C1124" s="9" t="s">
        <v>2142</v>
      </c>
      <c r="D1124" s="14" t="s">
        <v>2194</v>
      </c>
      <c r="E1124" s="9" t="s">
        <v>11</v>
      </c>
    </row>
    <row r="1125" spans="1:5" outlineLevel="1" x14ac:dyDescent="0.25">
      <c r="A1125" s="2"/>
      <c r="B1125" s="6" t="s">
        <v>2195</v>
      </c>
      <c r="C1125" s="8"/>
      <c r="D1125" s="8"/>
      <c r="E1125" s="8"/>
    </row>
    <row r="1126" spans="1:5" ht="15" customHeight="1" outlineLevel="2" x14ac:dyDescent="0.25">
      <c r="A1126" s="3" t="str">
        <f>HYPERLINK("http://mystore1.ru/price_items/search?utf8=%E2%9C%93&amp;oem=2724ACC1P","2724ACC1P")</f>
        <v>2724ACC1P</v>
      </c>
      <c r="B1126" s="1" t="s">
        <v>2196</v>
      </c>
      <c r="C1126" s="9" t="s">
        <v>1359</v>
      </c>
      <c r="D1126" s="14" t="s">
        <v>2197</v>
      </c>
      <c r="E1126" s="9" t="s">
        <v>8</v>
      </c>
    </row>
    <row r="1127" spans="1:5" ht="15" customHeight="1" outlineLevel="2" x14ac:dyDescent="0.25">
      <c r="A1127" s="3" t="str">
        <f>HYPERLINK("http://mystore1.ru/price_items/search?utf8=%E2%9C%93&amp;oem=2724ACL","2724ACL")</f>
        <v>2724ACL</v>
      </c>
      <c r="B1127" s="1" t="s">
        <v>2198</v>
      </c>
      <c r="C1127" s="9" t="s">
        <v>2199</v>
      </c>
      <c r="D1127" s="14" t="s">
        <v>2200</v>
      </c>
      <c r="E1127" s="9" t="s">
        <v>8</v>
      </c>
    </row>
    <row r="1128" spans="1:5" ht="15" customHeight="1" outlineLevel="2" x14ac:dyDescent="0.25">
      <c r="A1128" s="3" t="str">
        <f>HYPERLINK("http://mystore1.ru/price_items/search?utf8=%E2%9C%93&amp;oem=2724ACL1P","2724ACL1P")</f>
        <v>2724ACL1P</v>
      </c>
      <c r="B1128" s="1" t="s">
        <v>2201</v>
      </c>
      <c r="C1128" s="9" t="s">
        <v>2099</v>
      </c>
      <c r="D1128" s="14" t="s">
        <v>2202</v>
      </c>
      <c r="E1128" s="9" t="s">
        <v>8</v>
      </c>
    </row>
    <row r="1129" spans="1:5" ht="15" customHeight="1" outlineLevel="2" x14ac:dyDescent="0.25">
      <c r="A1129" s="3" t="str">
        <f>HYPERLINK("http://mystore1.ru/price_items/search?utf8=%E2%9C%93&amp;oem=2724AGN","2724AGN")</f>
        <v>2724AGN</v>
      </c>
      <c r="B1129" s="1" t="s">
        <v>2203</v>
      </c>
      <c r="C1129" s="9" t="s">
        <v>2199</v>
      </c>
      <c r="D1129" s="14" t="s">
        <v>2204</v>
      </c>
      <c r="E1129" s="9" t="s">
        <v>8</v>
      </c>
    </row>
    <row r="1130" spans="1:5" ht="15" customHeight="1" outlineLevel="2" x14ac:dyDescent="0.25">
      <c r="A1130" s="3" t="str">
        <f>HYPERLINK("http://mystore1.ru/price_items/search?utf8=%E2%9C%93&amp;oem=2724AGS1P","2724AGS1P")</f>
        <v>2724AGS1P</v>
      </c>
      <c r="B1130" s="1" t="s">
        <v>2205</v>
      </c>
      <c r="C1130" s="9" t="s">
        <v>2099</v>
      </c>
      <c r="D1130" s="14" t="s">
        <v>2206</v>
      </c>
      <c r="E1130" s="9" t="s">
        <v>8</v>
      </c>
    </row>
    <row r="1131" spans="1:5" ht="15" customHeight="1" outlineLevel="2" x14ac:dyDescent="0.25">
      <c r="A1131" s="3" t="str">
        <f>HYPERLINK("http://mystore1.ru/price_items/search?utf8=%E2%9C%93&amp;oem=2724AGSBL1P","2724AGSBL1P")</f>
        <v>2724AGSBL1P</v>
      </c>
      <c r="B1131" s="1" t="s">
        <v>2207</v>
      </c>
      <c r="C1131" s="9" t="s">
        <v>2099</v>
      </c>
      <c r="D1131" s="14" t="s">
        <v>2208</v>
      </c>
      <c r="E1131" s="9" t="s">
        <v>8</v>
      </c>
    </row>
    <row r="1132" spans="1:5" ht="15" customHeight="1" outlineLevel="2" x14ac:dyDescent="0.25">
      <c r="A1132" s="3" t="str">
        <f>HYPERLINK("http://mystore1.ru/price_items/search?utf8=%E2%9C%93&amp;oem=2724AGSGN1P","2724AGSGN1P")</f>
        <v>2724AGSGN1P</v>
      </c>
      <c r="B1132" s="1" t="s">
        <v>2209</v>
      </c>
      <c r="C1132" s="9" t="s">
        <v>2099</v>
      </c>
      <c r="D1132" s="14" t="s">
        <v>2210</v>
      </c>
      <c r="E1132" s="9" t="s">
        <v>8</v>
      </c>
    </row>
    <row r="1133" spans="1:5" ht="15" customHeight="1" outlineLevel="2" x14ac:dyDescent="0.25">
      <c r="A1133" s="3" t="str">
        <f>HYPERLINK("http://mystore1.ru/price_items/search?utf8=%E2%9C%93&amp;oem=2724AGSM2P","2724AGSM2P")</f>
        <v>2724AGSM2P</v>
      </c>
      <c r="B1133" s="1" t="s">
        <v>2211</v>
      </c>
      <c r="C1133" s="9" t="s">
        <v>1359</v>
      </c>
      <c r="D1133" s="14" t="s">
        <v>2212</v>
      </c>
      <c r="E1133" s="9" t="s">
        <v>8</v>
      </c>
    </row>
    <row r="1134" spans="1:5" ht="15" customHeight="1" outlineLevel="2" x14ac:dyDescent="0.25">
      <c r="A1134" s="3" t="str">
        <f>HYPERLINK("http://mystore1.ru/price_items/search?utf8=%E2%9C%93&amp;oem=2724ASMV","2724ASMV")</f>
        <v>2724ASMV</v>
      </c>
      <c r="B1134" s="1" t="s">
        <v>2213</v>
      </c>
      <c r="C1134" s="9" t="s">
        <v>25</v>
      </c>
      <c r="D1134" s="14" t="s">
        <v>2214</v>
      </c>
      <c r="E1134" s="9" t="s">
        <v>27</v>
      </c>
    </row>
    <row r="1135" spans="1:5" ht="15" customHeight="1" outlineLevel="2" x14ac:dyDescent="0.25">
      <c r="A1135" s="3" t="str">
        <f>HYPERLINK("http://mystore1.ru/price_items/search?utf8=%E2%9C%93&amp;oem=2724BCLV","2724BCLV")</f>
        <v>2724BCLV</v>
      </c>
      <c r="B1135" s="1" t="s">
        <v>2215</v>
      </c>
      <c r="C1135" s="9" t="s">
        <v>2199</v>
      </c>
      <c r="D1135" s="14" t="s">
        <v>2216</v>
      </c>
      <c r="E1135" s="9" t="s">
        <v>30</v>
      </c>
    </row>
    <row r="1136" spans="1:5" ht="15" customHeight="1" outlineLevel="2" x14ac:dyDescent="0.25">
      <c r="A1136" s="3" t="str">
        <f>HYPERLINK("http://mystore1.ru/price_items/search?utf8=%E2%9C%93&amp;oem=2724BCLVLU","2724BCLVLU")</f>
        <v>2724BCLVLU</v>
      </c>
      <c r="B1136" s="1" t="s">
        <v>2217</v>
      </c>
      <c r="C1136" s="9" t="s">
        <v>2199</v>
      </c>
      <c r="D1136" s="14" t="s">
        <v>2218</v>
      </c>
      <c r="E1136" s="9" t="s">
        <v>30</v>
      </c>
    </row>
    <row r="1137" spans="1:5" ht="15" customHeight="1" outlineLevel="2" x14ac:dyDescent="0.25">
      <c r="A1137" s="3" t="str">
        <f>HYPERLINK("http://mystore1.ru/price_items/search?utf8=%E2%9C%93&amp;oem=2724BCLVRU","2724BCLVRU")</f>
        <v>2724BCLVRU</v>
      </c>
      <c r="B1137" s="1" t="s">
        <v>2219</v>
      </c>
      <c r="C1137" s="9" t="s">
        <v>2199</v>
      </c>
      <c r="D1137" s="14" t="s">
        <v>2220</v>
      </c>
      <c r="E1137" s="9" t="s">
        <v>30</v>
      </c>
    </row>
    <row r="1138" spans="1:5" ht="15" customHeight="1" outlineLevel="2" x14ac:dyDescent="0.25">
      <c r="A1138" s="3" t="str">
        <f>HYPERLINK("http://mystore1.ru/price_items/search?utf8=%E2%9C%93&amp;oem=2724BGNV","2724BGNV")</f>
        <v>2724BGNV</v>
      </c>
      <c r="B1138" s="1" t="s">
        <v>2221</v>
      </c>
      <c r="C1138" s="9" t="s">
        <v>2199</v>
      </c>
      <c r="D1138" s="14" t="s">
        <v>2222</v>
      </c>
      <c r="E1138" s="9" t="s">
        <v>30</v>
      </c>
    </row>
    <row r="1139" spans="1:5" ht="15" customHeight="1" outlineLevel="2" x14ac:dyDescent="0.25">
      <c r="A1139" s="3" t="str">
        <f>HYPERLINK("http://mystore1.ru/price_items/search?utf8=%E2%9C%93&amp;oem=2724BGNVL","2724BGNVL")</f>
        <v>2724BGNVL</v>
      </c>
      <c r="B1139" s="1" t="s">
        <v>2223</v>
      </c>
      <c r="C1139" s="9" t="s">
        <v>2199</v>
      </c>
      <c r="D1139" s="14" t="s">
        <v>2224</v>
      </c>
      <c r="E1139" s="9" t="s">
        <v>30</v>
      </c>
    </row>
    <row r="1140" spans="1:5" ht="15" customHeight="1" outlineLevel="2" x14ac:dyDescent="0.25">
      <c r="A1140" s="3" t="str">
        <f>HYPERLINK("http://mystore1.ru/price_items/search?utf8=%E2%9C%93&amp;oem=2724BGNVLU","2724BGNVLU")</f>
        <v>2724BGNVLU</v>
      </c>
      <c r="B1140" s="1" t="s">
        <v>2225</v>
      </c>
      <c r="C1140" s="9" t="s">
        <v>2199</v>
      </c>
      <c r="D1140" s="14" t="s">
        <v>2226</v>
      </c>
      <c r="E1140" s="9" t="s">
        <v>30</v>
      </c>
    </row>
    <row r="1141" spans="1:5" ht="15" customHeight="1" outlineLevel="2" x14ac:dyDescent="0.25">
      <c r="A1141" s="3" t="str">
        <f>HYPERLINK("http://mystore1.ru/price_items/search?utf8=%E2%9C%93&amp;oem=2724BGNVR","2724BGNVR")</f>
        <v>2724BGNVR</v>
      </c>
      <c r="B1141" s="1" t="s">
        <v>2227</v>
      </c>
      <c r="C1141" s="9" t="s">
        <v>2199</v>
      </c>
      <c r="D1141" s="14" t="s">
        <v>2228</v>
      </c>
      <c r="E1141" s="9" t="s">
        <v>30</v>
      </c>
    </row>
    <row r="1142" spans="1:5" ht="15" customHeight="1" outlineLevel="2" x14ac:dyDescent="0.25">
      <c r="A1142" s="3" t="str">
        <f>HYPERLINK("http://mystore1.ru/price_items/search?utf8=%E2%9C%93&amp;oem=2724BGNVRU","2724BGNVRU")</f>
        <v>2724BGNVRU</v>
      </c>
      <c r="B1142" s="1" t="s">
        <v>2229</v>
      </c>
      <c r="C1142" s="9" t="s">
        <v>2199</v>
      </c>
      <c r="D1142" s="14" t="s">
        <v>2230</v>
      </c>
      <c r="E1142" s="9" t="s">
        <v>30</v>
      </c>
    </row>
    <row r="1143" spans="1:5" ht="15" customHeight="1" outlineLevel="2" x14ac:dyDescent="0.25">
      <c r="A1143" s="3" t="str">
        <f>HYPERLINK("http://mystore1.ru/price_items/search?utf8=%E2%9C%93&amp;oem=2724LCLV2FD","2724LCLV2FD")</f>
        <v>2724LCLV2FD</v>
      </c>
      <c r="B1143" s="1" t="s">
        <v>2231</v>
      </c>
      <c r="C1143" s="9" t="s">
        <v>2199</v>
      </c>
      <c r="D1143" s="14" t="s">
        <v>2232</v>
      </c>
      <c r="E1143" s="9" t="s">
        <v>11</v>
      </c>
    </row>
    <row r="1144" spans="1:5" ht="15" customHeight="1" outlineLevel="2" x14ac:dyDescent="0.25">
      <c r="A1144" s="3" t="str">
        <f>HYPERLINK("http://mystore1.ru/price_items/search?utf8=%E2%9C%93&amp;oem=2724LCLV2MQ","2724LCLV2MQ")</f>
        <v>2724LCLV2MQ</v>
      </c>
      <c r="B1144" s="1" t="s">
        <v>2233</v>
      </c>
      <c r="C1144" s="9" t="s">
        <v>2199</v>
      </c>
      <c r="D1144" s="14" t="s">
        <v>2234</v>
      </c>
      <c r="E1144" s="9" t="s">
        <v>11</v>
      </c>
    </row>
    <row r="1145" spans="1:5" ht="15" customHeight="1" outlineLevel="2" x14ac:dyDescent="0.25">
      <c r="A1145" s="3" t="str">
        <f>HYPERLINK("http://mystore1.ru/price_items/search?utf8=%E2%9C%93&amp;oem=2724LCLV2MQO","2724LCLV2MQO")</f>
        <v>2724LCLV2MQO</v>
      </c>
      <c r="B1145" s="1" t="s">
        <v>2235</v>
      </c>
      <c r="C1145" s="9" t="s">
        <v>2199</v>
      </c>
      <c r="D1145" s="14" t="s">
        <v>2236</v>
      </c>
      <c r="E1145" s="9" t="s">
        <v>11</v>
      </c>
    </row>
    <row r="1146" spans="1:5" ht="15" customHeight="1" outlineLevel="2" x14ac:dyDescent="0.25">
      <c r="A1146" s="3" t="str">
        <f>HYPERLINK("http://mystore1.ru/price_items/search?utf8=%E2%9C%93&amp;oem=2724LCLV2RQO","2724LCLV2RQO")</f>
        <v>2724LCLV2RQO</v>
      </c>
      <c r="B1146" s="1" t="s">
        <v>2237</v>
      </c>
      <c r="C1146" s="9" t="s">
        <v>2199</v>
      </c>
      <c r="D1146" s="14" t="s">
        <v>2238</v>
      </c>
      <c r="E1146" s="9" t="s">
        <v>11</v>
      </c>
    </row>
    <row r="1147" spans="1:5" ht="15" customHeight="1" outlineLevel="2" x14ac:dyDescent="0.25">
      <c r="A1147" s="3" t="str">
        <f>HYPERLINK("http://mystore1.ru/price_items/search?utf8=%E2%9C%93&amp;oem=2724LGNV2FD","2724LGNV2FD")</f>
        <v>2724LGNV2FD</v>
      </c>
      <c r="B1147" s="1" t="s">
        <v>2239</v>
      </c>
      <c r="C1147" s="9" t="s">
        <v>2199</v>
      </c>
      <c r="D1147" s="14" t="s">
        <v>2240</v>
      </c>
      <c r="E1147" s="9" t="s">
        <v>11</v>
      </c>
    </row>
    <row r="1148" spans="1:5" ht="15" customHeight="1" outlineLevel="2" x14ac:dyDescent="0.25">
      <c r="A1148" s="3" t="str">
        <f>HYPERLINK("http://mystore1.ru/price_items/search?utf8=%E2%9C%93&amp;oem=2724LGNV2MQ","2724LGNV2MQ")</f>
        <v>2724LGNV2MQ</v>
      </c>
      <c r="B1148" s="1" t="s">
        <v>2241</v>
      </c>
      <c r="C1148" s="9" t="s">
        <v>2199</v>
      </c>
      <c r="D1148" s="14" t="s">
        <v>2242</v>
      </c>
      <c r="E1148" s="9" t="s">
        <v>11</v>
      </c>
    </row>
    <row r="1149" spans="1:5" ht="15" customHeight="1" outlineLevel="2" x14ac:dyDescent="0.25">
      <c r="A1149" s="3" t="str">
        <f>HYPERLINK("http://mystore1.ru/price_items/search?utf8=%E2%9C%93&amp;oem=2724LGNV2MQO","2724LGNV2MQO")</f>
        <v>2724LGNV2MQO</v>
      </c>
      <c r="B1149" s="1" t="s">
        <v>2243</v>
      </c>
      <c r="C1149" s="9" t="s">
        <v>2199</v>
      </c>
      <c r="D1149" s="14" t="s">
        <v>2244</v>
      </c>
      <c r="E1149" s="9" t="s">
        <v>11</v>
      </c>
    </row>
    <row r="1150" spans="1:5" ht="15" customHeight="1" outlineLevel="2" x14ac:dyDescent="0.25">
      <c r="A1150" s="3" t="str">
        <f>HYPERLINK("http://mystore1.ru/price_items/search?utf8=%E2%9C%93&amp;oem=2724LGNV2RQO","2724LGNV2RQO")</f>
        <v>2724LGNV2RQO</v>
      </c>
      <c r="B1150" s="1" t="s">
        <v>2245</v>
      </c>
      <c r="C1150" s="9" t="s">
        <v>2199</v>
      </c>
      <c r="D1150" s="14" t="s">
        <v>2246</v>
      </c>
      <c r="E1150" s="9" t="s">
        <v>11</v>
      </c>
    </row>
    <row r="1151" spans="1:5" ht="15" customHeight="1" outlineLevel="2" x14ac:dyDescent="0.25">
      <c r="A1151" s="3" t="str">
        <f>HYPERLINK("http://mystore1.ru/price_items/search?utf8=%E2%9C%93&amp;oem=2724RCLV2FD","2724RCLV2FD")</f>
        <v>2724RCLV2FD</v>
      </c>
      <c r="B1151" s="1" t="s">
        <v>2247</v>
      </c>
      <c r="C1151" s="9" t="s">
        <v>2199</v>
      </c>
      <c r="D1151" s="14" t="s">
        <v>2248</v>
      </c>
      <c r="E1151" s="9" t="s">
        <v>11</v>
      </c>
    </row>
    <row r="1152" spans="1:5" ht="15" customHeight="1" outlineLevel="2" x14ac:dyDescent="0.25">
      <c r="A1152" s="3" t="str">
        <f>HYPERLINK("http://mystore1.ru/price_items/search?utf8=%E2%9C%93&amp;oem=2724RCLV2MQ","2724RCLV2MQ")</f>
        <v>2724RCLV2MQ</v>
      </c>
      <c r="B1152" s="1" t="s">
        <v>2249</v>
      </c>
      <c r="C1152" s="9" t="s">
        <v>2199</v>
      </c>
      <c r="D1152" s="14" t="s">
        <v>2250</v>
      </c>
      <c r="E1152" s="9" t="s">
        <v>11</v>
      </c>
    </row>
    <row r="1153" spans="1:5" ht="15" customHeight="1" outlineLevel="2" x14ac:dyDescent="0.25">
      <c r="A1153" s="3" t="str">
        <f>HYPERLINK("http://mystore1.ru/price_items/search?utf8=%E2%9C%93&amp;oem=2724RCLV2MQO","2724RCLV2MQO")</f>
        <v>2724RCLV2MQO</v>
      </c>
      <c r="B1153" s="1" t="s">
        <v>2251</v>
      </c>
      <c r="C1153" s="9" t="s">
        <v>2199</v>
      </c>
      <c r="D1153" s="14" t="s">
        <v>2252</v>
      </c>
      <c r="E1153" s="9" t="s">
        <v>11</v>
      </c>
    </row>
    <row r="1154" spans="1:5" ht="15" customHeight="1" outlineLevel="2" x14ac:dyDescent="0.25">
      <c r="A1154" s="3" t="str">
        <f>HYPERLINK("http://mystore1.ru/price_items/search?utf8=%E2%9C%93&amp;oem=2724RCLV2RQO","2724RCLV2RQO")</f>
        <v>2724RCLV2RQO</v>
      </c>
      <c r="B1154" s="1" t="s">
        <v>2253</v>
      </c>
      <c r="C1154" s="9" t="s">
        <v>2199</v>
      </c>
      <c r="D1154" s="14" t="s">
        <v>2254</v>
      </c>
      <c r="E1154" s="9" t="s">
        <v>11</v>
      </c>
    </row>
    <row r="1155" spans="1:5" ht="15" customHeight="1" outlineLevel="2" x14ac:dyDescent="0.25">
      <c r="A1155" s="3" t="str">
        <f>HYPERLINK("http://mystore1.ru/price_items/search?utf8=%E2%9C%93&amp;oem=2724RGNV2FD","2724RGNV2FD")</f>
        <v>2724RGNV2FD</v>
      </c>
      <c r="B1155" s="1" t="s">
        <v>2255</v>
      </c>
      <c r="C1155" s="9" t="s">
        <v>2199</v>
      </c>
      <c r="D1155" s="14" t="s">
        <v>2256</v>
      </c>
      <c r="E1155" s="9" t="s">
        <v>11</v>
      </c>
    </row>
    <row r="1156" spans="1:5" ht="15" customHeight="1" outlineLevel="2" x14ac:dyDescent="0.25">
      <c r="A1156" s="3" t="str">
        <f>HYPERLINK("http://mystore1.ru/price_items/search?utf8=%E2%9C%93&amp;oem=2724RGNV2MQ","2724RGNV2MQ")</f>
        <v>2724RGNV2MQ</v>
      </c>
      <c r="B1156" s="1" t="s">
        <v>2257</v>
      </c>
      <c r="C1156" s="9" t="s">
        <v>2199</v>
      </c>
      <c r="D1156" s="14" t="s">
        <v>2258</v>
      </c>
      <c r="E1156" s="9" t="s">
        <v>11</v>
      </c>
    </row>
    <row r="1157" spans="1:5" ht="15" customHeight="1" outlineLevel="2" x14ac:dyDescent="0.25">
      <c r="A1157" s="3" t="str">
        <f>HYPERLINK("http://mystore1.ru/price_items/search?utf8=%E2%9C%93&amp;oem=2724RGNV2MQO","2724RGNV2MQO")</f>
        <v>2724RGNV2MQO</v>
      </c>
      <c r="B1157" s="1" t="s">
        <v>2259</v>
      </c>
      <c r="C1157" s="9" t="s">
        <v>2199</v>
      </c>
      <c r="D1157" s="14" t="s">
        <v>2260</v>
      </c>
      <c r="E1157" s="9" t="s">
        <v>11</v>
      </c>
    </row>
    <row r="1158" spans="1:5" ht="15" customHeight="1" outlineLevel="2" x14ac:dyDescent="0.25">
      <c r="A1158" s="3" t="str">
        <f>HYPERLINK("http://mystore1.ru/price_items/search?utf8=%E2%9C%93&amp;oem=2724RGNV2RQO","2724RGNV2RQO")</f>
        <v>2724RGNV2RQO</v>
      </c>
      <c r="B1158" s="1" t="s">
        <v>2261</v>
      </c>
      <c r="C1158" s="9" t="s">
        <v>2199</v>
      </c>
      <c r="D1158" s="14" t="s">
        <v>2262</v>
      </c>
      <c r="E1158" s="9" t="s">
        <v>11</v>
      </c>
    </row>
    <row r="1159" spans="1:5" ht="15" customHeight="1" outlineLevel="2" x14ac:dyDescent="0.25">
      <c r="A1159" s="3" t="str">
        <f>HYPERLINK("http://mystore1.ru/price_items/search?utf8=%E2%9C%93&amp;oem=2724RGNV3RQO","2724RGNV3RQO")</f>
        <v>2724RGNV3RQO</v>
      </c>
      <c r="B1159" s="1" t="s">
        <v>2263</v>
      </c>
      <c r="C1159" s="9" t="s">
        <v>2199</v>
      </c>
      <c r="D1159" s="14" t="s">
        <v>2264</v>
      </c>
      <c r="E1159" s="9" t="s">
        <v>11</v>
      </c>
    </row>
    <row r="1160" spans="1:5" ht="15" customHeight="1" outlineLevel="2" x14ac:dyDescent="0.25">
      <c r="A1160" s="3" t="str">
        <f>HYPERLINK("http://mystore1.ru/price_items/search?utf8=%E2%9C%93&amp;oem=2724RGNV4RDW","2724RGNV4RDW")</f>
        <v>2724RGNV4RDW</v>
      </c>
      <c r="B1160" s="1" t="s">
        <v>2265</v>
      </c>
      <c r="C1160" s="9" t="s">
        <v>2266</v>
      </c>
      <c r="D1160" s="14" t="s">
        <v>2267</v>
      </c>
      <c r="E1160" s="9" t="s">
        <v>11</v>
      </c>
    </row>
    <row r="1161" spans="1:5" outlineLevel="1" x14ac:dyDescent="0.25">
      <c r="A1161" s="2"/>
      <c r="B1161" s="6" t="s">
        <v>2268</v>
      </c>
      <c r="C1161" s="8"/>
      <c r="D1161" s="8"/>
      <c r="E1161" s="8"/>
    </row>
    <row r="1162" spans="1:5" ht="15" customHeight="1" outlineLevel="2" x14ac:dyDescent="0.25">
      <c r="A1162" s="3" t="str">
        <f>HYPERLINK("http://mystore1.ru/price_items/search?utf8=%E2%9C%93&amp;oem=2741AGSVZ1P","2741AGSVZ1P")</f>
        <v>2741AGSVZ1P</v>
      </c>
      <c r="B1162" s="1" t="s">
        <v>2269</v>
      </c>
      <c r="C1162" s="9" t="s">
        <v>642</v>
      </c>
      <c r="D1162" s="14" t="s">
        <v>2270</v>
      </c>
      <c r="E1162" s="9" t="s">
        <v>8</v>
      </c>
    </row>
    <row r="1163" spans="1:5" ht="15" customHeight="1" outlineLevel="2" x14ac:dyDescent="0.25">
      <c r="A1163" s="3" t="str">
        <f>HYPERLINK("http://mystore1.ru/price_items/search?utf8=%E2%9C%93&amp;oem=2741AGSVZ","2741AGSVZ")</f>
        <v>2741AGSVZ</v>
      </c>
      <c r="B1163" s="1" t="s">
        <v>2271</v>
      </c>
      <c r="C1163" s="9" t="s">
        <v>642</v>
      </c>
      <c r="D1163" s="14" t="s">
        <v>2272</v>
      </c>
      <c r="E1163" s="9" t="s">
        <v>8</v>
      </c>
    </row>
    <row r="1164" spans="1:5" ht="15" customHeight="1" outlineLevel="2" x14ac:dyDescent="0.25">
      <c r="A1164" s="3" t="str">
        <f>HYPERLINK("http://mystore1.ru/price_items/search?utf8=%E2%9C%93&amp;oem=2741AGSMVZ2P","2741AGSMVZ2P")</f>
        <v>2741AGSMVZ2P</v>
      </c>
      <c r="B1164" s="1" t="s">
        <v>2273</v>
      </c>
      <c r="C1164" s="9" t="s">
        <v>642</v>
      </c>
      <c r="D1164" s="14" t="s">
        <v>2274</v>
      </c>
      <c r="E1164" s="9" t="s">
        <v>8</v>
      </c>
    </row>
    <row r="1165" spans="1:5" ht="15" customHeight="1" outlineLevel="2" x14ac:dyDescent="0.25">
      <c r="A1165" s="3" t="str">
        <f>HYPERLINK("http://mystore1.ru/price_items/search?utf8=%E2%9C%93&amp;oem=2741BGSV","2741BGSV")</f>
        <v>2741BGSV</v>
      </c>
      <c r="B1165" s="1" t="s">
        <v>2275</v>
      </c>
      <c r="C1165" s="9" t="s">
        <v>642</v>
      </c>
      <c r="D1165" s="14" t="s">
        <v>2276</v>
      </c>
      <c r="E1165" s="9" t="s">
        <v>30</v>
      </c>
    </row>
    <row r="1166" spans="1:5" ht="15" customHeight="1" outlineLevel="2" x14ac:dyDescent="0.25">
      <c r="A1166" s="3" t="str">
        <f>HYPERLINK("http://mystore1.ru/price_items/search?utf8=%E2%9C%93&amp;oem=2741BGSVL","2741BGSVL")</f>
        <v>2741BGSVL</v>
      </c>
      <c r="B1166" s="1" t="s">
        <v>2277</v>
      </c>
      <c r="C1166" s="9" t="s">
        <v>642</v>
      </c>
      <c r="D1166" s="14" t="s">
        <v>2278</v>
      </c>
      <c r="E1166" s="9" t="s">
        <v>30</v>
      </c>
    </row>
    <row r="1167" spans="1:5" ht="15" customHeight="1" outlineLevel="2" x14ac:dyDescent="0.25">
      <c r="A1167" s="3" t="str">
        <f>HYPERLINK("http://mystore1.ru/price_items/search?utf8=%E2%9C%93&amp;oem=2741BGSVRU","2741BGSVRU")</f>
        <v>2741BGSVRU</v>
      </c>
      <c r="B1167" s="1" t="s">
        <v>2279</v>
      </c>
      <c r="C1167" s="9" t="s">
        <v>642</v>
      </c>
      <c r="D1167" s="14" t="s">
        <v>2280</v>
      </c>
      <c r="E1167" s="9" t="s">
        <v>30</v>
      </c>
    </row>
    <row r="1168" spans="1:5" ht="15" customHeight="1" outlineLevel="2" x14ac:dyDescent="0.25">
      <c r="A1168" s="3" t="str">
        <f>HYPERLINK("http://mystore1.ru/price_items/search?utf8=%E2%9C%93&amp;oem=2741RGSV3FD","2741RGSV3FD")</f>
        <v>2741RGSV3FD</v>
      </c>
      <c r="B1168" s="1" t="s">
        <v>2281</v>
      </c>
      <c r="C1168" s="9" t="s">
        <v>642</v>
      </c>
      <c r="D1168" s="14" t="s">
        <v>2282</v>
      </c>
      <c r="E1168" s="9" t="s">
        <v>11</v>
      </c>
    </row>
    <row r="1169" spans="1:5" ht="15" customHeight="1" outlineLevel="2" x14ac:dyDescent="0.25">
      <c r="A1169" s="3" t="str">
        <f>HYPERLINK("http://mystore1.ru/price_items/search?utf8=%E2%9C%93&amp;oem=2741LGSV3FD","2741LGSV3FD")</f>
        <v>2741LGSV3FD</v>
      </c>
      <c r="B1169" s="1" t="s">
        <v>2283</v>
      </c>
      <c r="C1169" s="9" t="s">
        <v>642</v>
      </c>
      <c r="D1169" s="14" t="s">
        <v>2284</v>
      </c>
      <c r="E1169" s="9" t="s">
        <v>8</v>
      </c>
    </row>
    <row r="1170" spans="1:5" outlineLevel="1" x14ac:dyDescent="0.25">
      <c r="A1170" s="2"/>
      <c r="B1170" s="6" t="s">
        <v>2285</v>
      </c>
      <c r="C1170" s="8"/>
      <c r="D1170" s="8"/>
      <c r="E1170" s="8"/>
    </row>
    <row r="1171" spans="1:5" ht="15" customHeight="1" outlineLevel="2" x14ac:dyDescent="0.25">
      <c r="A1171" s="3" t="str">
        <f>HYPERLINK("http://mystore1.ru/price_items/search?utf8=%E2%9C%93&amp;oem=2715ABZ1C","2715ABZ1C")</f>
        <v>2715ABZ1C</v>
      </c>
      <c r="B1171" s="1" t="s">
        <v>2286</v>
      </c>
      <c r="C1171" s="9" t="s">
        <v>13</v>
      </c>
      <c r="D1171" s="14" t="s">
        <v>2287</v>
      </c>
      <c r="E1171" s="9" t="s">
        <v>8</v>
      </c>
    </row>
    <row r="1172" spans="1:5" ht="15" customHeight="1" outlineLevel="2" x14ac:dyDescent="0.25">
      <c r="A1172" s="3" t="str">
        <f>HYPERLINK("http://mystore1.ru/price_items/search?utf8=%E2%9C%93&amp;oem=2715ACL1C","2715ACL1C")</f>
        <v>2715ACL1C</v>
      </c>
      <c r="B1172" s="1" t="s">
        <v>2288</v>
      </c>
      <c r="C1172" s="9" t="s">
        <v>13</v>
      </c>
      <c r="D1172" s="14" t="s">
        <v>2289</v>
      </c>
      <c r="E1172" s="9" t="s">
        <v>8</v>
      </c>
    </row>
    <row r="1173" spans="1:5" ht="15" customHeight="1" outlineLevel="2" x14ac:dyDescent="0.25">
      <c r="A1173" s="3" t="str">
        <f>HYPERLINK("http://mystore1.ru/price_items/search?utf8=%E2%9C%93&amp;oem=2715AGN1C","2715AGN1C")</f>
        <v>2715AGN1C</v>
      </c>
      <c r="B1173" s="1" t="s">
        <v>2290</v>
      </c>
      <c r="C1173" s="9" t="s">
        <v>13</v>
      </c>
      <c r="D1173" s="14" t="s">
        <v>2291</v>
      </c>
      <c r="E1173" s="9" t="s">
        <v>8</v>
      </c>
    </row>
    <row r="1174" spans="1:5" ht="15" customHeight="1" outlineLevel="2" x14ac:dyDescent="0.25">
      <c r="A1174" s="3" t="str">
        <f>HYPERLINK("http://mystore1.ru/price_items/search?utf8=%E2%9C%93&amp;oem=2715ASMH","2715ASMH")</f>
        <v>2715ASMH</v>
      </c>
      <c r="B1174" s="1" t="s">
        <v>2292</v>
      </c>
      <c r="C1174" s="9" t="s">
        <v>25</v>
      </c>
      <c r="D1174" s="14" t="s">
        <v>2293</v>
      </c>
      <c r="E1174" s="9" t="s">
        <v>27</v>
      </c>
    </row>
    <row r="1175" spans="1:5" ht="15" customHeight="1" outlineLevel="2" x14ac:dyDescent="0.25">
      <c r="A1175" s="3" t="str">
        <f>HYPERLINK("http://mystore1.ru/price_items/search?utf8=%E2%9C%93&amp;oem=2715BCLE","2715BCLE")</f>
        <v>2715BCLE</v>
      </c>
      <c r="B1175" s="1" t="s">
        <v>2294</v>
      </c>
      <c r="C1175" s="9" t="s">
        <v>13</v>
      </c>
      <c r="D1175" s="14" t="s">
        <v>2295</v>
      </c>
      <c r="E1175" s="9" t="s">
        <v>30</v>
      </c>
    </row>
    <row r="1176" spans="1:5" ht="15" customHeight="1" outlineLevel="2" x14ac:dyDescent="0.25">
      <c r="A1176" s="3" t="str">
        <f>HYPERLINK("http://mystore1.ru/price_items/search?utf8=%E2%9C%93&amp;oem=2715BCLH","2715BCLH")</f>
        <v>2715BCLH</v>
      </c>
      <c r="B1176" s="1" t="s">
        <v>2296</v>
      </c>
      <c r="C1176" s="9" t="s">
        <v>13</v>
      </c>
      <c r="D1176" s="14" t="s">
        <v>2297</v>
      </c>
      <c r="E1176" s="9" t="s">
        <v>30</v>
      </c>
    </row>
    <row r="1177" spans="1:5" ht="15" customHeight="1" outlineLevel="2" x14ac:dyDescent="0.25">
      <c r="A1177" s="3" t="str">
        <f>HYPERLINK("http://mystore1.ru/price_items/search?utf8=%E2%9C%93&amp;oem=2715BGNH","2715BGNH")</f>
        <v>2715BGNH</v>
      </c>
      <c r="B1177" s="1" t="s">
        <v>2298</v>
      </c>
      <c r="C1177" s="9" t="s">
        <v>13</v>
      </c>
      <c r="D1177" s="14" t="s">
        <v>2299</v>
      </c>
      <c r="E1177" s="9" t="s">
        <v>30</v>
      </c>
    </row>
    <row r="1178" spans="1:5" ht="15" customHeight="1" outlineLevel="2" x14ac:dyDescent="0.25">
      <c r="A1178" s="3" t="str">
        <f>HYPERLINK("http://mystore1.ru/price_items/search?utf8=%E2%9C%93&amp;oem=2715BSMH","2715BSMH")</f>
        <v>2715BSMH</v>
      </c>
      <c r="B1178" s="1" t="s">
        <v>2300</v>
      </c>
      <c r="C1178" s="9" t="s">
        <v>25</v>
      </c>
      <c r="D1178" s="14" t="s">
        <v>2301</v>
      </c>
      <c r="E1178" s="9" t="s">
        <v>27</v>
      </c>
    </row>
    <row r="1179" spans="1:5" ht="15" customHeight="1" outlineLevel="2" x14ac:dyDescent="0.25">
      <c r="A1179" s="3" t="str">
        <f>HYPERLINK("http://mystore1.ru/price_items/search?utf8=%E2%9C%93&amp;oem=2715LCLH5FD","2715LCLH5FD")</f>
        <v>2715LCLH5FD</v>
      </c>
      <c r="B1179" s="1" t="s">
        <v>2302</v>
      </c>
      <c r="C1179" s="9" t="s">
        <v>13</v>
      </c>
      <c r="D1179" s="14" t="s">
        <v>2303</v>
      </c>
      <c r="E1179" s="9" t="s">
        <v>11</v>
      </c>
    </row>
    <row r="1180" spans="1:5" ht="15" customHeight="1" outlineLevel="2" x14ac:dyDescent="0.25">
      <c r="A1180" s="3" t="str">
        <f>HYPERLINK("http://mystore1.ru/price_items/search?utf8=%E2%9C%93&amp;oem=2715LCLH5RV","2715LCLH5RV")</f>
        <v>2715LCLH5RV</v>
      </c>
      <c r="B1180" s="1" t="s">
        <v>2304</v>
      </c>
      <c r="C1180" s="9" t="s">
        <v>13</v>
      </c>
      <c r="D1180" s="14" t="s">
        <v>2305</v>
      </c>
      <c r="E1180" s="9" t="s">
        <v>11</v>
      </c>
    </row>
    <row r="1181" spans="1:5" ht="15" customHeight="1" outlineLevel="2" x14ac:dyDescent="0.25">
      <c r="A1181" s="3" t="str">
        <f>HYPERLINK("http://mystore1.ru/price_items/search?utf8=%E2%9C%93&amp;oem=2715LGNH5FD","2715LGNH5FD")</f>
        <v>2715LGNH5FD</v>
      </c>
      <c r="B1181" s="1" t="s">
        <v>2306</v>
      </c>
      <c r="C1181" s="9" t="s">
        <v>13</v>
      </c>
      <c r="D1181" s="14" t="s">
        <v>2307</v>
      </c>
      <c r="E1181" s="9" t="s">
        <v>11</v>
      </c>
    </row>
    <row r="1182" spans="1:5" ht="15" customHeight="1" outlineLevel="2" x14ac:dyDescent="0.25">
      <c r="A1182" s="3" t="str">
        <f>HYPERLINK("http://mystore1.ru/price_items/search?utf8=%E2%9C%93&amp;oem=2715LGNH5RD","2715LGNH5RD")</f>
        <v>2715LGNH5RD</v>
      </c>
      <c r="B1182" s="1" t="s">
        <v>2308</v>
      </c>
      <c r="C1182" s="9" t="s">
        <v>1304</v>
      </c>
      <c r="D1182" s="14" t="s">
        <v>2309</v>
      </c>
      <c r="E1182" s="9" t="s">
        <v>11</v>
      </c>
    </row>
    <row r="1183" spans="1:5" ht="15" customHeight="1" outlineLevel="2" x14ac:dyDescent="0.25">
      <c r="A1183" s="3" t="str">
        <f>HYPERLINK("http://mystore1.ru/price_items/search?utf8=%E2%9C%93&amp;oem=2715LGNH5RV","2715LGNH5RV")</f>
        <v>2715LGNH5RV</v>
      </c>
      <c r="B1183" s="1" t="s">
        <v>2310</v>
      </c>
      <c r="C1183" s="9" t="s">
        <v>13</v>
      </c>
      <c r="D1183" s="14" t="s">
        <v>2311</v>
      </c>
      <c r="E1183" s="9" t="s">
        <v>11</v>
      </c>
    </row>
    <row r="1184" spans="1:5" ht="15" customHeight="1" outlineLevel="2" x14ac:dyDescent="0.25">
      <c r="A1184" s="3" t="str">
        <f>HYPERLINK("http://mystore1.ru/price_items/search?utf8=%E2%9C%93&amp;oem=2715RBZH5RV","2715RBZH5RV")</f>
        <v>2715RBZH5RV</v>
      </c>
      <c r="B1184" s="1" t="s">
        <v>2312</v>
      </c>
      <c r="C1184" s="9" t="s">
        <v>13</v>
      </c>
      <c r="D1184" s="14" t="s">
        <v>2313</v>
      </c>
      <c r="E1184" s="9" t="s">
        <v>11</v>
      </c>
    </row>
    <row r="1185" spans="1:5" ht="15" customHeight="1" outlineLevel="2" x14ac:dyDescent="0.25">
      <c r="A1185" s="3" t="str">
        <f>HYPERLINK("http://mystore1.ru/price_items/search?utf8=%E2%9C%93&amp;oem=2715RCLH5FD","2715RCLH5FD")</f>
        <v>2715RCLH5FD</v>
      </c>
      <c r="B1185" s="1" t="s">
        <v>2314</v>
      </c>
      <c r="C1185" s="9" t="s">
        <v>13</v>
      </c>
      <c r="D1185" s="14" t="s">
        <v>2315</v>
      </c>
      <c r="E1185" s="9" t="s">
        <v>11</v>
      </c>
    </row>
    <row r="1186" spans="1:5" ht="15" customHeight="1" outlineLevel="2" x14ac:dyDescent="0.25">
      <c r="A1186" s="3" t="str">
        <f>HYPERLINK("http://mystore1.ru/price_items/search?utf8=%E2%9C%93&amp;oem=2715RCLH5RV","2715RCLH5RV")</f>
        <v>2715RCLH5RV</v>
      </c>
      <c r="B1186" s="1" t="s">
        <v>2316</v>
      </c>
      <c r="C1186" s="9" t="s">
        <v>13</v>
      </c>
      <c r="D1186" s="14" t="s">
        <v>2317</v>
      </c>
      <c r="E1186" s="9" t="s">
        <v>11</v>
      </c>
    </row>
    <row r="1187" spans="1:5" ht="15" customHeight="1" outlineLevel="2" x14ac:dyDescent="0.25">
      <c r="A1187" s="3" t="str">
        <f>HYPERLINK("http://mystore1.ru/price_items/search?utf8=%E2%9C%93&amp;oem=2715RGNH5FD","2715RGNH5FD")</f>
        <v>2715RGNH5FD</v>
      </c>
      <c r="B1187" s="1" t="s">
        <v>2318</v>
      </c>
      <c r="C1187" s="9" t="s">
        <v>13</v>
      </c>
      <c r="D1187" s="14" t="s">
        <v>2319</v>
      </c>
      <c r="E1187" s="9" t="s">
        <v>11</v>
      </c>
    </row>
    <row r="1188" spans="1:5" ht="15" customHeight="1" outlineLevel="2" x14ac:dyDescent="0.25">
      <c r="A1188" s="3" t="str">
        <f>HYPERLINK("http://mystore1.ru/price_items/search?utf8=%E2%9C%93&amp;oem=2715RGNH5RD","2715RGNH5RD")</f>
        <v>2715RGNH5RD</v>
      </c>
      <c r="B1188" s="1" t="s">
        <v>2320</v>
      </c>
      <c r="C1188" s="9" t="s">
        <v>1304</v>
      </c>
      <c r="D1188" s="14" t="s">
        <v>2321</v>
      </c>
      <c r="E1188" s="9" t="s">
        <v>11</v>
      </c>
    </row>
    <row r="1189" spans="1:5" ht="15" customHeight="1" outlineLevel="2" x14ac:dyDescent="0.25">
      <c r="A1189" s="3" t="str">
        <f>HYPERLINK("http://mystore1.ru/price_items/search?utf8=%E2%9C%93&amp;oem=2715RGNH5RV","2715RGNH5RV")</f>
        <v>2715RGNH5RV</v>
      </c>
      <c r="B1189" s="1" t="s">
        <v>2322</v>
      </c>
      <c r="C1189" s="9" t="s">
        <v>13</v>
      </c>
      <c r="D1189" s="14" t="s">
        <v>2323</v>
      </c>
      <c r="E1189" s="9" t="s">
        <v>11</v>
      </c>
    </row>
    <row r="1190" spans="1:5" outlineLevel="1" x14ac:dyDescent="0.25">
      <c r="A1190" s="2"/>
      <c r="B1190" s="6" t="s">
        <v>2324</v>
      </c>
      <c r="C1190" s="8"/>
      <c r="D1190" s="8"/>
      <c r="E1190" s="8"/>
    </row>
    <row r="1191" spans="1:5" ht="15" customHeight="1" outlineLevel="2" x14ac:dyDescent="0.25">
      <c r="A1191" s="3" t="str">
        <f>HYPERLINK("http://mystore1.ru/price_items/search?utf8=%E2%9C%93&amp;oem=2734AGS","2734AGS")</f>
        <v>2734AGS</v>
      </c>
      <c r="B1191" s="1" t="s">
        <v>2325</v>
      </c>
      <c r="C1191" s="9" t="s">
        <v>1607</v>
      </c>
      <c r="D1191" s="14" t="s">
        <v>2326</v>
      </c>
      <c r="E1191" s="9" t="s">
        <v>8</v>
      </c>
    </row>
    <row r="1192" spans="1:5" ht="15" customHeight="1" outlineLevel="2" x14ac:dyDescent="0.25">
      <c r="A1192" s="3" t="str">
        <f>HYPERLINK("http://mystore1.ru/price_items/search?utf8=%E2%9C%93&amp;oem=2734BGSHO","2734BGSHO")</f>
        <v>2734BGSHO</v>
      </c>
      <c r="B1192" s="1" t="s">
        <v>2327</v>
      </c>
      <c r="C1192" s="9" t="s">
        <v>1607</v>
      </c>
      <c r="D1192" s="14" t="s">
        <v>2328</v>
      </c>
      <c r="E1192" s="9" t="s">
        <v>30</v>
      </c>
    </row>
    <row r="1193" spans="1:5" ht="15" customHeight="1" outlineLevel="2" x14ac:dyDescent="0.25">
      <c r="A1193" s="3" t="str">
        <f>HYPERLINK("http://mystore1.ru/price_items/search?utf8=%E2%9C%93&amp;oem=OLD-2734BGSHO","OLD-2734BGSHO")</f>
        <v>OLD-2734BGSHO</v>
      </c>
      <c r="B1193" s="1" t="s">
        <v>2329</v>
      </c>
      <c r="C1193" s="9" t="s">
        <v>1607</v>
      </c>
      <c r="D1193" s="14" t="s">
        <v>2330</v>
      </c>
      <c r="E1193" s="9" t="s">
        <v>30</v>
      </c>
    </row>
    <row r="1194" spans="1:5" ht="15" customHeight="1" outlineLevel="2" x14ac:dyDescent="0.25">
      <c r="A1194" s="3" t="str">
        <f>HYPERLINK("http://mystore1.ru/price_items/search?utf8=%E2%9C%93&amp;oem=2734LGSH3RQ","2734LGSH3RQ")</f>
        <v>2734LGSH3RQ</v>
      </c>
      <c r="B1194" s="1" t="s">
        <v>2331</v>
      </c>
      <c r="C1194" s="9" t="s">
        <v>1607</v>
      </c>
      <c r="D1194" s="14" t="s">
        <v>2332</v>
      </c>
      <c r="E1194" s="9" t="s">
        <v>11</v>
      </c>
    </row>
    <row r="1195" spans="1:5" ht="15" customHeight="1" outlineLevel="2" x14ac:dyDescent="0.25">
      <c r="A1195" s="3" t="str">
        <f>HYPERLINK("http://mystore1.ru/price_items/search?utf8=%E2%9C%93&amp;oem=2734RGSH3RQ","2734RGSH3RQ")</f>
        <v>2734RGSH3RQ</v>
      </c>
      <c r="B1195" s="1" t="s">
        <v>2333</v>
      </c>
      <c r="C1195" s="9" t="s">
        <v>1607</v>
      </c>
      <c r="D1195" s="14" t="s">
        <v>2334</v>
      </c>
      <c r="E1195" s="9" t="s">
        <v>11</v>
      </c>
    </row>
    <row r="1196" spans="1:5" ht="15" customHeight="1" outlineLevel="2" x14ac:dyDescent="0.25">
      <c r="A1196" s="3" t="str">
        <f>HYPERLINK("http://mystore1.ru/price_items/search?utf8=%E2%9C%93&amp;oem=2734LGSH3FD","2734LGSH3FD")</f>
        <v>2734LGSH3FD</v>
      </c>
      <c r="B1196" s="1" t="s">
        <v>2335</v>
      </c>
      <c r="C1196" s="9" t="s">
        <v>1607</v>
      </c>
      <c r="D1196" s="14" t="s">
        <v>2336</v>
      </c>
      <c r="E1196" s="9" t="s">
        <v>11</v>
      </c>
    </row>
    <row r="1197" spans="1:5" ht="15" customHeight="1" outlineLevel="2" x14ac:dyDescent="0.25">
      <c r="A1197" s="3" t="str">
        <f>HYPERLINK("http://mystore1.ru/price_items/search?utf8=%E2%9C%93&amp;oem=2734RGSH3FD","2734RGSH3FD")</f>
        <v>2734RGSH3FD</v>
      </c>
      <c r="B1197" s="1" t="s">
        <v>2337</v>
      </c>
      <c r="C1197" s="9" t="s">
        <v>1607</v>
      </c>
      <c r="D1197" s="14" t="s">
        <v>2338</v>
      </c>
      <c r="E1197" s="9" t="s">
        <v>11</v>
      </c>
    </row>
    <row r="1198" spans="1:5" ht="15" customHeight="1" outlineLevel="2" x14ac:dyDescent="0.25">
      <c r="A1198" s="3" t="str">
        <f>HYPERLINK("http://mystore1.ru/price_items/search?utf8=%E2%9C%93&amp;oem=2734LGSH5RDOW","2734LGSH5RDOW")</f>
        <v>2734LGSH5RDOW</v>
      </c>
      <c r="B1198" s="1" t="s">
        <v>2339</v>
      </c>
      <c r="C1198" s="9" t="s">
        <v>1607</v>
      </c>
      <c r="D1198" s="14" t="s">
        <v>2340</v>
      </c>
      <c r="E1198" s="9" t="s">
        <v>11</v>
      </c>
    </row>
    <row r="1199" spans="1:5" ht="15" customHeight="1" outlineLevel="2" x14ac:dyDescent="0.25">
      <c r="A1199" s="3" t="str">
        <f>HYPERLINK("http://mystore1.ru/price_items/search?utf8=%E2%9C%93&amp;oem=2734RGSH5RDOW","2734RGSH5RDOW")</f>
        <v>2734RGSH5RDOW</v>
      </c>
      <c r="B1199" s="1" t="s">
        <v>2341</v>
      </c>
      <c r="C1199" s="9" t="s">
        <v>1607</v>
      </c>
      <c r="D1199" s="14" t="s">
        <v>2342</v>
      </c>
      <c r="E1199" s="9" t="s">
        <v>11</v>
      </c>
    </row>
    <row r="1200" spans="1:5" ht="15" customHeight="1" outlineLevel="2" x14ac:dyDescent="0.25">
      <c r="A1200" s="3" t="str">
        <f>HYPERLINK("http://mystore1.ru/price_items/search?utf8=%E2%9C%93&amp;oem=2734LGSH5FD","2734LGSH5FD")</f>
        <v>2734LGSH5FD</v>
      </c>
      <c r="B1200" s="1" t="s">
        <v>2343</v>
      </c>
      <c r="C1200" s="9" t="s">
        <v>1607</v>
      </c>
      <c r="D1200" s="14" t="s">
        <v>2344</v>
      </c>
      <c r="E1200" s="9" t="s">
        <v>11</v>
      </c>
    </row>
    <row r="1201" spans="1:5" ht="15" customHeight="1" outlineLevel="2" x14ac:dyDescent="0.25">
      <c r="A1201" s="3" t="str">
        <f>HYPERLINK("http://mystore1.ru/price_items/search?utf8=%E2%9C%93&amp;oem=2734RGSH5FD","2734RGSH5FD")</f>
        <v>2734RGSH5FD</v>
      </c>
      <c r="B1201" s="1" t="s">
        <v>2345</v>
      </c>
      <c r="C1201" s="9" t="s">
        <v>1607</v>
      </c>
      <c r="D1201" s="14" t="s">
        <v>2346</v>
      </c>
      <c r="E1201" s="9" t="s">
        <v>11</v>
      </c>
    </row>
    <row r="1202" spans="1:5" outlineLevel="1" x14ac:dyDescent="0.25">
      <c r="A1202" s="2"/>
      <c r="B1202" s="6" t="s">
        <v>2347</v>
      </c>
      <c r="C1202" s="8"/>
      <c r="D1202" s="8"/>
      <c r="E1202" s="8"/>
    </row>
    <row r="1203" spans="1:5" ht="15" customHeight="1" outlineLevel="2" x14ac:dyDescent="0.25">
      <c r="A1203" s="3" t="str">
        <f>HYPERLINK("http://mystore1.ru/price_items/search?utf8=%E2%9C%93&amp;oem=2731AGSV","2731AGSV")</f>
        <v>2731AGSV</v>
      </c>
      <c r="B1203" s="1" t="s">
        <v>2348</v>
      </c>
      <c r="C1203" s="9" t="s">
        <v>1362</v>
      </c>
      <c r="D1203" s="14" t="s">
        <v>2349</v>
      </c>
      <c r="E1203" s="9" t="s">
        <v>8</v>
      </c>
    </row>
    <row r="1204" spans="1:5" ht="15" customHeight="1" outlineLevel="2" x14ac:dyDescent="0.25">
      <c r="A1204" s="3" t="str">
        <f>HYPERLINK("http://mystore1.ru/price_items/search?utf8=%E2%9C%93&amp;oem=2731AGSBLV","2731AGSBLV")</f>
        <v>2731AGSBLV</v>
      </c>
      <c r="B1204" s="1" t="s">
        <v>2350</v>
      </c>
      <c r="C1204" s="9" t="s">
        <v>2351</v>
      </c>
      <c r="D1204" s="14" t="s">
        <v>2352</v>
      </c>
      <c r="E1204" s="9" t="s">
        <v>8</v>
      </c>
    </row>
    <row r="1205" spans="1:5" ht="15" customHeight="1" outlineLevel="2" x14ac:dyDescent="0.25">
      <c r="A1205" s="3" t="str">
        <f>HYPERLINK("http://mystore1.ru/price_items/search?utf8=%E2%9C%93&amp;oem=2731ASMHB","2731ASMHB")</f>
        <v>2731ASMHB</v>
      </c>
      <c r="B1205" s="1" t="s">
        <v>2353</v>
      </c>
      <c r="C1205" s="9" t="s">
        <v>25</v>
      </c>
      <c r="D1205" s="14" t="s">
        <v>2354</v>
      </c>
      <c r="E1205" s="9" t="s">
        <v>27</v>
      </c>
    </row>
    <row r="1206" spans="1:5" ht="15" customHeight="1" outlineLevel="2" x14ac:dyDescent="0.25">
      <c r="A1206" s="3" t="str">
        <f>HYPERLINK("http://mystore1.ru/price_items/search?utf8=%E2%9C%93&amp;oem=2731ASMHT","2731ASMHT")</f>
        <v>2731ASMHT</v>
      </c>
      <c r="B1206" s="1" t="s">
        <v>2355</v>
      </c>
      <c r="C1206" s="9" t="s">
        <v>25</v>
      </c>
      <c r="D1206" s="14" t="s">
        <v>2356</v>
      </c>
      <c r="E1206" s="9" t="s">
        <v>27</v>
      </c>
    </row>
    <row r="1207" spans="1:5" ht="15" customHeight="1" outlineLevel="2" x14ac:dyDescent="0.25">
      <c r="A1207" s="3" t="str">
        <f>HYPERLINK("http://mystore1.ru/price_items/search?utf8=%E2%9C%93&amp;oem=2731BGSHBW","2731BGSHBW")</f>
        <v>2731BGSHBW</v>
      </c>
      <c r="B1207" s="1" t="s">
        <v>2357</v>
      </c>
      <c r="C1207" s="9" t="s">
        <v>1362</v>
      </c>
      <c r="D1207" s="14" t="s">
        <v>2358</v>
      </c>
      <c r="E1207" s="9" t="s">
        <v>30</v>
      </c>
    </row>
    <row r="1208" spans="1:5" ht="15" customHeight="1" outlineLevel="2" x14ac:dyDescent="0.25">
      <c r="A1208" s="3" t="str">
        <f>HYPERLINK("http://mystore1.ru/price_items/search?utf8=%E2%9C%93&amp;oem=2731BGSHBW1H","2731BGSHBW1H")</f>
        <v>2731BGSHBW1H</v>
      </c>
      <c r="B1208" s="1" t="s">
        <v>2359</v>
      </c>
      <c r="C1208" s="9" t="s">
        <v>1362</v>
      </c>
      <c r="D1208" s="14" t="s">
        <v>2360</v>
      </c>
      <c r="E1208" s="9" t="s">
        <v>30</v>
      </c>
    </row>
    <row r="1209" spans="1:5" ht="15" customHeight="1" outlineLevel="2" x14ac:dyDescent="0.25">
      <c r="A1209" s="3" t="str">
        <f>HYPERLINK("http://mystore1.ru/price_items/search?utf8=%E2%9C%93&amp;oem=2731BGSHB1R","2731BGSHB1R")</f>
        <v>2731BGSHB1R</v>
      </c>
      <c r="B1209" s="1" t="s">
        <v>2361</v>
      </c>
      <c r="C1209" s="9" t="s">
        <v>2351</v>
      </c>
      <c r="D1209" s="14" t="s">
        <v>2362</v>
      </c>
      <c r="E1209" s="9" t="s">
        <v>30</v>
      </c>
    </row>
    <row r="1210" spans="1:5" ht="15" customHeight="1" outlineLevel="2" x14ac:dyDescent="0.25">
      <c r="A1210" s="3" t="str">
        <f>HYPERLINK("http://mystore1.ru/price_items/search?utf8=%E2%9C%93&amp;oem=2731LGSH3FD","2731LGSH3FD")</f>
        <v>2731LGSH3FD</v>
      </c>
      <c r="B1210" s="1" t="s">
        <v>2363</v>
      </c>
      <c r="C1210" s="9" t="s">
        <v>1362</v>
      </c>
      <c r="D1210" s="14" t="s">
        <v>2364</v>
      </c>
      <c r="E1210" s="9" t="s">
        <v>11</v>
      </c>
    </row>
    <row r="1211" spans="1:5" ht="15" customHeight="1" outlineLevel="2" x14ac:dyDescent="0.25">
      <c r="A1211" s="3" t="str">
        <f>HYPERLINK("http://mystore1.ru/price_items/search?utf8=%E2%9C%93&amp;oem=2731LGSH3RQ","2731LGSH3RQ")</f>
        <v>2731LGSH3RQ</v>
      </c>
      <c r="B1211" s="1" t="s">
        <v>2365</v>
      </c>
      <c r="C1211" s="9" t="s">
        <v>1362</v>
      </c>
      <c r="D1211" s="14" t="s">
        <v>2366</v>
      </c>
      <c r="E1211" s="9" t="s">
        <v>11</v>
      </c>
    </row>
    <row r="1212" spans="1:5" ht="15" customHeight="1" outlineLevel="2" x14ac:dyDescent="0.25">
      <c r="A1212" s="3" t="str">
        <f>HYPERLINK("http://mystore1.ru/price_items/search?utf8=%E2%9C%93&amp;oem=2731RGSH3FD","2731RGSH3FD")</f>
        <v>2731RGSH3FD</v>
      </c>
      <c r="B1212" s="1" t="s">
        <v>2367</v>
      </c>
      <c r="C1212" s="9" t="s">
        <v>1362</v>
      </c>
      <c r="D1212" s="14" t="s">
        <v>2368</v>
      </c>
      <c r="E1212" s="9" t="s">
        <v>11</v>
      </c>
    </row>
    <row r="1213" spans="1:5" ht="15" customHeight="1" outlineLevel="2" x14ac:dyDescent="0.25">
      <c r="A1213" s="3" t="str">
        <f>HYPERLINK("http://mystore1.ru/price_items/search?utf8=%E2%9C%93&amp;oem=2731RGSH3RQ","2731RGSH3RQ")</f>
        <v>2731RGSH3RQ</v>
      </c>
      <c r="B1213" s="1" t="s">
        <v>2369</v>
      </c>
      <c r="C1213" s="9" t="s">
        <v>1362</v>
      </c>
      <c r="D1213" s="14" t="s">
        <v>2370</v>
      </c>
      <c r="E1213" s="9" t="s">
        <v>11</v>
      </c>
    </row>
    <row r="1214" spans="1:5" outlineLevel="1" x14ac:dyDescent="0.25">
      <c r="A1214" s="2"/>
      <c r="B1214" s="6" t="s">
        <v>2371</v>
      </c>
      <c r="C1214" s="8"/>
      <c r="D1214" s="8"/>
      <c r="E1214" s="8"/>
    </row>
    <row r="1215" spans="1:5" ht="15" customHeight="1" outlineLevel="2" x14ac:dyDescent="0.25">
      <c r="A1215" s="3" t="str">
        <f>HYPERLINK("http://mystore1.ru/price_items/search?utf8=%E2%9C%93&amp;oem=2726ACCMV1B","2726ACCMV1B")</f>
        <v>2726ACCMV1B</v>
      </c>
      <c r="B1215" s="1" t="s">
        <v>2372</v>
      </c>
      <c r="C1215" s="9" t="s">
        <v>2373</v>
      </c>
      <c r="D1215" s="14" t="s">
        <v>2374</v>
      </c>
      <c r="E1215" s="9" t="s">
        <v>8</v>
      </c>
    </row>
    <row r="1216" spans="1:5" ht="15" customHeight="1" outlineLevel="2" x14ac:dyDescent="0.25">
      <c r="A1216" s="3" t="str">
        <f>HYPERLINK("http://mystore1.ru/price_items/search?utf8=%E2%9C%93&amp;oem=2726AGSMV1B","2726AGSMV1B")</f>
        <v>2726AGSMV1B</v>
      </c>
      <c r="B1216" s="1" t="s">
        <v>2375</v>
      </c>
      <c r="C1216" s="9" t="s">
        <v>2373</v>
      </c>
      <c r="D1216" s="14" t="s">
        <v>2376</v>
      </c>
      <c r="E1216" s="9" t="s">
        <v>8</v>
      </c>
    </row>
    <row r="1217" spans="1:5" ht="15" customHeight="1" outlineLevel="2" x14ac:dyDescent="0.25">
      <c r="A1217" s="3" t="str">
        <f>HYPERLINK("http://mystore1.ru/price_items/search?utf8=%E2%9C%93&amp;oem=2726AGSV","2726AGSV")</f>
        <v>2726AGSV</v>
      </c>
      <c r="B1217" s="1" t="s">
        <v>2377</v>
      </c>
      <c r="C1217" s="9" t="s">
        <v>2373</v>
      </c>
      <c r="D1217" s="14" t="s">
        <v>2378</v>
      </c>
      <c r="E1217" s="9" t="s">
        <v>8</v>
      </c>
    </row>
    <row r="1218" spans="1:5" ht="15" customHeight="1" outlineLevel="2" x14ac:dyDescent="0.25">
      <c r="A1218" s="3" t="str">
        <f>HYPERLINK("http://mystore1.ru/price_items/search?utf8=%E2%9C%93&amp;oem=2726AGSBLV","2726AGSBLV")</f>
        <v>2726AGSBLV</v>
      </c>
      <c r="B1218" s="1" t="s">
        <v>2379</v>
      </c>
      <c r="C1218" s="9" t="s">
        <v>2373</v>
      </c>
      <c r="D1218" s="14" t="s">
        <v>2380</v>
      </c>
      <c r="E1218" s="9" t="s">
        <v>8</v>
      </c>
    </row>
    <row r="1219" spans="1:5" ht="15" customHeight="1" outlineLevel="2" x14ac:dyDescent="0.25">
      <c r="A1219" s="3" t="str">
        <f>HYPERLINK("http://mystore1.ru/price_items/search?utf8=%E2%9C%93&amp;oem=2726AKMH1F","2726AKMH1F")</f>
        <v>2726AKMH1F</v>
      </c>
      <c r="B1219" s="1" t="s">
        <v>2381</v>
      </c>
      <c r="C1219" s="9" t="s">
        <v>25</v>
      </c>
      <c r="D1219" s="14" t="s">
        <v>2382</v>
      </c>
      <c r="E1219" s="9" t="s">
        <v>27</v>
      </c>
    </row>
    <row r="1220" spans="1:5" ht="15" customHeight="1" outlineLevel="2" x14ac:dyDescent="0.25">
      <c r="A1220" s="3" t="str">
        <f>HYPERLINK("http://mystore1.ru/price_items/search?utf8=%E2%9C%93&amp;oem=2726ASMH","2726ASMH")</f>
        <v>2726ASMH</v>
      </c>
      <c r="B1220" s="1" t="s">
        <v>2383</v>
      </c>
      <c r="C1220" s="9" t="s">
        <v>25</v>
      </c>
      <c r="D1220" s="14" t="s">
        <v>2382</v>
      </c>
      <c r="E1220" s="9" t="s">
        <v>27</v>
      </c>
    </row>
    <row r="1221" spans="1:5" ht="15" customHeight="1" outlineLevel="2" x14ac:dyDescent="0.25">
      <c r="A1221" s="3" t="str">
        <f>HYPERLINK("http://mystore1.ru/price_items/search?utf8=%E2%9C%93&amp;oem=2726ASMHB","2726ASMHB")</f>
        <v>2726ASMHB</v>
      </c>
      <c r="B1221" s="1" t="s">
        <v>2384</v>
      </c>
      <c r="C1221" s="9" t="s">
        <v>25</v>
      </c>
      <c r="D1221" s="14" t="s">
        <v>2385</v>
      </c>
      <c r="E1221" s="9" t="s">
        <v>27</v>
      </c>
    </row>
    <row r="1222" spans="1:5" ht="15" customHeight="1" outlineLevel="2" x14ac:dyDescent="0.25">
      <c r="A1222" s="3" t="str">
        <f>HYPERLINK("http://mystore1.ru/price_items/search?utf8=%E2%9C%93&amp;oem=2726BGSH","2726BGSH")</f>
        <v>2726BGSH</v>
      </c>
      <c r="B1222" s="1" t="s">
        <v>2386</v>
      </c>
      <c r="C1222" s="9" t="s">
        <v>2373</v>
      </c>
      <c r="D1222" s="14" t="s">
        <v>2387</v>
      </c>
      <c r="E1222" s="9" t="s">
        <v>30</v>
      </c>
    </row>
    <row r="1223" spans="1:5" ht="15" customHeight="1" outlineLevel="2" x14ac:dyDescent="0.25">
      <c r="A1223" s="3" t="str">
        <f>HYPERLINK("http://mystore1.ru/price_items/search?utf8=%E2%9C%93&amp;oem=2726LGSH5FD","2726LGSH5FD")</f>
        <v>2726LGSH5FD</v>
      </c>
      <c r="B1223" s="1" t="s">
        <v>2388</v>
      </c>
      <c r="C1223" s="9" t="s">
        <v>2373</v>
      </c>
      <c r="D1223" s="14" t="s">
        <v>2389</v>
      </c>
      <c r="E1223" s="9" t="s">
        <v>11</v>
      </c>
    </row>
    <row r="1224" spans="1:5" ht="15" customHeight="1" outlineLevel="2" x14ac:dyDescent="0.25">
      <c r="A1224" s="3" t="str">
        <f>HYPERLINK("http://mystore1.ru/price_items/search?utf8=%E2%9C%93&amp;oem=2726LGSH5FV","2726LGSH5FV")</f>
        <v>2726LGSH5FV</v>
      </c>
      <c r="B1224" s="1" t="s">
        <v>2390</v>
      </c>
      <c r="C1224" s="9" t="s">
        <v>2373</v>
      </c>
      <c r="D1224" s="14" t="s">
        <v>2391</v>
      </c>
      <c r="E1224" s="9" t="s">
        <v>11</v>
      </c>
    </row>
    <row r="1225" spans="1:5" ht="15" customHeight="1" outlineLevel="2" x14ac:dyDescent="0.25">
      <c r="A1225" s="3" t="str">
        <f>HYPERLINK("http://mystore1.ru/price_items/search?utf8=%E2%9C%93&amp;oem=2726LGSH5RD","2726LGSH5RD")</f>
        <v>2726LGSH5RD</v>
      </c>
      <c r="B1225" s="1" t="s">
        <v>2392</v>
      </c>
      <c r="C1225" s="9" t="s">
        <v>2373</v>
      </c>
      <c r="D1225" s="14" t="s">
        <v>2393</v>
      </c>
      <c r="E1225" s="9" t="s">
        <v>11</v>
      </c>
    </row>
    <row r="1226" spans="1:5" ht="15" customHeight="1" outlineLevel="2" x14ac:dyDescent="0.25">
      <c r="A1226" s="3" t="str">
        <f>HYPERLINK("http://mystore1.ru/price_items/search?utf8=%E2%9C%93&amp;oem=2726LGSH5RQ","2726LGSH5RQ")</f>
        <v>2726LGSH5RQ</v>
      </c>
      <c r="B1226" s="1" t="s">
        <v>2394</v>
      </c>
      <c r="C1226" s="9" t="s">
        <v>2373</v>
      </c>
      <c r="D1226" s="14" t="s">
        <v>2395</v>
      </c>
      <c r="E1226" s="9" t="s">
        <v>11</v>
      </c>
    </row>
    <row r="1227" spans="1:5" ht="15" customHeight="1" outlineLevel="2" x14ac:dyDescent="0.25">
      <c r="A1227" s="3" t="str">
        <f>HYPERLINK("http://mystore1.ru/price_items/search?utf8=%E2%9C%93&amp;oem=2726RGSH5FD","2726RGSH5FD")</f>
        <v>2726RGSH5FD</v>
      </c>
      <c r="B1227" s="1" t="s">
        <v>2396</v>
      </c>
      <c r="C1227" s="9" t="s">
        <v>2373</v>
      </c>
      <c r="D1227" s="14" t="s">
        <v>2397</v>
      </c>
      <c r="E1227" s="9" t="s">
        <v>11</v>
      </c>
    </row>
    <row r="1228" spans="1:5" ht="15" customHeight="1" outlineLevel="2" x14ac:dyDescent="0.25">
      <c r="A1228" s="3" t="str">
        <f>HYPERLINK("http://mystore1.ru/price_items/search?utf8=%E2%9C%93&amp;oem=2726RGSH5FV","2726RGSH5FV")</f>
        <v>2726RGSH5FV</v>
      </c>
      <c r="B1228" s="1" t="s">
        <v>2398</v>
      </c>
      <c r="C1228" s="9" t="s">
        <v>2373</v>
      </c>
      <c r="D1228" s="14" t="s">
        <v>2399</v>
      </c>
      <c r="E1228" s="9" t="s">
        <v>11</v>
      </c>
    </row>
    <row r="1229" spans="1:5" ht="15" customHeight="1" outlineLevel="2" x14ac:dyDescent="0.25">
      <c r="A1229" s="3" t="str">
        <f>HYPERLINK("http://mystore1.ru/price_items/search?utf8=%E2%9C%93&amp;oem=2726RGSH5RD","2726RGSH5RD")</f>
        <v>2726RGSH5RD</v>
      </c>
      <c r="B1229" s="1" t="s">
        <v>2400</v>
      </c>
      <c r="C1229" s="9" t="s">
        <v>2373</v>
      </c>
      <c r="D1229" s="14" t="s">
        <v>2401</v>
      </c>
      <c r="E1229" s="9" t="s">
        <v>11</v>
      </c>
    </row>
    <row r="1230" spans="1:5" ht="15" customHeight="1" outlineLevel="2" x14ac:dyDescent="0.25">
      <c r="A1230" s="3" t="str">
        <f>HYPERLINK("http://mystore1.ru/price_items/search?utf8=%E2%9C%93&amp;oem=2726RGSH5RQ","2726RGSH5RQ")</f>
        <v>2726RGSH5RQ</v>
      </c>
      <c r="B1230" s="1" t="s">
        <v>2402</v>
      </c>
      <c r="C1230" s="9" t="s">
        <v>2373</v>
      </c>
      <c r="D1230" s="14" t="s">
        <v>2403</v>
      </c>
      <c r="E1230" s="9" t="s">
        <v>11</v>
      </c>
    </row>
    <row r="1231" spans="1:5" outlineLevel="1" x14ac:dyDescent="0.25">
      <c r="A1231" s="2"/>
      <c r="B1231" s="6" t="s">
        <v>2404</v>
      </c>
      <c r="C1231" s="8"/>
      <c r="D1231" s="8"/>
      <c r="E1231" s="8"/>
    </row>
    <row r="1232" spans="1:5" ht="15" customHeight="1" outlineLevel="2" x14ac:dyDescent="0.25">
      <c r="A1232" s="3" t="str">
        <f>HYPERLINK("http://mystore1.ru/price_items/search?utf8=%E2%9C%93&amp;oem=2730ACCMV1B","2730ACCMV1B")</f>
        <v>2730ACCMV1B</v>
      </c>
      <c r="B1232" s="1" t="s">
        <v>2405</v>
      </c>
      <c r="C1232" s="9" t="s">
        <v>2406</v>
      </c>
      <c r="D1232" s="14" t="s">
        <v>2407</v>
      </c>
      <c r="E1232" s="9" t="s">
        <v>8</v>
      </c>
    </row>
    <row r="1233" spans="1:5" ht="15" customHeight="1" outlineLevel="2" x14ac:dyDescent="0.25">
      <c r="A1233" s="3" t="str">
        <f>HYPERLINK("http://mystore1.ru/price_items/search?utf8=%E2%9C%93&amp;oem=2730AGSV","2730AGSV")</f>
        <v>2730AGSV</v>
      </c>
      <c r="B1233" s="1" t="s">
        <v>2408</v>
      </c>
      <c r="C1233" s="9" t="s">
        <v>2406</v>
      </c>
      <c r="D1233" s="14" t="s">
        <v>2409</v>
      </c>
      <c r="E1233" s="9" t="s">
        <v>8</v>
      </c>
    </row>
    <row r="1234" spans="1:5" ht="15" customHeight="1" outlineLevel="2" x14ac:dyDescent="0.25">
      <c r="A1234" s="3" t="str">
        <f>HYPERLINK("http://mystore1.ru/price_items/search?utf8=%E2%9C%93&amp;oem=2730ASMTT","2730ASMTT")</f>
        <v>2730ASMTT</v>
      </c>
      <c r="B1234" s="1" t="s">
        <v>2410</v>
      </c>
      <c r="C1234" s="9" t="s">
        <v>25</v>
      </c>
      <c r="D1234" s="14" t="s">
        <v>2411</v>
      </c>
      <c r="E1234" s="9" t="s">
        <v>27</v>
      </c>
    </row>
    <row r="1235" spans="1:5" ht="15" customHeight="1" outlineLevel="2" x14ac:dyDescent="0.25">
      <c r="A1235" s="3" t="str">
        <f>HYPERLINK("http://mystore1.ru/price_items/search?utf8=%E2%9C%93&amp;oem=2730LGST2FD","2730LGST2FD")</f>
        <v>2730LGST2FD</v>
      </c>
      <c r="B1235" s="1" t="s">
        <v>2412</v>
      </c>
      <c r="C1235" s="9" t="s">
        <v>2406</v>
      </c>
      <c r="D1235" s="14" t="s">
        <v>2413</v>
      </c>
      <c r="E1235" s="9" t="s">
        <v>11</v>
      </c>
    </row>
    <row r="1236" spans="1:5" ht="15" customHeight="1" outlineLevel="2" x14ac:dyDescent="0.25">
      <c r="A1236" s="3" t="str">
        <f>HYPERLINK("http://mystore1.ru/price_items/search?utf8=%E2%9C%93&amp;oem=2730LGST2FVW","2730LGST2FVW")</f>
        <v>2730LGST2FVW</v>
      </c>
      <c r="B1236" s="1" t="s">
        <v>2414</v>
      </c>
      <c r="C1236" s="9" t="s">
        <v>2351</v>
      </c>
      <c r="D1236" s="14" t="s">
        <v>2415</v>
      </c>
      <c r="E1236" s="9" t="s">
        <v>11</v>
      </c>
    </row>
    <row r="1237" spans="1:5" ht="15" customHeight="1" outlineLevel="2" x14ac:dyDescent="0.25">
      <c r="A1237" s="3" t="str">
        <f>HYPERLINK("http://mystore1.ru/price_items/search?utf8=%E2%9C%93&amp;oem=2730LGST2RQOW","2730LGST2RQOW")</f>
        <v>2730LGST2RQOW</v>
      </c>
      <c r="B1237" s="1" t="s">
        <v>2416</v>
      </c>
      <c r="C1237" s="9" t="s">
        <v>2406</v>
      </c>
      <c r="D1237" s="14" t="s">
        <v>2417</v>
      </c>
      <c r="E1237" s="9" t="s">
        <v>11</v>
      </c>
    </row>
    <row r="1238" spans="1:5" ht="15" customHeight="1" outlineLevel="2" x14ac:dyDescent="0.25">
      <c r="A1238" s="3" t="str">
        <f>HYPERLINK("http://mystore1.ru/price_items/search?utf8=%E2%9C%93&amp;oem=2730RGST2FD","2730RGST2FD")</f>
        <v>2730RGST2FD</v>
      </c>
      <c r="B1238" s="1" t="s">
        <v>2418</v>
      </c>
      <c r="C1238" s="9" t="s">
        <v>2406</v>
      </c>
      <c r="D1238" s="14" t="s">
        <v>2419</v>
      </c>
      <c r="E1238" s="9" t="s">
        <v>11</v>
      </c>
    </row>
    <row r="1239" spans="1:5" ht="15" customHeight="1" outlineLevel="2" x14ac:dyDescent="0.25">
      <c r="A1239" s="3" t="str">
        <f>HYPERLINK("http://mystore1.ru/price_items/search?utf8=%E2%9C%93&amp;oem=2730RGST2FVW","2730RGST2FVW")</f>
        <v>2730RGST2FVW</v>
      </c>
      <c r="B1239" s="1" t="s">
        <v>2420</v>
      </c>
      <c r="C1239" s="9" t="s">
        <v>2351</v>
      </c>
      <c r="D1239" s="14" t="s">
        <v>2421</v>
      </c>
      <c r="E1239" s="9" t="s">
        <v>11</v>
      </c>
    </row>
    <row r="1240" spans="1:5" ht="15" customHeight="1" outlineLevel="2" x14ac:dyDescent="0.25">
      <c r="A1240" s="3" t="str">
        <f>HYPERLINK("http://mystore1.ru/price_items/search?utf8=%E2%9C%93&amp;oem=2730RGST2RQOW","2730RGST2RQOW")</f>
        <v>2730RGST2RQOW</v>
      </c>
      <c r="B1240" s="1" t="s">
        <v>2422</v>
      </c>
      <c r="C1240" s="9" t="s">
        <v>2406</v>
      </c>
      <c r="D1240" s="14" t="s">
        <v>2423</v>
      </c>
      <c r="E1240" s="9" t="s">
        <v>11</v>
      </c>
    </row>
    <row r="1241" spans="1:5" outlineLevel="1" x14ac:dyDescent="0.25">
      <c r="A1241" s="2"/>
      <c r="B1241" s="6" t="s">
        <v>2424</v>
      </c>
      <c r="C1241" s="8"/>
      <c r="D1241" s="8"/>
      <c r="E1241" s="8"/>
    </row>
    <row r="1242" spans="1:5" ht="15" customHeight="1" outlineLevel="2" x14ac:dyDescent="0.25">
      <c r="A1242" s="3" t="str">
        <f>HYPERLINK("http://mystore1.ru/price_items/search?utf8=%E2%9C%93&amp;oem=2742AGSVWZ","2742AGSVWZ")</f>
        <v>2742AGSVWZ</v>
      </c>
      <c r="B1242" s="1" t="s">
        <v>2425</v>
      </c>
      <c r="C1242" s="9" t="s">
        <v>369</v>
      </c>
      <c r="D1242" s="14" t="s">
        <v>2426</v>
      </c>
      <c r="E1242" s="9" t="s">
        <v>8</v>
      </c>
    </row>
    <row r="1243" spans="1:5" ht="15" customHeight="1" outlineLevel="2" x14ac:dyDescent="0.25">
      <c r="A1243" s="3" t="str">
        <f>HYPERLINK("http://mystore1.ru/price_items/search?utf8=%E2%9C%93&amp;oem=2742LGSM5FD","2742LGSM5FD")</f>
        <v>2742LGSM5FD</v>
      </c>
      <c r="B1243" s="1" t="s">
        <v>2427</v>
      </c>
      <c r="C1243" s="9" t="s">
        <v>369</v>
      </c>
      <c r="D1243" s="14" t="s">
        <v>2428</v>
      </c>
      <c r="E1243" s="9" t="s">
        <v>11</v>
      </c>
    </row>
    <row r="1244" spans="1:5" ht="15" customHeight="1" outlineLevel="2" x14ac:dyDescent="0.25">
      <c r="A1244" s="3" t="str">
        <f>HYPERLINK("http://mystore1.ru/price_items/search?utf8=%E2%9C%93&amp;oem=2742LGSM5RD","2742LGSM5RD")</f>
        <v>2742LGSM5RD</v>
      </c>
      <c r="B1244" s="1" t="s">
        <v>2429</v>
      </c>
      <c r="C1244" s="9" t="s">
        <v>369</v>
      </c>
      <c r="D1244" s="14" t="s">
        <v>2430</v>
      </c>
      <c r="E1244" s="9" t="s">
        <v>11</v>
      </c>
    </row>
    <row r="1245" spans="1:5" ht="15" customHeight="1" outlineLevel="2" x14ac:dyDescent="0.25">
      <c r="A1245" s="3" t="str">
        <f>HYPERLINK("http://mystore1.ru/price_items/search?utf8=%E2%9C%93&amp;oem=2742RGSM5FD","2742RGSM5FD")</f>
        <v>2742RGSM5FD</v>
      </c>
      <c r="B1245" s="1" t="s">
        <v>2431</v>
      </c>
      <c r="C1245" s="9" t="s">
        <v>369</v>
      </c>
      <c r="D1245" s="14" t="s">
        <v>2432</v>
      </c>
      <c r="E1245" s="9" t="s">
        <v>11</v>
      </c>
    </row>
    <row r="1246" spans="1:5" ht="15" customHeight="1" outlineLevel="2" x14ac:dyDescent="0.25">
      <c r="A1246" s="3" t="str">
        <f>HYPERLINK("http://mystore1.ru/price_items/search?utf8=%E2%9C%93&amp;oem=2742RGSM5RD","2742RGSM5RD")</f>
        <v>2742RGSM5RD</v>
      </c>
      <c r="B1246" s="1" t="s">
        <v>2433</v>
      </c>
      <c r="C1246" s="9" t="s">
        <v>369</v>
      </c>
      <c r="D1246" s="14" t="s">
        <v>2434</v>
      </c>
      <c r="E1246" s="9" t="s">
        <v>11</v>
      </c>
    </row>
    <row r="1247" spans="1:5" outlineLevel="1" x14ac:dyDescent="0.25">
      <c r="A1247" s="2"/>
      <c r="B1247" s="6" t="s">
        <v>2435</v>
      </c>
      <c r="C1247" s="8"/>
      <c r="D1247" s="8"/>
      <c r="E1247" s="8"/>
    </row>
    <row r="1248" spans="1:5" ht="15" customHeight="1" outlineLevel="2" x14ac:dyDescent="0.25">
      <c r="A1248" s="3" t="str">
        <f>HYPERLINK("http://mystore1.ru/price_items/search?utf8=%E2%9C%93&amp;oem=2743AGSVZ","2743AGSVZ")</f>
        <v>2743AGSVZ</v>
      </c>
      <c r="B1248" s="1" t="s">
        <v>2436</v>
      </c>
      <c r="C1248" s="9" t="s">
        <v>601</v>
      </c>
      <c r="D1248" s="14" t="s">
        <v>2437</v>
      </c>
      <c r="E1248" s="9" t="s">
        <v>8</v>
      </c>
    </row>
    <row r="1249" spans="1:5" ht="15" customHeight="1" outlineLevel="2" x14ac:dyDescent="0.25">
      <c r="A1249" s="3" t="str">
        <f>HYPERLINK("http://mystore1.ru/price_items/search?utf8=%E2%9C%93&amp;oem=2743BGSH","2743BGSH")</f>
        <v>2743BGSH</v>
      </c>
      <c r="B1249" s="1" t="s">
        <v>2438</v>
      </c>
      <c r="C1249" s="9" t="s">
        <v>601</v>
      </c>
      <c r="D1249" s="14" t="s">
        <v>2439</v>
      </c>
      <c r="E1249" s="9" t="s">
        <v>30</v>
      </c>
    </row>
    <row r="1250" spans="1:5" outlineLevel="1" x14ac:dyDescent="0.25">
      <c r="A1250" s="2"/>
      <c r="B1250" s="6" t="s">
        <v>2440</v>
      </c>
      <c r="C1250" s="8"/>
      <c r="D1250" s="8"/>
      <c r="E1250" s="8"/>
    </row>
    <row r="1251" spans="1:5" ht="15" customHeight="1" outlineLevel="2" x14ac:dyDescent="0.25">
      <c r="A1251" s="3" t="str">
        <f>HYPERLINK("http://mystore1.ru/price_items/search?utf8=%E2%9C%93&amp;oem=2732ACDMVW2P","2732ACDMVW2P")</f>
        <v>2732ACDMVW2P</v>
      </c>
      <c r="B1251" s="1" t="s">
        <v>2441</v>
      </c>
      <c r="C1251" s="9" t="s">
        <v>212</v>
      </c>
      <c r="D1251" s="14" t="s">
        <v>2442</v>
      </c>
      <c r="E1251" s="9" t="s">
        <v>8</v>
      </c>
    </row>
    <row r="1252" spans="1:5" ht="15" customHeight="1" outlineLevel="2" x14ac:dyDescent="0.25">
      <c r="A1252" s="3" t="str">
        <f>HYPERLINK("http://mystore1.ru/price_items/search?utf8=%E2%9C%93&amp;oem=2732AGSMVW1B","2732AGSMVW1B")</f>
        <v>2732AGSMVW1B</v>
      </c>
      <c r="B1252" s="1" t="s">
        <v>2443</v>
      </c>
      <c r="C1252" s="9" t="s">
        <v>212</v>
      </c>
      <c r="D1252" s="14" t="s">
        <v>2444</v>
      </c>
      <c r="E1252" s="9" t="s">
        <v>8</v>
      </c>
    </row>
    <row r="1253" spans="1:5" ht="15" customHeight="1" outlineLevel="2" x14ac:dyDescent="0.25">
      <c r="A1253" s="3" t="str">
        <f>HYPERLINK("http://mystore1.ru/price_items/search?utf8=%E2%9C%93&amp;oem=2732AGSVW","2732AGSVW")</f>
        <v>2732AGSVW</v>
      </c>
      <c r="B1253" s="1" t="s">
        <v>2445</v>
      </c>
      <c r="C1253" s="9" t="s">
        <v>212</v>
      </c>
      <c r="D1253" s="14" t="s">
        <v>2446</v>
      </c>
      <c r="E1253" s="9" t="s">
        <v>8</v>
      </c>
    </row>
    <row r="1254" spans="1:5" ht="15" customHeight="1" outlineLevel="2" x14ac:dyDescent="0.25">
      <c r="A1254" s="3" t="str">
        <f>HYPERLINK("http://mystore1.ru/price_items/search?utf8=%E2%9C%93&amp;oem=2732BGDHA","2732BGDHA")</f>
        <v>2732BGDHA</v>
      </c>
      <c r="B1254" s="1" t="s">
        <v>2447</v>
      </c>
      <c r="C1254" s="9" t="s">
        <v>212</v>
      </c>
      <c r="D1254" s="14" t="s">
        <v>2448</v>
      </c>
      <c r="E1254" s="9" t="s">
        <v>30</v>
      </c>
    </row>
    <row r="1255" spans="1:5" ht="15" customHeight="1" outlineLevel="2" x14ac:dyDescent="0.25">
      <c r="A1255" s="3" t="str">
        <f>HYPERLINK("http://mystore1.ru/price_items/search?utf8=%E2%9C%93&amp;oem=2732BGDHB1J","2732BGDHB1J")</f>
        <v>2732BGDHB1J</v>
      </c>
      <c r="B1255" s="1" t="s">
        <v>2449</v>
      </c>
      <c r="C1255" s="9" t="s">
        <v>212</v>
      </c>
      <c r="D1255" s="14" t="s">
        <v>2450</v>
      </c>
      <c r="E1255" s="9" t="s">
        <v>30</v>
      </c>
    </row>
    <row r="1256" spans="1:5" ht="15" customHeight="1" outlineLevel="2" x14ac:dyDescent="0.25">
      <c r="A1256" s="3" t="str">
        <f>HYPERLINK("http://mystore1.ru/price_items/search?utf8=%E2%9C%93&amp;oem=2732BGDHY2J","2732BGDHY2J")</f>
        <v>2732BGDHY2J</v>
      </c>
      <c r="B1256" s="1" t="s">
        <v>2451</v>
      </c>
      <c r="C1256" s="9" t="s">
        <v>212</v>
      </c>
      <c r="D1256" s="14" t="s">
        <v>2452</v>
      </c>
      <c r="E1256" s="9" t="s">
        <v>30</v>
      </c>
    </row>
    <row r="1257" spans="1:5" ht="15" customHeight="1" outlineLevel="2" x14ac:dyDescent="0.25">
      <c r="A1257" s="3" t="str">
        <f>HYPERLINK("http://mystore1.ru/price_items/search?utf8=%E2%9C%93&amp;oem=2732BGSH","2732BGSH")</f>
        <v>2732BGSH</v>
      </c>
      <c r="B1257" s="1" t="s">
        <v>2453</v>
      </c>
      <c r="C1257" s="9" t="s">
        <v>212</v>
      </c>
      <c r="D1257" s="14" t="s">
        <v>2454</v>
      </c>
      <c r="E1257" s="9" t="s">
        <v>30</v>
      </c>
    </row>
    <row r="1258" spans="1:5" ht="15" customHeight="1" outlineLevel="2" x14ac:dyDescent="0.25">
      <c r="A1258" s="3" t="str">
        <f>HYPERLINK("http://mystore1.ru/price_items/search?utf8=%E2%9C%93&amp;oem=2732BGSHB1J","2732BGSHB1J")</f>
        <v>2732BGSHB1J</v>
      </c>
      <c r="B1258" s="1" t="s">
        <v>2455</v>
      </c>
      <c r="C1258" s="9" t="s">
        <v>212</v>
      </c>
      <c r="D1258" s="14" t="s">
        <v>2456</v>
      </c>
      <c r="E1258" s="9" t="s">
        <v>30</v>
      </c>
    </row>
    <row r="1259" spans="1:5" ht="15" customHeight="1" outlineLevel="2" x14ac:dyDescent="0.25">
      <c r="A1259" s="3" t="str">
        <f>HYPERLINK("http://mystore1.ru/price_items/search?utf8=%E2%9C%93&amp;oem=2732BGSHY2J","2732BGSHY2J")</f>
        <v>2732BGSHY2J</v>
      </c>
      <c r="B1259" s="1" t="s">
        <v>2457</v>
      </c>
      <c r="C1259" s="9" t="s">
        <v>212</v>
      </c>
      <c r="D1259" s="14" t="s">
        <v>2458</v>
      </c>
      <c r="E1259" s="9" t="s">
        <v>30</v>
      </c>
    </row>
    <row r="1260" spans="1:5" ht="15" customHeight="1" outlineLevel="2" x14ac:dyDescent="0.25">
      <c r="A1260" s="3" t="str">
        <f>HYPERLINK("http://mystore1.ru/price_items/search?utf8=%E2%9C%93&amp;oem=2732LGSH3FD","2732LGSH3FD")</f>
        <v>2732LGSH3FD</v>
      </c>
      <c r="B1260" s="1" t="s">
        <v>2459</v>
      </c>
      <c r="C1260" s="9" t="s">
        <v>212</v>
      </c>
      <c r="D1260" s="14" t="s">
        <v>2460</v>
      </c>
      <c r="E1260" s="9" t="s">
        <v>11</v>
      </c>
    </row>
    <row r="1261" spans="1:5" ht="15" customHeight="1" outlineLevel="2" x14ac:dyDescent="0.25">
      <c r="A1261" s="3" t="str">
        <f>HYPERLINK("http://mystore1.ru/price_items/search?utf8=%E2%9C%93&amp;oem=2732LGSH3FVZ","2732LGSH3FVZ")</f>
        <v>2732LGSH3FVZ</v>
      </c>
      <c r="B1261" s="1" t="s">
        <v>2461</v>
      </c>
      <c r="C1261" s="9" t="s">
        <v>212</v>
      </c>
      <c r="D1261" s="14" t="s">
        <v>2462</v>
      </c>
      <c r="E1261" s="9" t="s">
        <v>11</v>
      </c>
    </row>
    <row r="1262" spans="1:5" ht="15" customHeight="1" outlineLevel="2" x14ac:dyDescent="0.25">
      <c r="A1262" s="3" t="str">
        <f>HYPERLINK("http://mystore1.ru/price_items/search?utf8=%E2%9C%93&amp;oem=2732LGSH5FD","2732LGSH5FD")</f>
        <v>2732LGSH5FD</v>
      </c>
      <c r="B1262" s="1" t="s">
        <v>2463</v>
      </c>
      <c r="C1262" s="9" t="s">
        <v>212</v>
      </c>
      <c r="D1262" s="14" t="s">
        <v>2460</v>
      </c>
      <c r="E1262" s="9" t="s">
        <v>11</v>
      </c>
    </row>
    <row r="1263" spans="1:5" ht="15" customHeight="1" outlineLevel="2" x14ac:dyDescent="0.25">
      <c r="A1263" s="3" t="str">
        <f>HYPERLINK("http://mystore1.ru/price_items/search?utf8=%E2%9C%93&amp;oem=2732LGSH5RD","2732LGSH5RD")</f>
        <v>2732LGSH5RD</v>
      </c>
      <c r="B1263" s="1" t="s">
        <v>2464</v>
      </c>
      <c r="C1263" s="9" t="s">
        <v>212</v>
      </c>
      <c r="D1263" s="14" t="s">
        <v>2465</v>
      </c>
      <c r="E1263" s="9" t="s">
        <v>11</v>
      </c>
    </row>
    <row r="1264" spans="1:5" ht="15" customHeight="1" outlineLevel="2" x14ac:dyDescent="0.25">
      <c r="A1264" s="3" t="str">
        <f>HYPERLINK("http://mystore1.ru/price_items/search?utf8=%E2%9C%93&amp;oem=2732LGSH5RQZ","2732LGSH5RQZ")</f>
        <v>2732LGSH5RQZ</v>
      </c>
      <c r="B1264" s="1" t="s">
        <v>2466</v>
      </c>
      <c r="C1264" s="9" t="s">
        <v>212</v>
      </c>
      <c r="D1264" s="14" t="s">
        <v>2467</v>
      </c>
      <c r="E1264" s="9" t="s">
        <v>11</v>
      </c>
    </row>
    <row r="1265" spans="1:5" ht="15" customHeight="1" outlineLevel="2" x14ac:dyDescent="0.25">
      <c r="A1265" s="3" t="str">
        <f>HYPERLINK("http://mystore1.ru/price_items/search?utf8=%E2%9C%93&amp;oem=2732RGSH3FD","2732RGSH3FD")</f>
        <v>2732RGSH3FD</v>
      </c>
      <c r="B1265" s="1" t="s">
        <v>2468</v>
      </c>
      <c r="C1265" s="9" t="s">
        <v>212</v>
      </c>
      <c r="D1265" s="14" t="s">
        <v>2469</v>
      </c>
      <c r="E1265" s="9" t="s">
        <v>11</v>
      </c>
    </row>
    <row r="1266" spans="1:5" ht="15" customHeight="1" outlineLevel="2" x14ac:dyDescent="0.25">
      <c r="A1266" s="3" t="str">
        <f>HYPERLINK("http://mystore1.ru/price_items/search?utf8=%E2%9C%93&amp;oem=2732RGSH3FVZ","2732RGSH3FVZ")</f>
        <v>2732RGSH3FVZ</v>
      </c>
      <c r="B1266" s="1" t="s">
        <v>2470</v>
      </c>
      <c r="C1266" s="9" t="s">
        <v>212</v>
      </c>
      <c r="D1266" s="14" t="s">
        <v>2471</v>
      </c>
      <c r="E1266" s="9" t="s">
        <v>11</v>
      </c>
    </row>
    <row r="1267" spans="1:5" ht="15" customHeight="1" outlineLevel="2" x14ac:dyDescent="0.25">
      <c r="A1267" s="3" t="str">
        <f>HYPERLINK("http://mystore1.ru/price_items/search?utf8=%E2%9C%93&amp;oem=2732RGSH3RQAZ","2732RGSH3RQAZ")</f>
        <v>2732RGSH3RQAZ</v>
      </c>
      <c r="B1267" s="1" t="s">
        <v>2472</v>
      </c>
      <c r="C1267" s="9" t="s">
        <v>212</v>
      </c>
      <c r="D1267" s="14" t="s">
        <v>2473</v>
      </c>
      <c r="E1267" s="9" t="s">
        <v>11</v>
      </c>
    </row>
    <row r="1268" spans="1:5" ht="15" customHeight="1" outlineLevel="2" x14ac:dyDescent="0.25">
      <c r="A1268" s="3" t="str">
        <f>HYPERLINK("http://mystore1.ru/price_items/search?utf8=%E2%9C%93&amp;oem=2732RGSH5FD","2732RGSH5FD")</f>
        <v>2732RGSH5FD</v>
      </c>
      <c r="B1268" s="1" t="s">
        <v>2474</v>
      </c>
      <c r="C1268" s="9" t="s">
        <v>212</v>
      </c>
      <c r="D1268" s="14" t="s">
        <v>2469</v>
      </c>
      <c r="E1268" s="9" t="s">
        <v>11</v>
      </c>
    </row>
    <row r="1269" spans="1:5" ht="15" customHeight="1" outlineLevel="2" x14ac:dyDescent="0.25">
      <c r="A1269" s="3" t="str">
        <f>HYPERLINK("http://mystore1.ru/price_items/search?utf8=%E2%9C%93&amp;oem=2732RGSH5RD","2732RGSH5RD")</f>
        <v>2732RGSH5RD</v>
      </c>
      <c r="B1269" s="1" t="s">
        <v>2475</v>
      </c>
      <c r="C1269" s="9" t="s">
        <v>212</v>
      </c>
      <c r="D1269" s="14" t="s">
        <v>2476</v>
      </c>
      <c r="E1269" s="9" t="s">
        <v>11</v>
      </c>
    </row>
    <row r="1270" spans="1:5" ht="15" customHeight="1" outlineLevel="2" x14ac:dyDescent="0.25">
      <c r="A1270" s="3" t="str">
        <f>HYPERLINK("http://mystore1.ru/price_items/search?utf8=%E2%9C%93&amp;oem=2732RGSH5RQZ","2732RGSH5RQZ")</f>
        <v>2732RGSH5RQZ</v>
      </c>
      <c r="B1270" s="1" t="s">
        <v>2477</v>
      </c>
      <c r="C1270" s="9" t="s">
        <v>212</v>
      </c>
      <c r="D1270" s="14" t="s">
        <v>2478</v>
      </c>
      <c r="E1270" s="9" t="s">
        <v>11</v>
      </c>
    </row>
    <row r="1271" spans="1:5" outlineLevel="1" x14ac:dyDescent="0.25">
      <c r="A1271" s="2"/>
      <c r="B1271" s="6" t="s">
        <v>2479</v>
      </c>
      <c r="C1271" s="8"/>
      <c r="D1271" s="8"/>
      <c r="E1271" s="8"/>
    </row>
    <row r="1272" spans="1:5" ht="15" customHeight="1" outlineLevel="2" x14ac:dyDescent="0.25">
      <c r="A1272" s="3" t="str">
        <f>HYPERLINK("http://mystore1.ru/price_items/search?utf8=%E2%9C%93&amp;oem=2746AGAVW","2746AGAVW")</f>
        <v>2746AGAVW</v>
      </c>
      <c r="B1272" s="1" t="s">
        <v>2480</v>
      </c>
      <c r="C1272" s="9" t="s">
        <v>601</v>
      </c>
      <c r="D1272" s="14" t="s">
        <v>2481</v>
      </c>
      <c r="E1272" s="9" t="s">
        <v>8</v>
      </c>
    </row>
    <row r="1273" spans="1:5" ht="15" customHeight="1" outlineLevel="2" x14ac:dyDescent="0.25">
      <c r="A1273" s="3" t="str">
        <f>HYPERLINK("http://mystore1.ru/price_items/search?utf8=%E2%9C%93&amp;oem=2746AGAMVW1B","2746AGAMVW1B")</f>
        <v>2746AGAMVW1B</v>
      </c>
      <c r="B1273" s="1" t="s">
        <v>2482</v>
      </c>
      <c r="C1273" s="9" t="s">
        <v>601</v>
      </c>
      <c r="D1273" s="14" t="s">
        <v>2483</v>
      </c>
      <c r="E1273" s="9" t="s">
        <v>8</v>
      </c>
    </row>
    <row r="1274" spans="1:5" ht="15" customHeight="1" outlineLevel="2" x14ac:dyDescent="0.25">
      <c r="A1274" s="3" t="str">
        <f>HYPERLINK("http://mystore1.ru/price_items/search?utf8=%E2%9C%93&amp;oem=2746BGPHA","2746BGPHA")</f>
        <v>2746BGPHA</v>
      </c>
      <c r="B1274" s="1" t="s">
        <v>2484</v>
      </c>
      <c r="C1274" s="9" t="s">
        <v>601</v>
      </c>
      <c r="D1274" s="14" t="s">
        <v>2485</v>
      </c>
      <c r="E1274" s="9" t="s">
        <v>30</v>
      </c>
    </row>
    <row r="1275" spans="1:5" ht="15" customHeight="1" outlineLevel="2" x14ac:dyDescent="0.25">
      <c r="A1275" s="3" t="str">
        <f>HYPERLINK("http://mystore1.ru/price_items/search?utf8=%E2%9C%93&amp;oem=2746BGSH","2746BGSH")</f>
        <v>2746BGSH</v>
      </c>
      <c r="B1275" s="1" t="s">
        <v>2486</v>
      </c>
      <c r="C1275" s="9" t="s">
        <v>601</v>
      </c>
      <c r="D1275" s="14" t="s">
        <v>2487</v>
      </c>
      <c r="E1275" s="9" t="s">
        <v>30</v>
      </c>
    </row>
    <row r="1276" spans="1:5" outlineLevel="1" x14ac:dyDescent="0.25">
      <c r="A1276" s="2"/>
      <c r="B1276" s="6" t="s">
        <v>2488</v>
      </c>
      <c r="C1276" s="8"/>
      <c r="D1276" s="8"/>
      <c r="E1276" s="8"/>
    </row>
    <row r="1277" spans="1:5" ht="15" customHeight="1" outlineLevel="2" x14ac:dyDescent="0.25">
      <c r="A1277" s="3" t="str">
        <f>HYPERLINK("http://mystore1.ru/price_items/search?utf8=%E2%9C%93&amp;oem=2735ACDMVZ6A","2735ACDMVZ6A")</f>
        <v>2735ACDMVZ6A</v>
      </c>
      <c r="B1277" s="1" t="s">
        <v>2489</v>
      </c>
      <c r="C1277" s="9" t="s">
        <v>687</v>
      </c>
      <c r="D1277" s="14" t="s">
        <v>2490</v>
      </c>
      <c r="E1277" s="9" t="s">
        <v>8</v>
      </c>
    </row>
    <row r="1278" spans="1:5" ht="15" customHeight="1" outlineLevel="2" x14ac:dyDescent="0.25">
      <c r="A1278" s="3" t="str">
        <f>HYPERLINK("http://mystore1.ru/price_items/search?utf8=%E2%9C%93&amp;oem=2735ACDMVZ7A","2735ACDMVZ7A")</f>
        <v>2735ACDMVZ7A</v>
      </c>
      <c r="B1278" s="1" t="s">
        <v>2491</v>
      </c>
      <c r="C1278" s="9" t="s">
        <v>687</v>
      </c>
      <c r="D1278" s="14" t="s">
        <v>2490</v>
      </c>
      <c r="E1278" s="9" t="s">
        <v>8</v>
      </c>
    </row>
    <row r="1279" spans="1:5" ht="15" customHeight="1" outlineLevel="2" x14ac:dyDescent="0.25">
      <c r="A1279" s="3" t="str">
        <f>HYPERLINK("http://mystore1.ru/price_items/search?utf8=%E2%9C%93&amp;oem=2735AGAVZ1P","2735AGAVZ1P")</f>
        <v>2735AGAVZ1P</v>
      </c>
      <c r="B1279" s="1" t="s">
        <v>2492</v>
      </c>
      <c r="C1279" s="9" t="s">
        <v>687</v>
      </c>
      <c r="D1279" s="14" t="s">
        <v>2493</v>
      </c>
      <c r="E1279" s="9" t="s">
        <v>8</v>
      </c>
    </row>
    <row r="1280" spans="1:5" ht="15" customHeight="1" outlineLevel="2" x14ac:dyDescent="0.25">
      <c r="A1280" s="3" t="str">
        <f>HYPERLINK("http://mystore1.ru/price_items/search?utf8=%E2%9C%93&amp;oem=2735LGSM5FD","2735LGSM5FD")</f>
        <v>2735LGSM5FD</v>
      </c>
      <c r="B1280" s="1" t="s">
        <v>2494</v>
      </c>
      <c r="C1280" s="9" t="s">
        <v>687</v>
      </c>
      <c r="D1280" s="14" t="s">
        <v>2495</v>
      </c>
      <c r="E1280" s="9" t="s">
        <v>11</v>
      </c>
    </row>
    <row r="1281" spans="1:5" ht="15" customHeight="1" outlineLevel="2" x14ac:dyDescent="0.25">
      <c r="A1281" s="3" t="str">
        <f>HYPERLINK("http://mystore1.ru/price_items/search?utf8=%E2%9C%93&amp;oem=2735LGSM5RDW","2735LGSM5RDW")</f>
        <v>2735LGSM5RDW</v>
      </c>
      <c r="B1281" s="1" t="s">
        <v>2496</v>
      </c>
      <c r="C1281" s="9" t="s">
        <v>511</v>
      </c>
      <c r="D1281" s="14" t="s">
        <v>2497</v>
      </c>
      <c r="E1281" s="9" t="s">
        <v>11</v>
      </c>
    </row>
    <row r="1282" spans="1:5" ht="15" customHeight="1" outlineLevel="2" x14ac:dyDescent="0.25">
      <c r="A1282" s="3" t="str">
        <f>HYPERLINK("http://mystore1.ru/price_items/search?utf8=%E2%9C%93&amp;oem=2735LGSM5RDW1J","2735LGSM5RDW1J")</f>
        <v>2735LGSM5RDW1J</v>
      </c>
      <c r="B1282" s="1" t="s">
        <v>2498</v>
      </c>
      <c r="C1282" s="9" t="s">
        <v>687</v>
      </c>
      <c r="D1282" s="14" t="s">
        <v>2499</v>
      </c>
      <c r="E1282" s="9" t="s">
        <v>11</v>
      </c>
    </row>
    <row r="1283" spans="1:5" ht="15" customHeight="1" outlineLevel="2" x14ac:dyDescent="0.25">
      <c r="A1283" s="3" t="str">
        <f>HYPERLINK("http://mystore1.ru/price_items/search?utf8=%E2%9C%93&amp;oem=2735RGSM5FD","2735RGSM5FD")</f>
        <v>2735RGSM5FD</v>
      </c>
      <c r="B1283" s="1" t="s">
        <v>2500</v>
      </c>
      <c r="C1283" s="9" t="s">
        <v>687</v>
      </c>
      <c r="D1283" s="14" t="s">
        <v>2501</v>
      </c>
      <c r="E1283" s="9" t="s">
        <v>11</v>
      </c>
    </row>
    <row r="1284" spans="1:5" ht="15" customHeight="1" outlineLevel="2" x14ac:dyDescent="0.25">
      <c r="A1284" s="3" t="str">
        <f>HYPERLINK("http://mystore1.ru/price_items/search?utf8=%E2%9C%93&amp;oem=2735RGSM5RDW","2735RGSM5RDW")</f>
        <v>2735RGSM5RDW</v>
      </c>
      <c r="B1284" s="1" t="s">
        <v>2502</v>
      </c>
      <c r="C1284" s="9" t="s">
        <v>511</v>
      </c>
      <c r="D1284" s="14" t="s">
        <v>2503</v>
      </c>
      <c r="E1284" s="9" t="s">
        <v>11</v>
      </c>
    </row>
    <row r="1285" spans="1:5" ht="15" customHeight="1" outlineLevel="2" x14ac:dyDescent="0.25">
      <c r="A1285" s="3" t="str">
        <f>HYPERLINK("http://mystore1.ru/price_items/search?utf8=%E2%9C%93&amp;oem=2735RGSM5RDW1J","2735RGSM5RDW1J")</f>
        <v>2735RGSM5RDW1J</v>
      </c>
      <c r="B1285" s="1" t="s">
        <v>2504</v>
      </c>
      <c r="C1285" s="9" t="s">
        <v>687</v>
      </c>
      <c r="D1285" s="14" t="s">
        <v>2505</v>
      </c>
      <c r="E1285" s="9" t="s">
        <v>11</v>
      </c>
    </row>
    <row r="1286" spans="1:5" outlineLevel="1" x14ac:dyDescent="0.25">
      <c r="A1286" s="2"/>
      <c r="B1286" s="6" t="s">
        <v>2506</v>
      </c>
      <c r="C1286" s="8"/>
      <c r="D1286" s="8"/>
      <c r="E1286" s="8"/>
    </row>
    <row r="1287" spans="1:5" ht="15" customHeight="1" outlineLevel="2" x14ac:dyDescent="0.25">
      <c r="A1287" s="3" t="str">
        <f>HYPERLINK("http://mystore1.ru/price_items/search?utf8=%E2%9C%93&amp;oem=2727ACCMV1B","2727ACCMV1B")</f>
        <v>2727ACCMV1B</v>
      </c>
      <c r="B1287" s="1" t="s">
        <v>2507</v>
      </c>
      <c r="C1287" s="9" t="s">
        <v>1362</v>
      </c>
      <c r="D1287" s="14" t="s">
        <v>2508</v>
      </c>
      <c r="E1287" s="9" t="s">
        <v>8</v>
      </c>
    </row>
    <row r="1288" spans="1:5" ht="15" customHeight="1" outlineLevel="2" x14ac:dyDescent="0.25">
      <c r="A1288" s="3" t="str">
        <f>HYPERLINK("http://mystore1.ru/price_items/search?utf8=%E2%9C%93&amp;oem=2727ACCMV6T","2727ACCMV6T")</f>
        <v>2727ACCMV6T</v>
      </c>
      <c r="B1288" s="1" t="s">
        <v>2509</v>
      </c>
      <c r="C1288" s="9" t="s">
        <v>1362</v>
      </c>
      <c r="D1288" s="14" t="s">
        <v>2510</v>
      </c>
      <c r="E1288" s="9" t="s">
        <v>8</v>
      </c>
    </row>
    <row r="1289" spans="1:5" ht="15" customHeight="1" outlineLevel="2" x14ac:dyDescent="0.25">
      <c r="A1289" s="3" t="str">
        <f>HYPERLINK("http://mystore1.ru/price_items/search?utf8=%E2%9C%93&amp;oem=2727ACCV1B","2727ACCV1B")</f>
        <v>2727ACCV1B</v>
      </c>
      <c r="B1289" s="1" t="s">
        <v>2511</v>
      </c>
      <c r="C1289" s="9" t="s">
        <v>1362</v>
      </c>
      <c r="D1289" s="14" t="s">
        <v>2512</v>
      </c>
      <c r="E1289" s="9" t="s">
        <v>8</v>
      </c>
    </row>
    <row r="1290" spans="1:5" ht="15" customHeight="1" outlineLevel="2" x14ac:dyDescent="0.25">
      <c r="A1290" s="3" t="str">
        <f>HYPERLINK("http://mystore1.ru/price_items/search?utf8=%E2%9C%93&amp;oem=2727AGSV","2727AGSV")</f>
        <v>2727AGSV</v>
      </c>
      <c r="B1290" s="1" t="s">
        <v>2513</v>
      </c>
      <c r="C1290" s="9" t="s">
        <v>1703</v>
      </c>
      <c r="D1290" s="14" t="s">
        <v>2514</v>
      </c>
      <c r="E1290" s="9" t="s">
        <v>8</v>
      </c>
    </row>
    <row r="1291" spans="1:5" ht="15" customHeight="1" outlineLevel="2" x14ac:dyDescent="0.25">
      <c r="A1291" s="3" t="str">
        <f>HYPERLINK("http://mystore1.ru/price_items/search?utf8=%E2%9C%93&amp;oem=2727AKMH","2727AKMH")</f>
        <v>2727AKMH</v>
      </c>
      <c r="B1291" s="1" t="s">
        <v>2515</v>
      </c>
      <c r="C1291" s="9" t="s">
        <v>25</v>
      </c>
      <c r="D1291" s="14" t="s">
        <v>2516</v>
      </c>
      <c r="E1291" s="9" t="s">
        <v>27</v>
      </c>
    </row>
    <row r="1292" spans="1:5" ht="15" customHeight="1" outlineLevel="2" x14ac:dyDescent="0.25">
      <c r="A1292" s="3" t="str">
        <f>HYPERLINK("http://mystore1.ru/price_items/search?utf8=%E2%9C%93&amp;oem=2727ASMH","2727ASMH")</f>
        <v>2727ASMH</v>
      </c>
      <c r="B1292" s="1" t="s">
        <v>2517</v>
      </c>
      <c r="C1292" s="9" t="s">
        <v>25</v>
      </c>
      <c r="D1292" s="14" t="s">
        <v>2518</v>
      </c>
      <c r="E1292" s="9" t="s">
        <v>27</v>
      </c>
    </row>
    <row r="1293" spans="1:5" ht="15" customHeight="1" outlineLevel="2" x14ac:dyDescent="0.25">
      <c r="A1293" s="3" t="str">
        <f>HYPERLINK("http://mystore1.ru/price_items/search?utf8=%E2%9C%93&amp;oem=2727ASMHB","2727ASMHB")</f>
        <v>2727ASMHB</v>
      </c>
      <c r="B1293" s="1" t="s">
        <v>2519</v>
      </c>
      <c r="C1293" s="9" t="s">
        <v>25</v>
      </c>
      <c r="D1293" s="14" t="s">
        <v>2520</v>
      </c>
      <c r="E1293" s="9" t="s">
        <v>27</v>
      </c>
    </row>
    <row r="1294" spans="1:5" ht="15" customHeight="1" outlineLevel="2" x14ac:dyDescent="0.25">
      <c r="A1294" s="3" t="str">
        <f>HYPERLINK("http://mystore1.ru/price_items/search?utf8=%E2%9C%93&amp;oem=2727BGSEOW","2727BGSEOW")</f>
        <v>2727BGSEOW</v>
      </c>
      <c r="B1294" s="1" t="s">
        <v>2521</v>
      </c>
      <c r="C1294" s="9" t="s">
        <v>1359</v>
      </c>
      <c r="D1294" s="14" t="s">
        <v>2522</v>
      </c>
      <c r="E1294" s="9" t="s">
        <v>30</v>
      </c>
    </row>
    <row r="1295" spans="1:5" ht="15" customHeight="1" outlineLevel="2" x14ac:dyDescent="0.25">
      <c r="A1295" s="3" t="str">
        <f>HYPERLINK("http://mystore1.ru/price_items/search?utf8=%E2%9C%93&amp;oem=2727BGSHBZ","2727BGSHBZ")</f>
        <v>2727BGSHBZ</v>
      </c>
      <c r="B1295" s="1" t="s">
        <v>2523</v>
      </c>
      <c r="C1295" s="9" t="s">
        <v>1359</v>
      </c>
      <c r="D1295" s="14" t="s">
        <v>2524</v>
      </c>
      <c r="E1295" s="9" t="s">
        <v>30</v>
      </c>
    </row>
    <row r="1296" spans="1:5" ht="15" customHeight="1" outlineLevel="2" x14ac:dyDescent="0.25">
      <c r="A1296" s="3" t="str">
        <f>HYPERLINK("http://mystore1.ru/price_items/search?utf8=%E2%9C%93&amp;oem=2727BGSHBZ1H","2727BGSHBZ1H")</f>
        <v>2727BGSHBZ1H</v>
      </c>
      <c r="B1296" s="1" t="s">
        <v>2525</v>
      </c>
      <c r="C1296" s="9" t="s">
        <v>1359</v>
      </c>
      <c r="D1296" s="14" t="s">
        <v>2526</v>
      </c>
      <c r="E1296" s="9" t="s">
        <v>30</v>
      </c>
    </row>
    <row r="1297" spans="1:5" ht="15" customHeight="1" outlineLevel="2" x14ac:dyDescent="0.25">
      <c r="A1297" s="3" t="str">
        <f>HYPERLINK("http://mystore1.ru/price_items/search?utf8=%E2%9C%93&amp;oem=2727BGSHBZ1R","2727BGSHBZ1R")</f>
        <v>2727BGSHBZ1R</v>
      </c>
      <c r="B1297" s="1" t="s">
        <v>2527</v>
      </c>
      <c r="C1297" s="9" t="s">
        <v>1359</v>
      </c>
      <c r="D1297" s="14" t="s">
        <v>2528</v>
      </c>
      <c r="E1297" s="9" t="s">
        <v>30</v>
      </c>
    </row>
    <row r="1298" spans="1:5" ht="15" customHeight="1" outlineLevel="2" x14ac:dyDescent="0.25">
      <c r="A1298" s="3" t="str">
        <f>HYPERLINK("http://mystore1.ru/price_items/search?utf8=%E2%9C%93&amp;oem=2727LGAH5FDKW","2727LGAH5FDKW")</f>
        <v>2727LGAH5FDKW</v>
      </c>
      <c r="B1298" s="1" t="s">
        <v>2529</v>
      </c>
      <c r="C1298" s="9" t="s">
        <v>1703</v>
      </c>
      <c r="D1298" s="14" t="s">
        <v>2530</v>
      </c>
      <c r="E1298" s="9" t="s">
        <v>11</v>
      </c>
    </row>
    <row r="1299" spans="1:5" ht="15" customHeight="1" outlineLevel="2" x14ac:dyDescent="0.25">
      <c r="A1299" s="3" t="str">
        <f>HYPERLINK("http://mystore1.ru/price_items/search?utf8=%E2%9C%93&amp;oem=2727LGAH5RDKW","2727LGAH5RDKW")</f>
        <v>2727LGAH5RDKW</v>
      </c>
      <c r="B1299" s="1" t="s">
        <v>2531</v>
      </c>
      <c r="C1299" s="9" t="s">
        <v>1703</v>
      </c>
      <c r="D1299" s="14" t="s">
        <v>2532</v>
      </c>
      <c r="E1299" s="9" t="s">
        <v>11</v>
      </c>
    </row>
    <row r="1300" spans="1:5" ht="15" customHeight="1" outlineLevel="2" x14ac:dyDescent="0.25">
      <c r="A1300" s="3" t="str">
        <f>HYPERLINK("http://mystore1.ru/price_items/search?utf8=%E2%9C%93&amp;oem=2727LGSE5RD","2727LGSE5RD")</f>
        <v>2727LGSE5RD</v>
      </c>
      <c r="B1300" s="1" t="s">
        <v>2533</v>
      </c>
      <c r="C1300" s="9" t="s">
        <v>1359</v>
      </c>
      <c r="D1300" s="14" t="s">
        <v>2534</v>
      </c>
      <c r="E1300" s="9" t="s">
        <v>11</v>
      </c>
    </row>
    <row r="1301" spans="1:5" ht="15" customHeight="1" outlineLevel="2" x14ac:dyDescent="0.25">
      <c r="A1301" s="3" t="str">
        <f>HYPERLINK("http://mystore1.ru/price_items/search?utf8=%E2%9C%93&amp;oem=2727LGSE5RQZ","2727LGSE5RQZ")</f>
        <v>2727LGSE5RQZ</v>
      </c>
      <c r="B1301" s="1" t="s">
        <v>2535</v>
      </c>
      <c r="C1301" s="9" t="s">
        <v>1703</v>
      </c>
      <c r="D1301" s="14" t="s">
        <v>2536</v>
      </c>
      <c r="E1301" s="9" t="s">
        <v>11</v>
      </c>
    </row>
    <row r="1302" spans="1:5" ht="15" customHeight="1" outlineLevel="2" x14ac:dyDescent="0.25">
      <c r="A1302" s="3" t="str">
        <f>HYPERLINK("http://mystore1.ru/price_items/search?utf8=%E2%9C%93&amp;oem=2727LGSH5FD","2727LGSH5FD")</f>
        <v>2727LGSH5FD</v>
      </c>
      <c r="B1302" s="1" t="s">
        <v>2537</v>
      </c>
      <c r="C1302" s="9" t="s">
        <v>1703</v>
      </c>
      <c r="D1302" s="14" t="s">
        <v>2538</v>
      </c>
      <c r="E1302" s="9" t="s">
        <v>11</v>
      </c>
    </row>
    <row r="1303" spans="1:5" ht="15" customHeight="1" outlineLevel="2" x14ac:dyDescent="0.25">
      <c r="A1303" s="3" t="str">
        <f>HYPERLINK("http://mystore1.ru/price_items/search?utf8=%E2%9C%93&amp;oem=2727LGSH5RD","2727LGSH5RD")</f>
        <v>2727LGSH5RD</v>
      </c>
      <c r="B1303" s="1" t="s">
        <v>2539</v>
      </c>
      <c r="C1303" s="9" t="s">
        <v>1703</v>
      </c>
      <c r="D1303" s="14" t="s">
        <v>2540</v>
      </c>
      <c r="E1303" s="9" t="s">
        <v>11</v>
      </c>
    </row>
    <row r="1304" spans="1:5" ht="15" customHeight="1" outlineLevel="2" x14ac:dyDescent="0.25">
      <c r="A1304" s="3" t="str">
        <f>HYPERLINK("http://mystore1.ru/price_items/search?utf8=%E2%9C%93&amp;oem=2727RGAH5FDKW","2727RGAH5FDKW")</f>
        <v>2727RGAH5FDKW</v>
      </c>
      <c r="B1304" s="1" t="s">
        <v>2541</v>
      </c>
      <c r="C1304" s="9" t="s">
        <v>1703</v>
      </c>
      <c r="D1304" s="14" t="s">
        <v>2542</v>
      </c>
      <c r="E1304" s="9" t="s">
        <v>11</v>
      </c>
    </row>
    <row r="1305" spans="1:5" ht="15" customHeight="1" outlineLevel="2" x14ac:dyDescent="0.25">
      <c r="A1305" s="3" t="str">
        <f>HYPERLINK("http://mystore1.ru/price_items/search?utf8=%E2%9C%93&amp;oem=2727RGAH5RDKW","2727RGAH5RDKW")</f>
        <v>2727RGAH5RDKW</v>
      </c>
      <c r="B1305" s="1" t="s">
        <v>2543</v>
      </c>
      <c r="C1305" s="9" t="s">
        <v>1703</v>
      </c>
      <c r="D1305" s="14" t="s">
        <v>2544</v>
      </c>
      <c r="E1305" s="9" t="s">
        <v>11</v>
      </c>
    </row>
    <row r="1306" spans="1:5" ht="15" customHeight="1" outlineLevel="2" x14ac:dyDescent="0.25">
      <c r="A1306" s="3" t="str">
        <f>HYPERLINK("http://mystore1.ru/price_items/search?utf8=%E2%9C%93&amp;oem=2727RGSE5RD","2727RGSE5RD")</f>
        <v>2727RGSE5RD</v>
      </c>
      <c r="B1306" s="1" t="s">
        <v>2545</v>
      </c>
      <c r="C1306" s="9" t="s">
        <v>1359</v>
      </c>
      <c r="D1306" s="14" t="s">
        <v>2546</v>
      </c>
      <c r="E1306" s="9" t="s">
        <v>11</v>
      </c>
    </row>
    <row r="1307" spans="1:5" ht="15" customHeight="1" outlineLevel="2" x14ac:dyDescent="0.25">
      <c r="A1307" s="3" t="str">
        <f>HYPERLINK("http://mystore1.ru/price_items/search?utf8=%E2%9C%93&amp;oem=2727RGSE5RQAZ","2727RGSE5RQAZ")</f>
        <v>2727RGSE5RQAZ</v>
      </c>
      <c r="B1307" s="1" t="s">
        <v>2547</v>
      </c>
      <c r="C1307" s="9" t="s">
        <v>1703</v>
      </c>
      <c r="D1307" s="14" t="s">
        <v>2548</v>
      </c>
      <c r="E1307" s="9" t="s">
        <v>11</v>
      </c>
    </row>
    <row r="1308" spans="1:5" ht="15" customHeight="1" outlineLevel="2" x14ac:dyDescent="0.25">
      <c r="A1308" s="3" t="str">
        <f>HYPERLINK("http://mystore1.ru/price_items/search?utf8=%E2%9C%93&amp;oem=2727RGSE5RQZ","2727RGSE5RQZ")</f>
        <v>2727RGSE5RQZ</v>
      </c>
      <c r="B1308" s="1" t="s">
        <v>2549</v>
      </c>
      <c r="C1308" s="9" t="s">
        <v>1703</v>
      </c>
      <c r="D1308" s="14" t="s">
        <v>2550</v>
      </c>
      <c r="E1308" s="9" t="s">
        <v>11</v>
      </c>
    </row>
    <row r="1309" spans="1:5" ht="15" customHeight="1" outlineLevel="2" x14ac:dyDescent="0.25">
      <c r="A1309" s="3" t="str">
        <f>HYPERLINK("http://mystore1.ru/price_items/search?utf8=%E2%9C%93&amp;oem=2727RGSH5FD","2727RGSH5FD")</f>
        <v>2727RGSH5FD</v>
      </c>
      <c r="B1309" s="1" t="s">
        <v>2551</v>
      </c>
      <c r="C1309" s="9" t="s">
        <v>1703</v>
      </c>
      <c r="D1309" s="14" t="s">
        <v>2552</v>
      </c>
      <c r="E1309" s="9" t="s">
        <v>11</v>
      </c>
    </row>
    <row r="1310" spans="1:5" ht="15" customHeight="1" outlineLevel="2" x14ac:dyDescent="0.25">
      <c r="A1310" s="3" t="str">
        <f>HYPERLINK("http://mystore1.ru/price_items/search?utf8=%E2%9C%93&amp;oem=2727RGSH5RD","2727RGSH5RD")</f>
        <v>2727RGSH5RD</v>
      </c>
      <c r="B1310" s="1" t="s">
        <v>2553</v>
      </c>
      <c r="C1310" s="9" t="s">
        <v>1703</v>
      </c>
      <c r="D1310" s="14" t="s">
        <v>2554</v>
      </c>
      <c r="E1310" s="9" t="s">
        <v>11</v>
      </c>
    </row>
    <row r="1311" spans="1:5" outlineLevel="1" x14ac:dyDescent="0.25">
      <c r="A1311" s="2"/>
      <c r="B1311" s="6" t="s">
        <v>2555</v>
      </c>
      <c r="C1311" s="8"/>
      <c r="D1311" s="8"/>
      <c r="E1311" s="8"/>
    </row>
    <row r="1312" spans="1:5" ht="15" customHeight="1" outlineLevel="2" x14ac:dyDescent="0.25">
      <c r="A1312" s="3" t="str">
        <f>HYPERLINK("http://mystore1.ru/price_items/search?utf8=%E2%9C%93&amp;oem=2740AGAMVZ1B","2740AGAMVZ1B")</f>
        <v>2740AGAMVZ1B</v>
      </c>
      <c r="B1312" s="1" t="s">
        <v>2556</v>
      </c>
      <c r="C1312" s="9" t="s">
        <v>449</v>
      </c>
      <c r="D1312" s="14" t="s">
        <v>2557</v>
      </c>
      <c r="E1312" s="9" t="s">
        <v>8</v>
      </c>
    </row>
    <row r="1313" spans="1:5" ht="15" customHeight="1" outlineLevel="2" x14ac:dyDescent="0.25">
      <c r="A1313" s="3" t="str">
        <f>HYPERLINK("http://mystore1.ru/price_items/search?utf8=%E2%9C%93&amp;oem=2740AGAVZ","2740AGAVZ")</f>
        <v>2740AGAVZ</v>
      </c>
      <c r="B1313" s="1" t="s">
        <v>2558</v>
      </c>
      <c r="C1313" s="9" t="s">
        <v>449</v>
      </c>
      <c r="D1313" s="14" t="s">
        <v>2559</v>
      </c>
      <c r="E1313" s="9" t="s">
        <v>8</v>
      </c>
    </row>
    <row r="1314" spans="1:5" ht="15" customHeight="1" outlineLevel="2" x14ac:dyDescent="0.25">
      <c r="A1314" s="3" t="str">
        <f>HYPERLINK("http://mystore1.ru/price_items/search?utf8=%E2%9C%93&amp;oem=2740BGPEW","2740BGPEW")</f>
        <v>2740BGPEW</v>
      </c>
      <c r="B1314" s="1" t="s">
        <v>2560</v>
      </c>
      <c r="C1314" s="9" t="s">
        <v>449</v>
      </c>
      <c r="D1314" s="14" t="s">
        <v>2561</v>
      </c>
      <c r="E1314" s="9" t="s">
        <v>30</v>
      </c>
    </row>
    <row r="1315" spans="1:5" ht="15" customHeight="1" outlineLevel="2" x14ac:dyDescent="0.25">
      <c r="A1315" s="3" t="str">
        <f>HYPERLINK("http://mystore1.ru/price_items/search?utf8=%E2%9C%93&amp;oem=2740BGSEW","2740BGSEW")</f>
        <v>2740BGSEW</v>
      </c>
      <c r="B1315" s="1" t="s">
        <v>2562</v>
      </c>
      <c r="C1315" s="9" t="s">
        <v>449</v>
      </c>
      <c r="D1315" s="14" t="s">
        <v>2563</v>
      </c>
      <c r="E1315" s="9" t="s">
        <v>30</v>
      </c>
    </row>
    <row r="1316" spans="1:5" ht="15" customHeight="1" outlineLevel="2" x14ac:dyDescent="0.25">
      <c r="A1316" s="3" t="str">
        <f>HYPERLINK("http://mystore1.ru/price_items/search?utf8=%E2%9C%93&amp;oem=2740BGSSBW","2740BGSSBW")</f>
        <v>2740BGSSBW</v>
      </c>
      <c r="B1316" s="1" t="s">
        <v>2564</v>
      </c>
      <c r="C1316" s="9" t="s">
        <v>449</v>
      </c>
      <c r="D1316" s="14" t="s">
        <v>2565</v>
      </c>
      <c r="E1316" s="9" t="s">
        <v>30</v>
      </c>
    </row>
    <row r="1317" spans="1:5" ht="15" customHeight="1" outlineLevel="2" x14ac:dyDescent="0.25">
      <c r="A1317" s="3" t="str">
        <f>HYPERLINK("http://mystore1.ru/price_items/search?utf8=%E2%9C%93&amp;oem=2740LGAS4FDKW","2740LGAS4FDKW")</f>
        <v>2740LGAS4FDKW</v>
      </c>
      <c r="B1317" s="1" t="s">
        <v>2566</v>
      </c>
      <c r="C1317" s="9" t="s">
        <v>449</v>
      </c>
      <c r="D1317" s="14" t="s">
        <v>2567</v>
      </c>
      <c r="E1317" s="9" t="s">
        <v>11</v>
      </c>
    </row>
    <row r="1318" spans="1:5" ht="15" customHeight="1" outlineLevel="2" x14ac:dyDescent="0.25">
      <c r="A1318" s="3" t="str">
        <f>HYPERLINK("http://mystore1.ru/price_items/search?utf8=%E2%9C%93&amp;oem=2740LGAS4RDKW","2740LGAS4RDKW")</f>
        <v>2740LGAS4RDKW</v>
      </c>
      <c r="B1318" s="1" t="s">
        <v>2568</v>
      </c>
      <c r="C1318" s="9" t="s">
        <v>449</v>
      </c>
      <c r="D1318" s="14" t="s">
        <v>2569</v>
      </c>
      <c r="E1318" s="9" t="s">
        <v>11</v>
      </c>
    </row>
    <row r="1319" spans="1:5" ht="15" customHeight="1" outlineLevel="2" x14ac:dyDescent="0.25">
      <c r="A1319" s="3" t="str">
        <f>HYPERLINK("http://mystore1.ru/price_items/search?utf8=%E2%9C%93&amp;oem=2740LGSS4FD","2740LGSS4FD")</f>
        <v>2740LGSS4FD</v>
      </c>
      <c r="B1319" s="1" t="s">
        <v>2570</v>
      </c>
      <c r="C1319" s="9" t="s">
        <v>449</v>
      </c>
      <c r="D1319" s="14" t="s">
        <v>2571</v>
      </c>
      <c r="E1319" s="9" t="s">
        <v>11</v>
      </c>
    </row>
    <row r="1320" spans="1:5" ht="15" customHeight="1" outlineLevel="2" x14ac:dyDescent="0.25">
      <c r="A1320" s="3" t="str">
        <f>HYPERLINK("http://mystore1.ru/price_items/search?utf8=%E2%9C%93&amp;oem=2740LGSS4RD","2740LGSS4RD")</f>
        <v>2740LGSS4RD</v>
      </c>
      <c r="B1320" s="1" t="s">
        <v>2572</v>
      </c>
      <c r="C1320" s="9" t="s">
        <v>449</v>
      </c>
      <c r="D1320" s="14" t="s">
        <v>2573</v>
      </c>
      <c r="E1320" s="9" t="s">
        <v>11</v>
      </c>
    </row>
    <row r="1321" spans="1:5" ht="15" customHeight="1" outlineLevel="2" x14ac:dyDescent="0.25">
      <c r="A1321" s="3" t="str">
        <f>HYPERLINK("http://mystore1.ru/price_items/search?utf8=%E2%9C%93&amp;oem=2740RGAS4FDKW","2740RGAS4FDKW")</f>
        <v>2740RGAS4FDKW</v>
      </c>
      <c r="B1321" s="1" t="s">
        <v>2574</v>
      </c>
      <c r="C1321" s="9" t="s">
        <v>449</v>
      </c>
      <c r="D1321" s="14" t="s">
        <v>2575</v>
      </c>
      <c r="E1321" s="9" t="s">
        <v>11</v>
      </c>
    </row>
    <row r="1322" spans="1:5" ht="15" customHeight="1" outlineLevel="2" x14ac:dyDescent="0.25">
      <c r="A1322" s="3" t="str">
        <f>HYPERLINK("http://mystore1.ru/price_items/search?utf8=%E2%9C%93&amp;oem=2740RGAS4RDKW","2740RGAS4RDKW")</f>
        <v>2740RGAS4RDKW</v>
      </c>
      <c r="B1322" s="1" t="s">
        <v>2576</v>
      </c>
      <c r="C1322" s="9" t="s">
        <v>449</v>
      </c>
      <c r="D1322" s="14" t="s">
        <v>2577</v>
      </c>
      <c r="E1322" s="9" t="s">
        <v>11</v>
      </c>
    </row>
    <row r="1323" spans="1:5" ht="15" customHeight="1" outlineLevel="2" x14ac:dyDescent="0.25">
      <c r="A1323" s="3" t="str">
        <f>HYPERLINK("http://mystore1.ru/price_items/search?utf8=%E2%9C%93&amp;oem=2740RGSS4FD","2740RGSS4FD")</f>
        <v>2740RGSS4FD</v>
      </c>
      <c r="B1323" s="1" t="s">
        <v>2578</v>
      </c>
      <c r="C1323" s="9" t="s">
        <v>449</v>
      </c>
      <c r="D1323" s="14" t="s">
        <v>2579</v>
      </c>
      <c r="E1323" s="9" t="s">
        <v>11</v>
      </c>
    </row>
    <row r="1324" spans="1:5" ht="15" customHeight="1" outlineLevel="2" x14ac:dyDescent="0.25">
      <c r="A1324" s="3" t="str">
        <f>HYPERLINK("http://mystore1.ru/price_items/search?utf8=%E2%9C%93&amp;oem=2740RGSS4RD","2740RGSS4RD")</f>
        <v>2740RGSS4RD</v>
      </c>
      <c r="B1324" s="1" t="s">
        <v>2580</v>
      </c>
      <c r="C1324" s="9" t="s">
        <v>449</v>
      </c>
      <c r="D1324" s="14" t="s">
        <v>2581</v>
      </c>
      <c r="E1324" s="9" t="s">
        <v>11</v>
      </c>
    </row>
    <row r="1325" spans="1:5" outlineLevel="1" x14ac:dyDescent="0.25">
      <c r="A1325" s="2"/>
      <c r="B1325" s="6" t="s">
        <v>2582</v>
      </c>
      <c r="C1325" s="8"/>
      <c r="D1325" s="8"/>
      <c r="E1325" s="8"/>
    </row>
    <row r="1326" spans="1:5" ht="15" customHeight="1" outlineLevel="2" x14ac:dyDescent="0.25">
      <c r="A1326" s="3" t="str">
        <f>HYPERLINK("http://mystore1.ru/price_items/search?utf8=%E2%9C%93&amp;oem=2733ACCMVZ","2733ACCMVZ")</f>
        <v>2733ACCMVZ</v>
      </c>
      <c r="B1326" s="1" t="s">
        <v>2583</v>
      </c>
      <c r="C1326" s="9" t="s">
        <v>394</v>
      </c>
      <c r="D1326" s="14" t="s">
        <v>2584</v>
      </c>
      <c r="E1326" s="9" t="s">
        <v>8</v>
      </c>
    </row>
    <row r="1327" spans="1:5" ht="15" customHeight="1" outlineLevel="2" x14ac:dyDescent="0.25">
      <c r="A1327" s="3" t="str">
        <f>HYPERLINK("http://mystore1.ru/price_items/search?utf8=%E2%9C%93&amp;oem=2733BGDSABZ","2733BGDSABZ")</f>
        <v>2733BGDSABZ</v>
      </c>
      <c r="B1327" s="1" t="s">
        <v>2585</v>
      </c>
      <c r="C1327" s="9" t="s">
        <v>394</v>
      </c>
      <c r="D1327" s="14" t="s">
        <v>2586</v>
      </c>
      <c r="E1327" s="9" t="s">
        <v>30</v>
      </c>
    </row>
    <row r="1328" spans="1:5" outlineLevel="1" x14ac:dyDescent="0.25">
      <c r="A1328" s="2"/>
      <c r="B1328" s="6" t="s">
        <v>2587</v>
      </c>
      <c r="C1328" s="8"/>
      <c r="D1328" s="8"/>
      <c r="E1328" s="8"/>
    </row>
    <row r="1329" spans="1:5" ht="15" customHeight="1" outlineLevel="2" x14ac:dyDescent="0.25">
      <c r="A1329" s="3" t="str">
        <f>HYPERLINK("http://mystore1.ru/price_items/search?utf8=%E2%9C%93&amp;oem=2728ACCMVZ1T","2728ACCMVZ1T")</f>
        <v>2728ACCMVZ1T</v>
      </c>
      <c r="B1329" s="1" t="s">
        <v>2588</v>
      </c>
      <c r="C1329" s="9" t="s">
        <v>2589</v>
      </c>
      <c r="D1329" s="14" t="s">
        <v>2590</v>
      </c>
      <c r="E1329" s="9" t="s">
        <v>8</v>
      </c>
    </row>
    <row r="1330" spans="1:5" ht="15" customHeight="1" outlineLevel="2" x14ac:dyDescent="0.25">
      <c r="A1330" s="3" t="str">
        <f>HYPERLINK("http://mystore1.ru/price_items/search?utf8=%E2%9C%93&amp;oem=2728ACCMVZ6P","2728ACCMVZ6P")</f>
        <v>2728ACCMVZ6P</v>
      </c>
      <c r="B1330" s="1" t="s">
        <v>2591</v>
      </c>
      <c r="C1330" s="9" t="s">
        <v>511</v>
      </c>
      <c r="D1330" s="14" t="s">
        <v>2592</v>
      </c>
      <c r="E1330" s="9" t="s">
        <v>8</v>
      </c>
    </row>
    <row r="1331" spans="1:5" ht="15" customHeight="1" outlineLevel="2" x14ac:dyDescent="0.25">
      <c r="A1331" s="3" t="str">
        <f>HYPERLINK("http://mystore1.ru/price_items/search?utf8=%E2%9C%93&amp;oem=2728AGSVZ","2728AGSVZ")</f>
        <v>2728AGSVZ</v>
      </c>
      <c r="B1331" s="1" t="s">
        <v>2593</v>
      </c>
      <c r="C1331" s="9" t="s">
        <v>2594</v>
      </c>
      <c r="D1331" s="14" t="s">
        <v>2595</v>
      </c>
      <c r="E1331" s="9" t="s">
        <v>8</v>
      </c>
    </row>
    <row r="1332" spans="1:5" ht="15" customHeight="1" outlineLevel="2" x14ac:dyDescent="0.25">
      <c r="A1332" s="3" t="str">
        <f>HYPERLINK("http://mystore1.ru/price_items/search?utf8=%E2%9C%93&amp;oem=2728ACCVZ","2728ACCVZ")</f>
        <v>2728ACCVZ</v>
      </c>
      <c r="B1332" s="1" t="s">
        <v>2596</v>
      </c>
      <c r="C1332" s="9" t="s">
        <v>2594</v>
      </c>
      <c r="D1332" s="14" t="s">
        <v>2597</v>
      </c>
      <c r="E1332" s="9" t="s">
        <v>8</v>
      </c>
    </row>
    <row r="1333" spans="1:5" ht="15" customHeight="1" outlineLevel="2" x14ac:dyDescent="0.25">
      <c r="A1333" s="3" t="str">
        <f>HYPERLINK("http://mystore1.ru/price_items/search?utf8=%E2%9C%93&amp;oem=2728ACCMVZ","2728ACCMVZ")</f>
        <v>2728ACCMVZ</v>
      </c>
      <c r="B1333" s="1" t="s">
        <v>2598</v>
      </c>
      <c r="C1333" s="9" t="s">
        <v>2594</v>
      </c>
      <c r="D1333" s="14" t="s">
        <v>2599</v>
      </c>
      <c r="E1333" s="9" t="s">
        <v>8</v>
      </c>
    </row>
    <row r="1334" spans="1:5" ht="15" customHeight="1" outlineLevel="2" x14ac:dyDescent="0.25">
      <c r="A1334" s="3" t="str">
        <f>HYPERLINK("http://mystore1.ru/price_items/search?utf8=%E2%9C%93&amp;oem=2728LGSV5FD","2728LGSV5FD")</f>
        <v>2728LGSV5FD</v>
      </c>
      <c r="B1334" s="1" t="s">
        <v>2600</v>
      </c>
      <c r="C1334" s="9" t="s">
        <v>2594</v>
      </c>
      <c r="D1334" s="14" t="s">
        <v>2601</v>
      </c>
      <c r="E1334" s="9" t="s">
        <v>11</v>
      </c>
    </row>
    <row r="1335" spans="1:5" ht="15" customHeight="1" outlineLevel="2" x14ac:dyDescent="0.25">
      <c r="A1335" s="3" t="str">
        <f>HYPERLINK("http://mystore1.ru/price_items/search?utf8=%E2%9C%93&amp;oem=2728RGSV5FD","2728RGSV5FD")</f>
        <v>2728RGSV5FD</v>
      </c>
      <c r="B1335" s="1" t="s">
        <v>2602</v>
      </c>
      <c r="C1335" s="9" t="s">
        <v>2594</v>
      </c>
      <c r="D1335" s="14" t="s">
        <v>2603</v>
      </c>
      <c r="E1335" s="9" t="s">
        <v>11</v>
      </c>
    </row>
    <row r="1336" spans="1:5" outlineLevel="1" x14ac:dyDescent="0.25">
      <c r="A1336" s="2"/>
      <c r="B1336" s="6" t="s">
        <v>2604</v>
      </c>
      <c r="C1336" s="8"/>
      <c r="D1336" s="8"/>
      <c r="E1336" s="8"/>
    </row>
    <row r="1337" spans="1:5" ht="15" customHeight="1" outlineLevel="2" x14ac:dyDescent="0.25">
      <c r="A1337" s="3" t="str">
        <f>HYPERLINK("http://mystore1.ru/price_items/search?utf8=%E2%9C%93&amp;oem=2716ACL","2716ACL")</f>
        <v>2716ACL</v>
      </c>
      <c r="B1337" s="1" t="s">
        <v>2605</v>
      </c>
      <c r="C1337" s="9" t="s">
        <v>2606</v>
      </c>
      <c r="D1337" s="14" t="s">
        <v>2607</v>
      </c>
      <c r="E1337" s="9" t="s">
        <v>8</v>
      </c>
    </row>
    <row r="1338" spans="1:5" ht="15" customHeight="1" outlineLevel="2" x14ac:dyDescent="0.25">
      <c r="A1338" s="3" t="str">
        <f>HYPERLINK("http://mystore1.ru/price_items/search?utf8=%E2%9C%93&amp;oem=2716ABZ","2716ABZ")</f>
        <v>2716ABZ</v>
      </c>
      <c r="B1338" s="1" t="s">
        <v>2608</v>
      </c>
      <c r="C1338" s="9" t="s">
        <v>2606</v>
      </c>
      <c r="D1338" s="14" t="s">
        <v>2609</v>
      </c>
      <c r="E1338" s="9" t="s">
        <v>8</v>
      </c>
    </row>
    <row r="1339" spans="1:5" ht="15" customHeight="1" outlineLevel="2" x14ac:dyDescent="0.25">
      <c r="A1339" s="3" t="str">
        <f>HYPERLINK("http://mystore1.ru/price_items/search?utf8=%E2%9C%93&amp;oem=2716AGNGN","2716AGNGN")</f>
        <v>2716AGNGN</v>
      </c>
      <c r="B1339" s="1" t="s">
        <v>2610</v>
      </c>
      <c r="C1339" s="9" t="s">
        <v>2606</v>
      </c>
      <c r="D1339" s="14" t="s">
        <v>2611</v>
      </c>
      <c r="E1339" s="9" t="s">
        <v>8</v>
      </c>
    </row>
    <row r="1340" spans="1:5" ht="15" customHeight="1" outlineLevel="2" x14ac:dyDescent="0.25">
      <c r="A1340" s="3" t="str">
        <f>HYPERLINK("http://mystore1.ru/price_items/search?utf8=%E2%9C%93&amp;oem=2716ASRV","2716ASRV")</f>
        <v>2716ASRV</v>
      </c>
      <c r="B1340" s="1" t="s">
        <v>2612</v>
      </c>
      <c r="C1340" s="9" t="s">
        <v>25</v>
      </c>
      <c r="D1340" s="14" t="s">
        <v>2613</v>
      </c>
      <c r="E1340" s="9" t="s">
        <v>27</v>
      </c>
    </row>
    <row r="1341" spans="1:5" outlineLevel="1" x14ac:dyDescent="0.25">
      <c r="A1341" s="2"/>
      <c r="B1341" s="6" t="s">
        <v>2614</v>
      </c>
      <c r="C1341" s="8"/>
      <c r="D1341" s="8"/>
      <c r="E1341" s="8"/>
    </row>
    <row r="1342" spans="1:5" ht="15" customHeight="1" outlineLevel="2" x14ac:dyDescent="0.25">
      <c r="A1342" s="3" t="str">
        <f>HYPERLINK("http://mystore1.ru/price_items/search?utf8=%E2%9C%93&amp;oem=2738AGN","2738AGN")</f>
        <v>2738AGN</v>
      </c>
      <c r="B1342" s="1" t="s">
        <v>2615</v>
      </c>
      <c r="C1342" s="9" t="s">
        <v>511</v>
      </c>
      <c r="D1342" s="14" t="s">
        <v>2616</v>
      </c>
      <c r="E1342" s="9" t="s">
        <v>8</v>
      </c>
    </row>
    <row r="1343" spans="1:5" ht="15" customHeight="1" outlineLevel="2" x14ac:dyDescent="0.25">
      <c r="A1343" s="3" t="str">
        <f>HYPERLINK("http://mystore1.ru/price_items/search?utf8=%E2%9C%93&amp;oem=2738AGNH","2738AGNH")</f>
        <v>2738AGNH</v>
      </c>
      <c r="B1343" s="1" t="s">
        <v>2617</v>
      </c>
      <c r="C1343" s="9" t="s">
        <v>511</v>
      </c>
      <c r="D1343" s="14" t="s">
        <v>2618</v>
      </c>
      <c r="E1343" s="9" t="s">
        <v>8</v>
      </c>
    </row>
    <row r="1344" spans="1:5" ht="15" customHeight="1" outlineLevel="2" x14ac:dyDescent="0.25">
      <c r="A1344" s="3" t="str">
        <f>HYPERLINK("http://mystore1.ru/price_items/search?utf8=%E2%9C%93&amp;oem=2738LGNR5FDW","2738LGNR5FDW")</f>
        <v>2738LGNR5FDW</v>
      </c>
      <c r="B1344" s="1" t="s">
        <v>2619</v>
      </c>
      <c r="C1344" s="9" t="s">
        <v>511</v>
      </c>
      <c r="D1344" s="14" t="s">
        <v>2620</v>
      </c>
      <c r="E1344" s="9" t="s">
        <v>11</v>
      </c>
    </row>
    <row r="1345" spans="1:5" ht="15" customHeight="1" outlineLevel="2" x14ac:dyDescent="0.25">
      <c r="A1345" s="3" t="str">
        <f>HYPERLINK("http://mystore1.ru/price_items/search?utf8=%E2%9C%93&amp;oem=2738LGNR5RDW","2738LGNR5RDW")</f>
        <v>2738LGNR5RDW</v>
      </c>
      <c r="B1345" s="1" t="s">
        <v>2621</v>
      </c>
      <c r="C1345" s="9" t="s">
        <v>511</v>
      </c>
      <c r="D1345" s="14" t="s">
        <v>2622</v>
      </c>
      <c r="E1345" s="9" t="s">
        <v>11</v>
      </c>
    </row>
    <row r="1346" spans="1:5" ht="15" customHeight="1" outlineLevel="2" x14ac:dyDescent="0.25">
      <c r="A1346" s="3" t="str">
        <f>HYPERLINK("http://mystore1.ru/price_items/search?utf8=%E2%9C%93&amp;oem=2738RGNR5FDW","2738RGNR5FDW")</f>
        <v>2738RGNR5FDW</v>
      </c>
      <c r="B1346" s="1" t="s">
        <v>2623</v>
      </c>
      <c r="C1346" s="9" t="s">
        <v>511</v>
      </c>
      <c r="D1346" s="14" t="s">
        <v>2624</v>
      </c>
      <c r="E1346" s="9" t="s">
        <v>11</v>
      </c>
    </row>
    <row r="1347" spans="1:5" ht="15" customHeight="1" outlineLevel="2" x14ac:dyDescent="0.25">
      <c r="A1347" s="3" t="str">
        <f>HYPERLINK("http://mystore1.ru/price_items/search?utf8=%E2%9C%93&amp;oem=2738RGNR5RDW","2738RGNR5RDW")</f>
        <v>2738RGNR5RDW</v>
      </c>
      <c r="B1347" s="1" t="s">
        <v>2625</v>
      </c>
      <c r="C1347" s="9" t="s">
        <v>511</v>
      </c>
      <c r="D1347" s="14" t="s">
        <v>2626</v>
      </c>
      <c r="E1347" s="9" t="s">
        <v>11</v>
      </c>
    </row>
    <row r="1348" spans="1:5" outlineLevel="1" x14ac:dyDescent="0.25">
      <c r="A1348" s="2"/>
      <c r="B1348" s="6" t="s">
        <v>2627</v>
      </c>
      <c r="C1348" s="8"/>
      <c r="D1348" s="8"/>
      <c r="E1348" s="8"/>
    </row>
    <row r="1349" spans="1:5" ht="15" customHeight="1" outlineLevel="2" x14ac:dyDescent="0.25">
      <c r="A1349" s="3" t="str">
        <f>HYPERLINK("http://mystore1.ru/price_items/search?utf8=%E2%9C%93&amp;oem=2707ACL","2707ACL")</f>
        <v>2707ACL</v>
      </c>
      <c r="B1349" s="1" t="s">
        <v>2628</v>
      </c>
      <c r="C1349" s="9" t="s">
        <v>2629</v>
      </c>
      <c r="D1349" s="14" t="s">
        <v>2630</v>
      </c>
      <c r="E1349" s="9" t="s">
        <v>8</v>
      </c>
    </row>
    <row r="1350" spans="1:5" outlineLevel="1" x14ac:dyDescent="0.25">
      <c r="A1350" s="2"/>
      <c r="B1350" s="6" t="s">
        <v>2631</v>
      </c>
      <c r="C1350" s="8"/>
      <c r="D1350" s="8"/>
      <c r="E1350" s="8"/>
    </row>
    <row r="1351" spans="1:5" ht="15" customHeight="1" outlineLevel="2" x14ac:dyDescent="0.25">
      <c r="A1351" s="3" t="str">
        <f>HYPERLINK("http://mystore1.ru/price_items/search?utf8=%E2%9C%93&amp;oem=2745AGAMVZ1B","2745AGAMVZ1B")</f>
        <v>2745AGAMVZ1B</v>
      </c>
      <c r="B1351" s="1" t="s">
        <v>2632</v>
      </c>
      <c r="C1351" s="9" t="s">
        <v>601</v>
      </c>
      <c r="D1351" s="14" t="s">
        <v>2633</v>
      </c>
      <c r="E1351" s="9" t="s">
        <v>8</v>
      </c>
    </row>
    <row r="1352" spans="1:5" ht="15" customHeight="1" outlineLevel="2" x14ac:dyDescent="0.25">
      <c r="A1352" s="3" t="str">
        <f>HYPERLINK("http://mystore1.ru/price_items/search?utf8=%E2%9C%93&amp;oem=2745AGSVZ","2745AGSVZ")</f>
        <v>2745AGSVZ</v>
      </c>
      <c r="B1352" s="1" t="s">
        <v>2634</v>
      </c>
      <c r="C1352" s="9" t="s">
        <v>601</v>
      </c>
      <c r="D1352" s="14" t="s">
        <v>2635</v>
      </c>
      <c r="E1352" s="9" t="s">
        <v>8</v>
      </c>
    </row>
    <row r="1353" spans="1:5" ht="15" customHeight="1" outlineLevel="2" x14ac:dyDescent="0.25">
      <c r="A1353" s="3" t="str">
        <f>HYPERLINK("http://mystore1.ru/price_items/search?utf8=%E2%9C%93&amp;oem=2745BGSH","2745BGSH")</f>
        <v>2745BGSH</v>
      </c>
      <c r="B1353" s="1" t="s">
        <v>2636</v>
      </c>
      <c r="C1353" s="9" t="s">
        <v>601</v>
      </c>
      <c r="D1353" s="14" t="s">
        <v>2637</v>
      </c>
      <c r="E1353" s="9" t="s">
        <v>30</v>
      </c>
    </row>
    <row r="1354" spans="1:5" outlineLevel="1" x14ac:dyDescent="0.25">
      <c r="A1354" s="2"/>
      <c r="B1354" s="6" t="s">
        <v>2638</v>
      </c>
      <c r="C1354" s="8"/>
      <c r="D1354" s="8"/>
      <c r="E1354" s="8"/>
    </row>
    <row r="1355" spans="1:5" ht="15" customHeight="1" outlineLevel="2" x14ac:dyDescent="0.25">
      <c r="A1355" s="3" t="str">
        <f>HYPERLINK("http://mystore1.ru/price_items/search?utf8=%E2%9C%93&amp;oem=2748AGAMVW1B","2748AGAMVW1B")</f>
        <v>2748AGAMVW1B</v>
      </c>
      <c r="B1355" s="1" t="s">
        <v>2639</v>
      </c>
      <c r="C1355" s="9" t="s">
        <v>1738</v>
      </c>
      <c r="D1355" s="14" t="s">
        <v>2640</v>
      </c>
      <c r="E1355" s="9" t="s">
        <v>8</v>
      </c>
    </row>
    <row r="1356" spans="1:5" ht="15" customHeight="1" outlineLevel="2" x14ac:dyDescent="0.25">
      <c r="A1356" s="3" t="str">
        <f>HYPERLINK("http://mystore1.ru/price_items/search?utf8=%E2%9C%93&amp;oem=2748AGAVW","2748AGAVW")</f>
        <v>2748AGAVW</v>
      </c>
      <c r="B1356" s="1" t="s">
        <v>2641</v>
      </c>
      <c r="C1356" s="9" t="s">
        <v>1738</v>
      </c>
      <c r="D1356" s="14" t="s">
        <v>2642</v>
      </c>
      <c r="E1356" s="9" t="s">
        <v>8</v>
      </c>
    </row>
    <row r="1357" spans="1:5" outlineLevel="1" x14ac:dyDescent="0.25">
      <c r="A1357" s="2"/>
      <c r="B1357" s="6" t="s">
        <v>2643</v>
      </c>
      <c r="C1357" s="8"/>
      <c r="D1357" s="8"/>
      <c r="E1357" s="8"/>
    </row>
    <row r="1358" spans="1:5" ht="15" customHeight="1" outlineLevel="2" x14ac:dyDescent="0.25">
      <c r="A1358" s="3" t="str">
        <f>HYPERLINK("http://mystore1.ru/price_items/search?utf8=%E2%9C%93&amp;oem=2722ACL1B","2722ACL1B")</f>
        <v>2722ACL1B</v>
      </c>
      <c r="B1358" s="1" t="s">
        <v>2644</v>
      </c>
      <c r="C1358" s="9" t="s">
        <v>727</v>
      </c>
      <c r="D1358" s="14" t="s">
        <v>2645</v>
      </c>
      <c r="E1358" s="9" t="s">
        <v>8</v>
      </c>
    </row>
    <row r="1359" spans="1:5" ht="15" customHeight="1" outlineLevel="2" x14ac:dyDescent="0.25">
      <c r="A1359" s="3" t="str">
        <f>HYPERLINK("http://mystore1.ru/price_items/search?utf8=%E2%9C%93&amp;oem=2722AGN1B","2722AGN1B")</f>
        <v>2722AGN1B</v>
      </c>
      <c r="B1359" s="1" t="s">
        <v>2646</v>
      </c>
      <c r="C1359" s="9" t="s">
        <v>727</v>
      </c>
      <c r="D1359" s="14" t="s">
        <v>2647</v>
      </c>
      <c r="E1359" s="9" t="s">
        <v>8</v>
      </c>
    </row>
    <row r="1360" spans="1:5" ht="15" customHeight="1" outlineLevel="2" x14ac:dyDescent="0.25">
      <c r="A1360" s="3" t="str">
        <f>HYPERLINK("http://mystore1.ru/price_items/search?utf8=%E2%9C%93&amp;oem=2722AGNBL1B","2722AGNBL1B")</f>
        <v>2722AGNBL1B</v>
      </c>
      <c r="B1360" s="1" t="s">
        <v>2648</v>
      </c>
      <c r="C1360" s="9" t="s">
        <v>727</v>
      </c>
      <c r="D1360" s="14" t="s">
        <v>2649</v>
      </c>
      <c r="E1360" s="9" t="s">
        <v>8</v>
      </c>
    </row>
    <row r="1361" spans="1:5" ht="15" customHeight="1" outlineLevel="2" x14ac:dyDescent="0.25">
      <c r="A1361" s="3" t="str">
        <f>HYPERLINK("http://mystore1.ru/price_items/search?utf8=%E2%9C%93&amp;oem=2722AGNGN1B","2722AGNGN1B")</f>
        <v>2722AGNGN1B</v>
      </c>
      <c r="B1361" s="1" t="s">
        <v>2650</v>
      </c>
      <c r="C1361" s="9" t="s">
        <v>727</v>
      </c>
      <c r="D1361" s="14" t="s">
        <v>2651</v>
      </c>
      <c r="E1361" s="9" t="s">
        <v>8</v>
      </c>
    </row>
    <row r="1362" spans="1:5" ht="15" customHeight="1" outlineLevel="2" x14ac:dyDescent="0.25">
      <c r="A1362" s="3" t="str">
        <f>HYPERLINK("http://mystore1.ru/price_items/search?utf8=%E2%9C%93&amp;oem=2722ASMV","2722ASMV")</f>
        <v>2722ASMV</v>
      </c>
      <c r="B1362" s="1" t="s">
        <v>2652</v>
      </c>
      <c r="C1362" s="9" t="s">
        <v>25</v>
      </c>
      <c r="D1362" s="14" t="s">
        <v>2653</v>
      </c>
      <c r="E1362" s="9" t="s">
        <v>27</v>
      </c>
    </row>
    <row r="1363" spans="1:5" ht="15" customHeight="1" outlineLevel="2" x14ac:dyDescent="0.25">
      <c r="A1363" s="3" t="str">
        <f>HYPERLINK("http://mystore1.ru/price_items/search?utf8=%E2%9C%93&amp;oem=2722BCLVLU","2722BCLVLU")</f>
        <v>2722BCLVLU</v>
      </c>
      <c r="B1363" s="1" t="s">
        <v>2654</v>
      </c>
      <c r="C1363" s="9" t="s">
        <v>2655</v>
      </c>
      <c r="D1363" s="14" t="s">
        <v>2656</v>
      </c>
      <c r="E1363" s="9" t="s">
        <v>30</v>
      </c>
    </row>
    <row r="1364" spans="1:5" ht="15" customHeight="1" outlineLevel="2" x14ac:dyDescent="0.25">
      <c r="A1364" s="3" t="str">
        <f>HYPERLINK("http://mystore1.ru/price_items/search?utf8=%E2%9C%93&amp;oem=2722BCLVR","2722BCLVR")</f>
        <v>2722BCLVR</v>
      </c>
      <c r="B1364" s="1" t="s">
        <v>2657</v>
      </c>
      <c r="C1364" s="9" t="s">
        <v>2655</v>
      </c>
      <c r="D1364" s="14" t="s">
        <v>2658</v>
      </c>
      <c r="E1364" s="9" t="s">
        <v>30</v>
      </c>
    </row>
    <row r="1365" spans="1:5" ht="15" customHeight="1" outlineLevel="2" x14ac:dyDescent="0.25">
      <c r="A1365" s="3" t="str">
        <f>HYPERLINK("http://mystore1.ru/price_items/search?utf8=%E2%9C%93&amp;oem=2722BCLVRU","2722BCLVRU")</f>
        <v>2722BCLVRU</v>
      </c>
      <c r="B1365" s="1" t="s">
        <v>2659</v>
      </c>
      <c r="C1365" s="9" t="s">
        <v>2655</v>
      </c>
      <c r="D1365" s="14" t="s">
        <v>2660</v>
      </c>
      <c r="E1365" s="9" t="s">
        <v>30</v>
      </c>
    </row>
    <row r="1366" spans="1:5" ht="15" customHeight="1" outlineLevel="2" x14ac:dyDescent="0.25">
      <c r="A1366" s="3" t="str">
        <f>HYPERLINK("http://mystore1.ru/price_items/search?utf8=%E2%9C%93&amp;oem=2722BCLVRU1J","2722BCLVRU1J")</f>
        <v>2722BCLVRU1J</v>
      </c>
      <c r="B1366" s="1" t="s">
        <v>2661</v>
      </c>
      <c r="C1366" s="9" t="s">
        <v>2655</v>
      </c>
      <c r="D1366" s="14" t="s">
        <v>2662</v>
      </c>
      <c r="E1366" s="9" t="s">
        <v>30</v>
      </c>
    </row>
    <row r="1367" spans="1:5" ht="15" customHeight="1" outlineLevel="2" x14ac:dyDescent="0.25">
      <c r="A1367" s="3" t="str">
        <f>HYPERLINK("http://mystore1.ru/price_items/search?utf8=%E2%9C%93&amp;oem=2722BGNVR","2722BGNVR")</f>
        <v>2722BGNVR</v>
      </c>
      <c r="B1367" s="1" t="s">
        <v>2663</v>
      </c>
      <c r="C1367" s="9" t="s">
        <v>2655</v>
      </c>
      <c r="D1367" s="14" t="s">
        <v>2664</v>
      </c>
      <c r="E1367" s="9" t="s">
        <v>30</v>
      </c>
    </row>
    <row r="1368" spans="1:5" ht="15" customHeight="1" outlineLevel="2" x14ac:dyDescent="0.25">
      <c r="A1368" s="3" t="str">
        <f>HYPERLINK("http://mystore1.ru/price_items/search?utf8=%E2%9C%93&amp;oem=2722LCLV2FD","2722LCLV2FD")</f>
        <v>2722LCLV2FD</v>
      </c>
      <c r="B1368" s="1" t="s">
        <v>2665</v>
      </c>
      <c r="C1368" s="9" t="s">
        <v>2655</v>
      </c>
      <c r="D1368" s="14" t="s">
        <v>2666</v>
      </c>
      <c r="E1368" s="9" t="s">
        <v>11</v>
      </c>
    </row>
    <row r="1369" spans="1:5" ht="15" customHeight="1" outlineLevel="2" x14ac:dyDescent="0.25">
      <c r="A1369" s="3" t="str">
        <f>HYPERLINK("http://mystore1.ru/price_items/search?utf8=%E2%9C%93&amp;oem=2722LCLV2FV","2722LCLV2FV")</f>
        <v>2722LCLV2FV</v>
      </c>
      <c r="B1369" s="1" t="s">
        <v>2667</v>
      </c>
      <c r="C1369" s="9" t="s">
        <v>2655</v>
      </c>
      <c r="D1369" s="14" t="s">
        <v>2668</v>
      </c>
      <c r="E1369" s="9" t="s">
        <v>11</v>
      </c>
    </row>
    <row r="1370" spans="1:5" ht="15" customHeight="1" outlineLevel="2" x14ac:dyDescent="0.25">
      <c r="A1370" s="3" t="str">
        <f>HYPERLINK("http://mystore1.ru/price_items/search?utf8=%E2%9C%93&amp;oem=2722LCLV2RQ","2722LCLV2RQ")</f>
        <v>2722LCLV2RQ</v>
      </c>
      <c r="B1370" s="1" t="s">
        <v>2669</v>
      </c>
      <c r="C1370" s="9" t="s">
        <v>2655</v>
      </c>
      <c r="D1370" s="14" t="s">
        <v>2670</v>
      </c>
      <c r="E1370" s="9" t="s">
        <v>11</v>
      </c>
    </row>
    <row r="1371" spans="1:5" ht="15" customHeight="1" outlineLevel="2" x14ac:dyDescent="0.25">
      <c r="A1371" s="3" t="str">
        <f>HYPERLINK("http://mystore1.ru/price_items/search?utf8=%E2%9C%93&amp;oem=2722LCLV2RQ1J","2722LCLV2RQ1J")</f>
        <v>2722LCLV2RQ1J</v>
      </c>
      <c r="B1371" s="1" t="s">
        <v>2671</v>
      </c>
      <c r="C1371" s="9" t="s">
        <v>2655</v>
      </c>
      <c r="D1371" s="14" t="s">
        <v>2672</v>
      </c>
      <c r="E1371" s="9" t="s">
        <v>11</v>
      </c>
    </row>
    <row r="1372" spans="1:5" ht="15" customHeight="1" outlineLevel="2" x14ac:dyDescent="0.25">
      <c r="A1372" s="3" t="str">
        <f>HYPERLINK("http://mystore1.ru/price_items/search?utf8=%E2%9C%93&amp;oem=2722LGNV2FD","2722LGNV2FD")</f>
        <v>2722LGNV2FD</v>
      </c>
      <c r="B1372" s="1" t="s">
        <v>2673</v>
      </c>
      <c r="C1372" s="9" t="s">
        <v>2655</v>
      </c>
      <c r="D1372" s="14" t="s">
        <v>2674</v>
      </c>
      <c r="E1372" s="9" t="s">
        <v>11</v>
      </c>
    </row>
    <row r="1373" spans="1:5" ht="15" customHeight="1" outlineLevel="2" x14ac:dyDescent="0.25">
      <c r="A1373" s="3" t="str">
        <f>HYPERLINK("http://mystore1.ru/price_items/search?utf8=%E2%9C%93&amp;oem=2722RCLV2FD","2722RCLV2FD")</f>
        <v>2722RCLV2FD</v>
      </c>
      <c r="B1373" s="1" t="s">
        <v>2675</v>
      </c>
      <c r="C1373" s="9" t="s">
        <v>2655</v>
      </c>
      <c r="D1373" s="14" t="s">
        <v>2676</v>
      </c>
      <c r="E1373" s="9" t="s">
        <v>11</v>
      </c>
    </row>
    <row r="1374" spans="1:5" ht="15" customHeight="1" outlineLevel="2" x14ac:dyDescent="0.25">
      <c r="A1374" s="3" t="str">
        <f>HYPERLINK("http://mystore1.ru/price_items/search?utf8=%E2%9C%93&amp;oem=2722RGNV2FD","2722RGNV2FD")</f>
        <v>2722RGNV2FD</v>
      </c>
      <c r="B1374" s="1" t="s">
        <v>2677</v>
      </c>
      <c r="C1374" s="9" t="s">
        <v>2655</v>
      </c>
      <c r="D1374" s="14" t="s">
        <v>2678</v>
      </c>
      <c r="E1374" s="9" t="s">
        <v>11</v>
      </c>
    </row>
    <row r="1375" spans="1:5" outlineLevel="1" x14ac:dyDescent="0.25">
      <c r="A1375" s="2"/>
      <c r="B1375" s="6" t="s">
        <v>2679</v>
      </c>
      <c r="C1375" s="8"/>
      <c r="D1375" s="8"/>
      <c r="E1375" s="8"/>
    </row>
    <row r="1376" spans="1:5" ht="15" customHeight="1" outlineLevel="2" x14ac:dyDescent="0.25">
      <c r="A1376" s="3" t="str">
        <f>HYPERLINK("http://mystore1.ru/price_items/search?utf8=%E2%9C%93&amp;oem=2737ACCMVZ1B","2737ACCMVZ1B")</f>
        <v>2737ACCMVZ1B</v>
      </c>
      <c r="B1376" s="1" t="s">
        <v>2680</v>
      </c>
      <c r="C1376" s="9" t="s">
        <v>687</v>
      </c>
      <c r="D1376" s="14" t="s">
        <v>2681</v>
      </c>
      <c r="E1376" s="9" t="s">
        <v>8</v>
      </c>
    </row>
    <row r="1377" spans="1:5" ht="15" customHeight="1" outlineLevel="2" x14ac:dyDescent="0.25">
      <c r="A1377" s="3" t="str">
        <f>HYPERLINK("http://mystore1.ru/price_items/search?utf8=%E2%9C%93&amp;oem=2737ACCVZ","2737ACCVZ")</f>
        <v>2737ACCVZ</v>
      </c>
      <c r="B1377" s="1" t="s">
        <v>2682</v>
      </c>
      <c r="C1377" s="9" t="s">
        <v>687</v>
      </c>
      <c r="D1377" s="14" t="s">
        <v>2683</v>
      </c>
      <c r="E1377" s="9" t="s">
        <v>8</v>
      </c>
    </row>
    <row r="1378" spans="1:5" ht="15" customHeight="1" outlineLevel="2" x14ac:dyDescent="0.25">
      <c r="A1378" s="3" t="str">
        <f>HYPERLINK("http://mystore1.ru/price_items/search?utf8=%E2%9C%93&amp;oem=2737AGSMVZ1B","2737AGSMVZ1B")</f>
        <v>2737AGSMVZ1B</v>
      </c>
      <c r="B1378" s="1" t="s">
        <v>2684</v>
      </c>
      <c r="C1378" s="9" t="s">
        <v>687</v>
      </c>
      <c r="D1378" s="14" t="s">
        <v>2685</v>
      </c>
      <c r="E1378" s="9" t="s">
        <v>8</v>
      </c>
    </row>
    <row r="1379" spans="1:5" ht="15" customHeight="1" outlineLevel="2" x14ac:dyDescent="0.25">
      <c r="A1379" s="3" t="str">
        <f>HYPERLINK("http://mystore1.ru/price_items/search?utf8=%E2%9C%93&amp;oem=2737AGSVZ","2737AGSVZ")</f>
        <v>2737AGSVZ</v>
      </c>
      <c r="B1379" s="1" t="s">
        <v>2686</v>
      </c>
      <c r="C1379" s="9" t="s">
        <v>687</v>
      </c>
      <c r="D1379" s="14" t="s">
        <v>2687</v>
      </c>
      <c r="E1379" s="9" t="s">
        <v>8</v>
      </c>
    </row>
    <row r="1380" spans="1:5" ht="15" customHeight="1" outlineLevel="2" x14ac:dyDescent="0.25">
      <c r="A1380" s="3" t="str">
        <f>HYPERLINK("http://mystore1.ru/price_items/search?utf8=%E2%9C%93&amp;oem=2737LGSV3FV","2737LGSV3FV")</f>
        <v>2737LGSV3FV</v>
      </c>
      <c r="B1380" s="1" t="s">
        <v>2688</v>
      </c>
      <c r="C1380" s="9" t="s">
        <v>687</v>
      </c>
      <c r="D1380" s="14" t="s">
        <v>2689</v>
      </c>
      <c r="E1380" s="9" t="s">
        <v>11</v>
      </c>
    </row>
    <row r="1381" spans="1:5" outlineLevel="1" x14ac:dyDescent="0.25">
      <c r="A1381" s="2"/>
      <c r="B1381" s="6" t="s">
        <v>2690</v>
      </c>
      <c r="C1381" s="47"/>
      <c r="D1381" s="8"/>
      <c r="E1381" s="8"/>
    </row>
    <row r="1382" spans="1:5" ht="15" customHeight="1" outlineLevel="2" x14ac:dyDescent="0.25">
      <c r="A1382" s="3" t="str">
        <f>HYPERLINK("http://mystore1.ru/price_items/search?utf8=%E2%9C%93&amp;oem=2721ACL","2721ACL")</f>
        <v>2721ACL</v>
      </c>
      <c r="B1382" s="1" t="s">
        <v>2691</v>
      </c>
      <c r="C1382" s="9" t="s">
        <v>2692</v>
      </c>
      <c r="D1382" s="14" t="s">
        <v>2693</v>
      </c>
      <c r="E1382" s="9" t="s">
        <v>8</v>
      </c>
    </row>
    <row r="1383" spans="1:5" ht="15" customHeight="1" outlineLevel="2" x14ac:dyDescent="0.25">
      <c r="A1383" s="3" t="str">
        <f>HYPERLINK("http://mystore1.ru/price_items/search?utf8=%E2%9C%93&amp;oem=2721AGS","2721AGS")</f>
        <v>2721AGS</v>
      </c>
      <c r="B1383" s="1" t="s">
        <v>2694</v>
      </c>
      <c r="C1383" s="9" t="s">
        <v>2692</v>
      </c>
      <c r="D1383" s="14" t="s">
        <v>2695</v>
      </c>
      <c r="E1383" s="9" t="s">
        <v>8</v>
      </c>
    </row>
    <row r="1384" spans="1:5" ht="15" customHeight="1" outlineLevel="2" x14ac:dyDescent="0.25">
      <c r="A1384" s="3" t="str">
        <f>HYPERLINK("http://mystore1.ru/price_items/search?utf8=%E2%9C%93&amp;oem=2721ASMV","2721ASMV")</f>
        <v>2721ASMV</v>
      </c>
      <c r="B1384" s="1" t="s">
        <v>2696</v>
      </c>
      <c r="C1384" s="9" t="s">
        <v>25</v>
      </c>
      <c r="D1384" s="14" t="s">
        <v>2697</v>
      </c>
      <c r="E1384" s="9" t="s">
        <v>27</v>
      </c>
    </row>
    <row r="1385" spans="1:5" ht="15" customHeight="1" outlineLevel="2" x14ac:dyDescent="0.25">
      <c r="A1385" s="3" t="str">
        <f>HYPERLINK("http://mystore1.ru/price_items/search?utf8=%E2%9C%93&amp;oem=2721BCLVL","2721BCLVL")</f>
        <v>2721BCLVL</v>
      </c>
      <c r="B1385" s="1" t="s">
        <v>2698</v>
      </c>
      <c r="C1385" s="9" t="s">
        <v>2699</v>
      </c>
      <c r="D1385" s="14" t="s">
        <v>2700</v>
      </c>
      <c r="E1385" s="9" t="s">
        <v>30</v>
      </c>
    </row>
    <row r="1386" spans="1:5" ht="15" customHeight="1" outlineLevel="2" x14ac:dyDescent="0.25">
      <c r="A1386" s="3" t="str">
        <f>HYPERLINK("http://mystore1.ru/price_items/search?utf8=%E2%9C%93&amp;oem=2721BCLVLU","2721BCLVLU")</f>
        <v>2721BCLVLU</v>
      </c>
      <c r="B1386" s="1" t="s">
        <v>2701</v>
      </c>
      <c r="C1386" s="9" t="s">
        <v>2699</v>
      </c>
      <c r="D1386" s="14" t="s">
        <v>2702</v>
      </c>
      <c r="E1386" s="9" t="s">
        <v>30</v>
      </c>
    </row>
    <row r="1387" spans="1:5" ht="15" customHeight="1" outlineLevel="2" x14ac:dyDescent="0.25">
      <c r="A1387" s="3" t="str">
        <f>HYPERLINK("http://mystore1.ru/price_items/search?utf8=%E2%9C%93&amp;oem=2721BCLVR","2721BCLVR")</f>
        <v>2721BCLVR</v>
      </c>
      <c r="B1387" s="1" t="s">
        <v>2703</v>
      </c>
      <c r="C1387" s="9" t="s">
        <v>2699</v>
      </c>
      <c r="D1387" s="14" t="s">
        <v>2704</v>
      </c>
      <c r="E1387" s="9" t="s">
        <v>30</v>
      </c>
    </row>
    <row r="1388" spans="1:5" ht="15" customHeight="1" outlineLevel="2" x14ac:dyDescent="0.25">
      <c r="A1388" s="3" t="str">
        <f>HYPERLINK("http://mystore1.ru/price_items/search?utf8=%E2%9C%93&amp;oem=2721BCLVRU","2721BCLVRU")</f>
        <v>2721BCLVRU</v>
      </c>
      <c r="B1388" s="1" t="s">
        <v>2705</v>
      </c>
      <c r="C1388" s="9" t="s">
        <v>2699</v>
      </c>
      <c r="D1388" s="14" t="s">
        <v>2706</v>
      </c>
      <c r="E1388" s="9" t="s">
        <v>30</v>
      </c>
    </row>
    <row r="1389" spans="1:5" ht="15" customHeight="1" outlineLevel="2" x14ac:dyDescent="0.25">
      <c r="A1389" s="3" t="str">
        <f>HYPERLINK("http://mystore1.ru/price_items/search?utf8=%E2%9C%93&amp;oem=2721BGSVB","2721BGSVB")</f>
        <v>2721BGSVB</v>
      </c>
      <c r="B1389" s="1" t="s">
        <v>2707</v>
      </c>
      <c r="C1389" s="9" t="s">
        <v>2692</v>
      </c>
      <c r="D1389" s="14" t="s">
        <v>2708</v>
      </c>
      <c r="E1389" s="9" t="s">
        <v>30</v>
      </c>
    </row>
    <row r="1390" spans="1:5" ht="15" customHeight="1" outlineLevel="2" x14ac:dyDescent="0.25">
      <c r="A1390" s="3" t="str">
        <f>HYPERLINK("http://mystore1.ru/price_items/search?utf8=%E2%9C%93&amp;oem=2721BGSVL","2721BGSVL")</f>
        <v>2721BGSVL</v>
      </c>
      <c r="B1390" s="1" t="s">
        <v>2709</v>
      </c>
      <c r="C1390" s="9" t="s">
        <v>2699</v>
      </c>
      <c r="D1390" s="14" t="s">
        <v>2710</v>
      </c>
      <c r="E1390" s="9" t="s">
        <v>30</v>
      </c>
    </row>
    <row r="1391" spans="1:5" ht="15" customHeight="1" outlineLevel="2" x14ac:dyDescent="0.25">
      <c r="A1391" s="3" t="str">
        <f>HYPERLINK("http://mystore1.ru/price_items/search?utf8=%E2%9C%93&amp;oem=2721BGSVLU","2721BGSVLU")</f>
        <v>2721BGSVLU</v>
      </c>
      <c r="B1391" s="1" t="s">
        <v>2711</v>
      </c>
      <c r="C1391" s="9" t="s">
        <v>2699</v>
      </c>
      <c r="D1391" s="14" t="s">
        <v>2712</v>
      </c>
      <c r="E1391" s="9" t="s">
        <v>30</v>
      </c>
    </row>
    <row r="1392" spans="1:5" ht="15" customHeight="1" outlineLevel="2" x14ac:dyDescent="0.25">
      <c r="A1392" s="3" t="str">
        <f>HYPERLINK("http://mystore1.ru/price_items/search?utf8=%E2%9C%93&amp;oem=2721BGSVR","2721BGSVR")</f>
        <v>2721BGSVR</v>
      </c>
      <c r="B1392" s="1" t="s">
        <v>2713</v>
      </c>
      <c r="C1392" s="9" t="s">
        <v>2699</v>
      </c>
      <c r="D1392" s="14" t="s">
        <v>2714</v>
      </c>
      <c r="E1392" s="9" t="s">
        <v>30</v>
      </c>
    </row>
    <row r="1393" spans="1:5" ht="15" customHeight="1" outlineLevel="2" x14ac:dyDescent="0.25">
      <c r="A1393" s="3" t="str">
        <f>HYPERLINK("http://mystore1.ru/price_items/search?utf8=%E2%9C%93&amp;oem=2721BGSVRU","2721BGSVRU")</f>
        <v>2721BGSVRU</v>
      </c>
      <c r="B1393" s="1" t="s">
        <v>2715</v>
      </c>
      <c r="C1393" s="9" t="s">
        <v>2699</v>
      </c>
      <c r="D1393" s="14" t="s">
        <v>2716</v>
      </c>
      <c r="E1393" s="9" t="s">
        <v>30</v>
      </c>
    </row>
    <row r="1394" spans="1:5" ht="15" customHeight="1" outlineLevel="2" x14ac:dyDescent="0.25">
      <c r="A1394" s="3" t="str">
        <f>HYPERLINK("http://mystore1.ru/price_items/search?utf8=%E2%9C%93&amp;oem=2721LCLV5FD","2721LCLV5FD")</f>
        <v>2721LCLV5FD</v>
      </c>
      <c r="B1394" s="1" t="s">
        <v>2717</v>
      </c>
      <c r="C1394" s="9" t="s">
        <v>2692</v>
      </c>
      <c r="D1394" s="14" t="s">
        <v>2718</v>
      </c>
      <c r="E1394" s="9" t="s">
        <v>11</v>
      </c>
    </row>
    <row r="1395" spans="1:5" ht="15" customHeight="1" outlineLevel="2" x14ac:dyDescent="0.25">
      <c r="A1395" s="3" t="str">
        <f>HYPERLINK("http://mystore1.ru/price_items/search?utf8=%E2%9C%93&amp;oem=2721LCLV5FQ","2721LCLV5FQ")</f>
        <v>2721LCLV5FQ</v>
      </c>
      <c r="B1395" s="1" t="s">
        <v>2719</v>
      </c>
      <c r="C1395" s="9" t="s">
        <v>2692</v>
      </c>
      <c r="D1395" s="14" t="s">
        <v>2720</v>
      </c>
      <c r="E1395" s="9" t="s">
        <v>11</v>
      </c>
    </row>
    <row r="1396" spans="1:5" ht="15" customHeight="1" outlineLevel="2" x14ac:dyDescent="0.25">
      <c r="A1396" s="3" t="str">
        <f>HYPERLINK("http://mystore1.ru/price_items/search?utf8=%E2%9C%93&amp;oem=2721LGSV5FQ","2721LGSV5FQ")</f>
        <v>2721LGSV5FQ</v>
      </c>
      <c r="B1396" s="1" t="s">
        <v>2721</v>
      </c>
      <c r="C1396" s="9" t="s">
        <v>2692</v>
      </c>
      <c r="D1396" s="14" t="s">
        <v>2722</v>
      </c>
      <c r="E1396" s="9" t="s">
        <v>11</v>
      </c>
    </row>
    <row r="1397" spans="1:5" ht="15" customHeight="1" outlineLevel="2" x14ac:dyDescent="0.25">
      <c r="A1397" s="3" t="str">
        <f>HYPERLINK("http://mystore1.ru/price_items/search?utf8=%E2%9C%93&amp;oem=2721LGSV5RD","2721LGSV5RD")</f>
        <v>2721LGSV5RD</v>
      </c>
      <c r="B1397" s="1" t="s">
        <v>2723</v>
      </c>
      <c r="C1397" s="9" t="s">
        <v>2692</v>
      </c>
      <c r="D1397" s="14" t="s">
        <v>2724</v>
      </c>
      <c r="E1397" s="9" t="s">
        <v>11</v>
      </c>
    </row>
    <row r="1398" spans="1:5" ht="15" customHeight="1" outlineLevel="2" x14ac:dyDescent="0.25">
      <c r="A1398" s="3" t="str">
        <f>HYPERLINK("http://mystore1.ru/price_items/search?utf8=%E2%9C%93&amp;oem=2721LGSV5RQO","2721LGSV5RQO")</f>
        <v>2721LGSV5RQO</v>
      </c>
      <c r="B1398" s="1" t="s">
        <v>2725</v>
      </c>
      <c r="C1398" s="9" t="s">
        <v>2692</v>
      </c>
      <c r="D1398" s="14" t="s">
        <v>2726</v>
      </c>
      <c r="E1398" s="9" t="s">
        <v>11</v>
      </c>
    </row>
    <row r="1399" spans="1:5" ht="15" customHeight="1" outlineLevel="2" x14ac:dyDescent="0.25">
      <c r="A1399" s="3" t="str">
        <f>HYPERLINK("http://mystore1.ru/price_items/search?utf8=%E2%9C%93&amp;oem=2721RCLV5FD","2721RCLV5FD")</f>
        <v>2721RCLV5FD</v>
      </c>
      <c r="B1399" s="1" t="s">
        <v>2727</v>
      </c>
      <c r="C1399" s="9" t="s">
        <v>2692</v>
      </c>
      <c r="D1399" s="14" t="s">
        <v>2728</v>
      </c>
      <c r="E1399" s="9" t="s">
        <v>11</v>
      </c>
    </row>
    <row r="1400" spans="1:5" ht="15" customHeight="1" outlineLevel="2" x14ac:dyDescent="0.25">
      <c r="A1400" s="3" t="str">
        <f>HYPERLINK("http://mystore1.ru/price_items/search?utf8=%E2%9C%93&amp;oem=2721RCLV5FQ","2721RCLV5FQ")</f>
        <v>2721RCLV5FQ</v>
      </c>
      <c r="B1400" s="1" t="s">
        <v>2729</v>
      </c>
      <c r="C1400" s="9" t="s">
        <v>2692</v>
      </c>
      <c r="D1400" s="14" t="s">
        <v>2730</v>
      </c>
      <c r="E1400" s="9" t="s">
        <v>11</v>
      </c>
    </row>
    <row r="1401" spans="1:5" ht="15" customHeight="1" outlineLevel="2" x14ac:dyDescent="0.25">
      <c r="A1401" s="3" t="str">
        <f>HYPERLINK("http://mystore1.ru/price_items/search?utf8=%E2%9C%93&amp;oem=2721RGSV5FQ","2721RGSV5FQ")</f>
        <v>2721RGSV5FQ</v>
      </c>
      <c r="B1401" s="1" t="s">
        <v>2731</v>
      </c>
      <c r="C1401" s="9" t="s">
        <v>2692</v>
      </c>
      <c r="D1401" s="14" t="s">
        <v>2732</v>
      </c>
      <c r="E1401" s="9" t="s">
        <v>11</v>
      </c>
    </row>
    <row r="1402" spans="1:5" ht="15" customHeight="1" outlineLevel="2" x14ac:dyDescent="0.25">
      <c r="A1402" s="3" t="str">
        <f>HYPERLINK("http://mystore1.ru/price_items/search?utf8=%E2%9C%93&amp;oem=2721RGSV5RD","2721RGSV5RD")</f>
        <v>2721RGSV5RD</v>
      </c>
      <c r="B1402" s="1" t="s">
        <v>2733</v>
      </c>
      <c r="C1402" s="9" t="s">
        <v>2692</v>
      </c>
      <c r="D1402" s="14" t="s">
        <v>2734</v>
      </c>
      <c r="E1402" s="9" t="s">
        <v>11</v>
      </c>
    </row>
    <row r="1403" spans="1:5" ht="15" customHeight="1" outlineLevel="2" x14ac:dyDescent="0.25">
      <c r="A1403" s="3" t="str">
        <f>HYPERLINK("http://mystore1.ru/price_items/search?utf8=%E2%9C%93&amp;oem=2721RGSV5RQO","2721RGSV5RQO")</f>
        <v>2721RGSV5RQO</v>
      </c>
      <c r="B1403" s="1" t="s">
        <v>2735</v>
      </c>
      <c r="C1403" s="9" t="s">
        <v>2692</v>
      </c>
      <c r="D1403" s="14" t="s">
        <v>2736</v>
      </c>
      <c r="E1403" s="9" t="s">
        <v>11</v>
      </c>
    </row>
    <row r="1404" spans="1:5" outlineLevel="1" x14ac:dyDescent="0.25">
      <c r="A1404" s="2"/>
      <c r="B1404" s="6" t="s">
        <v>2737</v>
      </c>
      <c r="C1404" s="8"/>
      <c r="D1404" s="8"/>
      <c r="E1404" s="8"/>
    </row>
    <row r="1405" spans="1:5" ht="15" customHeight="1" outlineLevel="2" x14ac:dyDescent="0.25">
      <c r="A1405" s="3" t="str">
        <f>HYPERLINK("http://mystore1.ru/price_items/search?utf8=%E2%9C%93&amp;oem=2736AGSVZ","2736AGSVZ")</f>
        <v>2736AGSVZ</v>
      </c>
      <c r="B1405" s="1" t="s">
        <v>2738</v>
      </c>
      <c r="C1405" s="9" t="s">
        <v>687</v>
      </c>
      <c r="D1405" s="14" t="s">
        <v>2739</v>
      </c>
      <c r="E1405" s="9" t="s">
        <v>8</v>
      </c>
    </row>
    <row r="1406" spans="1:5" ht="15" customHeight="1" outlineLevel="2" x14ac:dyDescent="0.25">
      <c r="A1406" s="3" t="str">
        <f>HYPERLINK("http://mystore1.ru/price_items/search?utf8=%E2%9C%93&amp;oem=2736AGSMVZ1P","2736AGSMVZ1P")</f>
        <v>2736AGSMVZ1P</v>
      </c>
      <c r="B1406" s="1" t="s">
        <v>2740</v>
      </c>
      <c r="C1406" s="9" t="s">
        <v>687</v>
      </c>
      <c r="D1406" s="14" t="s">
        <v>2741</v>
      </c>
      <c r="E1406" s="9" t="s">
        <v>8</v>
      </c>
    </row>
    <row r="1407" spans="1:5" ht="15" customHeight="1" outlineLevel="2" x14ac:dyDescent="0.25">
      <c r="A1407" s="3" t="str">
        <f>HYPERLINK("http://mystore1.ru/price_items/search?utf8=%E2%9C%93&amp;oem=2736ACCVZ","2736ACCVZ")</f>
        <v>2736ACCVZ</v>
      </c>
      <c r="B1407" s="1" t="s">
        <v>2742</v>
      </c>
      <c r="C1407" s="9" t="s">
        <v>687</v>
      </c>
      <c r="D1407" s="14" t="s">
        <v>2743</v>
      </c>
      <c r="E1407" s="9" t="s">
        <v>8</v>
      </c>
    </row>
    <row r="1408" spans="1:5" ht="15" customHeight="1" outlineLevel="2" x14ac:dyDescent="0.25">
      <c r="A1408" s="3" t="str">
        <f>HYPERLINK("http://mystore1.ru/price_items/search?utf8=%E2%9C%93&amp;oem=2736ACCMVZ1P","2736ACCMVZ1P")</f>
        <v>2736ACCMVZ1P</v>
      </c>
      <c r="B1408" s="1" t="s">
        <v>2744</v>
      </c>
      <c r="C1408" s="9" t="s">
        <v>687</v>
      </c>
      <c r="D1408" s="14" t="s">
        <v>2745</v>
      </c>
      <c r="E1408" s="9" t="s">
        <v>8</v>
      </c>
    </row>
    <row r="1409" spans="1:5" ht="15" customHeight="1" outlineLevel="2" x14ac:dyDescent="0.25">
      <c r="A1409" s="3" t="str">
        <f>HYPERLINK("http://mystore1.ru/price_items/search?utf8=%E2%9C%93&amp;oem=2736BGSVL","2736BGSVL")</f>
        <v>2736BGSVL</v>
      </c>
      <c r="B1409" s="1" t="s">
        <v>2746</v>
      </c>
      <c r="C1409" s="9" t="s">
        <v>687</v>
      </c>
      <c r="D1409" s="14" t="s">
        <v>2747</v>
      </c>
      <c r="E1409" s="9" t="s">
        <v>30</v>
      </c>
    </row>
    <row r="1410" spans="1:5" ht="15" customHeight="1" outlineLevel="2" x14ac:dyDescent="0.25">
      <c r="A1410" s="3" t="str">
        <f>HYPERLINK("http://mystore1.ru/price_items/search?utf8=%E2%9C%93&amp;oem=2736BGSVR","2736BGSVR")</f>
        <v>2736BGSVR</v>
      </c>
      <c r="B1410" s="1" t="s">
        <v>2748</v>
      </c>
      <c r="C1410" s="9" t="s">
        <v>687</v>
      </c>
      <c r="D1410" s="14" t="s">
        <v>2749</v>
      </c>
      <c r="E1410" s="9" t="s">
        <v>30</v>
      </c>
    </row>
    <row r="1411" spans="1:5" ht="15" customHeight="1" outlineLevel="2" x14ac:dyDescent="0.25">
      <c r="A1411" s="3" t="str">
        <f>HYPERLINK("http://mystore1.ru/price_items/search?utf8=%E2%9C%93&amp;oem=2736BGSVB","2736BGSVB")</f>
        <v>2736BGSVB</v>
      </c>
      <c r="B1411" s="1" t="s">
        <v>2750</v>
      </c>
      <c r="C1411" s="9" t="s">
        <v>687</v>
      </c>
      <c r="D1411" s="14" t="s">
        <v>2751</v>
      </c>
      <c r="E1411" s="9" t="s">
        <v>30</v>
      </c>
    </row>
    <row r="1412" spans="1:5" ht="15" customHeight="1" outlineLevel="2" x14ac:dyDescent="0.25">
      <c r="A1412" s="3" t="str">
        <f>HYPERLINK("http://mystore1.ru/price_items/search?utf8=%E2%9C%93&amp;oem=2736BGDVB","2736BGDVB")</f>
        <v>2736BGDVB</v>
      </c>
      <c r="B1412" s="1" t="s">
        <v>2752</v>
      </c>
      <c r="C1412" s="9" t="s">
        <v>687</v>
      </c>
      <c r="D1412" s="14" t="s">
        <v>2753</v>
      </c>
      <c r="E1412" s="9" t="s">
        <v>30</v>
      </c>
    </row>
    <row r="1413" spans="1:5" ht="15" customHeight="1" outlineLevel="2" x14ac:dyDescent="0.25">
      <c r="A1413" s="3" t="str">
        <f>HYPERLINK("http://mystore1.ru/price_items/search?utf8=%E2%9C%93&amp;oem=2736LGSV5RQ1J","2736LGSV5RQ1J")</f>
        <v>2736LGSV5RQ1J</v>
      </c>
      <c r="B1413" s="1" t="s">
        <v>2754</v>
      </c>
      <c r="C1413" s="9" t="s">
        <v>687</v>
      </c>
      <c r="D1413" s="14" t="s">
        <v>2755</v>
      </c>
      <c r="E1413" s="9" t="s">
        <v>11</v>
      </c>
    </row>
    <row r="1414" spans="1:5" ht="15" customHeight="1" outlineLevel="2" x14ac:dyDescent="0.25">
      <c r="A1414" s="3" t="str">
        <f>HYPERLINK("http://mystore1.ru/price_items/search?utf8=%E2%9C%93&amp;oem=2736LGDV5RQ","2736LGDV5RQ")</f>
        <v>2736LGDV5RQ</v>
      </c>
      <c r="B1414" s="1" t="s">
        <v>2756</v>
      </c>
      <c r="C1414" s="9" t="s">
        <v>687</v>
      </c>
      <c r="D1414" s="14" t="s">
        <v>2757</v>
      </c>
      <c r="E1414" s="9" t="s">
        <v>11</v>
      </c>
    </row>
    <row r="1415" spans="1:5" ht="15" customHeight="1" outlineLevel="2" x14ac:dyDescent="0.25">
      <c r="A1415" s="3" t="str">
        <f>HYPERLINK("http://mystore1.ru/price_items/search?utf8=%E2%9C%93&amp;oem=2736LGDV5RQ1J","2736LGDV5RQ1J")</f>
        <v>2736LGDV5RQ1J</v>
      </c>
      <c r="B1415" s="1" t="s">
        <v>2758</v>
      </c>
      <c r="C1415" s="9" t="s">
        <v>687</v>
      </c>
      <c r="D1415" s="14" t="s">
        <v>2759</v>
      </c>
      <c r="E1415" s="9" t="s">
        <v>11</v>
      </c>
    </row>
    <row r="1416" spans="1:5" ht="15" customHeight="1" outlineLevel="2" x14ac:dyDescent="0.25">
      <c r="A1416" s="3" t="str">
        <f>HYPERLINK("http://mystore1.ru/price_items/search?utf8=%E2%9C%93&amp;oem=2736RGSV5RQ","2736RGSV5RQ")</f>
        <v>2736RGSV5RQ</v>
      </c>
      <c r="B1416" s="1" t="s">
        <v>2760</v>
      </c>
      <c r="C1416" s="9" t="s">
        <v>687</v>
      </c>
      <c r="D1416" s="14" t="s">
        <v>2761</v>
      </c>
      <c r="E1416" s="9" t="s">
        <v>11</v>
      </c>
    </row>
    <row r="1417" spans="1:5" ht="15" customHeight="1" outlineLevel="2" x14ac:dyDescent="0.25">
      <c r="A1417" s="3" t="str">
        <f>HYPERLINK("http://mystore1.ru/price_items/search?utf8=%E2%9C%93&amp;oem=2736RGSV5RQ1J","2736RGSV5RQ1J")</f>
        <v>2736RGSV5RQ1J</v>
      </c>
      <c r="B1417" s="1" t="s">
        <v>2762</v>
      </c>
      <c r="C1417" s="9" t="s">
        <v>687</v>
      </c>
      <c r="D1417" s="14" t="s">
        <v>2763</v>
      </c>
      <c r="E1417" s="9" t="s">
        <v>11</v>
      </c>
    </row>
    <row r="1418" spans="1:5" ht="15" customHeight="1" outlineLevel="2" x14ac:dyDescent="0.25">
      <c r="A1418" s="3" t="str">
        <f>HYPERLINK("http://mystore1.ru/price_items/search?utf8=%E2%9C%93&amp;oem=2736RGDV5RQ","2736RGDV5RQ")</f>
        <v>2736RGDV5RQ</v>
      </c>
      <c r="B1418" s="1" t="s">
        <v>2764</v>
      </c>
      <c r="C1418" s="9" t="s">
        <v>687</v>
      </c>
      <c r="D1418" s="14" t="s">
        <v>2765</v>
      </c>
      <c r="E1418" s="9" t="s">
        <v>11</v>
      </c>
    </row>
    <row r="1419" spans="1:5" ht="15" customHeight="1" outlineLevel="2" x14ac:dyDescent="0.25">
      <c r="A1419" s="3" t="str">
        <f>HYPERLINK("http://mystore1.ru/price_items/search?utf8=%E2%9C%93&amp;oem=2736RGDV5RQ1J","2736RGDV5RQ1J")</f>
        <v>2736RGDV5RQ1J</v>
      </c>
      <c r="B1419" s="1" t="s">
        <v>2766</v>
      </c>
      <c r="C1419" s="9" t="s">
        <v>687</v>
      </c>
      <c r="D1419" s="14" t="s">
        <v>2767</v>
      </c>
      <c r="E1419" s="9" t="s">
        <v>11</v>
      </c>
    </row>
    <row r="1420" spans="1:5" ht="15" customHeight="1" outlineLevel="2" x14ac:dyDescent="0.25">
      <c r="A1420" s="3" t="str">
        <f>HYPERLINK("http://mystore1.ru/price_items/search?utf8=%E2%9C%93&amp;oem=2736LGSV5RQ","2736LGSV5RQ")</f>
        <v>2736LGSV5RQ</v>
      </c>
      <c r="B1420" s="1" t="s">
        <v>2768</v>
      </c>
      <c r="C1420" s="9" t="s">
        <v>687</v>
      </c>
      <c r="D1420" s="14" t="s">
        <v>2769</v>
      </c>
      <c r="E1420" s="9" t="s">
        <v>11</v>
      </c>
    </row>
    <row r="1421" spans="1:5" ht="15" customHeight="1" outlineLevel="2" x14ac:dyDescent="0.25">
      <c r="A1421" s="3" t="str">
        <f>HYPERLINK("http://mystore1.ru/price_items/search?utf8=%E2%9C%93&amp;oem=2736LGPV5RD","2736LGPV5RD")</f>
        <v>2736LGPV5RD</v>
      </c>
      <c r="B1421" s="1" t="s">
        <v>2770</v>
      </c>
      <c r="C1421" s="9" t="s">
        <v>687</v>
      </c>
      <c r="D1421" s="14" t="s">
        <v>2771</v>
      </c>
      <c r="E1421" s="9" t="s">
        <v>11</v>
      </c>
    </row>
    <row r="1422" spans="1:5" ht="15" customHeight="1" outlineLevel="2" x14ac:dyDescent="0.25">
      <c r="A1422" s="3" t="str">
        <f>HYPERLINK("http://mystore1.ru/price_items/search?utf8=%E2%9C%93&amp;oem=2736LGSV5RD","2736LGSV5RD")</f>
        <v>2736LGSV5RD</v>
      </c>
      <c r="B1422" s="1" t="s">
        <v>2772</v>
      </c>
      <c r="C1422" s="9" t="s">
        <v>687</v>
      </c>
      <c r="D1422" s="14" t="s">
        <v>2773</v>
      </c>
      <c r="E1422" s="9" t="s">
        <v>11</v>
      </c>
    </row>
    <row r="1423" spans="1:5" ht="15" customHeight="1" outlineLevel="2" x14ac:dyDescent="0.25">
      <c r="A1423" s="3" t="str">
        <f>HYPERLINK("http://mystore1.ru/price_items/search?utf8=%E2%9C%93&amp;oem=2736RGPV5RD","2736RGPV5RD")</f>
        <v>2736RGPV5RD</v>
      </c>
      <c r="B1423" s="1" t="s">
        <v>2774</v>
      </c>
      <c r="C1423" s="9" t="s">
        <v>687</v>
      </c>
      <c r="D1423" s="14" t="s">
        <v>2775</v>
      </c>
      <c r="E1423" s="9" t="s">
        <v>11</v>
      </c>
    </row>
    <row r="1424" spans="1:5" ht="15" customHeight="1" outlineLevel="2" x14ac:dyDescent="0.25">
      <c r="A1424" s="3" t="str">
        <f>HYPERLINK("http://mystore1.ru/price_items/search?utf8=%E2%9C%93&amp;oem=2736RGSV5RD","2736RGSV5RD")</f>
        <v>2736RGSV5RD</v>
      </c>
      <c r="B1424" s="1" t="s">
        <v>2776</v>
      </c>
      <c r="C1424" s="9" t="s">
        <v>687</v>
      </c>
      <c r="D1424" s="14" t="s">
        <v>2777</v>
      </c>
      <c r="E1424" s="9" t="s">
        <v>11</v>
      </c>
    </row>
    <row r="1425" spans="1:5" ht="15" customHeight="1" outlineLevel="2" x14ac:dyDescent="0.25">
      <c r="A1425" s="3" t="str">
        <f>HYPERLINK("http://mystore1.ru/price_items/search?utf8=%E2%9C%93&amp;oem=2736LGSV5FD","2736LGSV5FD")</f>
        <v>2736LGSV5FD</v>
      </c>
      <c r="B1425" s="1" t="s">
        <v>2778</v>
      </c>
      <c r="C1425" s="9" t="s">
        <v>687</v>
      </c>
      <c r="D1425" s="14" t="s">
        <v>2779</v>
      </c>
      <c r="E1425" s="9" t="s">
        <v>11</v>
      </c>
    </row>
    <row r="1426" spans="1:5" ht="15" customHeight="1" outlineLevel="2" x14ac:dyDescent="0.25">
      <c r="A1426" s="3" t="str">
        <f>HYPERLINK("http://mystore1.ru/price_items/search?utf8=%E2%9C%93&amp;oem=2736RGSV5FD","2736RGSV5FD")</f>
        <v>2736RGSV5FD</v>
      </c>
      <c r="B1426" s="1" t="s">
        <v>2780</v>
      </c>
      <c r="C1426" s="9" t="s">
        <v>687</v>
      </c>
      <c r="D1426" s="14" t="s">
        <v>2781</v>
      </c>
      <c r="E1426" s="9" t="s">
        <v>11</v>
      </c>
    </row>
    <row r="1427" spans="1:5" outlineLevel="1" x14ac:dyDescent="0.25">
      <c r="A1427" s="2"/>
      <c r="B1427" s="6" t="s">
        <v>2782</v>
      </c>
      <c r="C1427" s="8"/>
      <c r="D1427" s="8"/>
      <c r="E1427" s="8"/>
    </row>
    <row r="1428" spans="1:5" ht="15" customHeight="1" outlineLevel="2" x14ac:dyDescent="0.25">
      <c r="A1428" s="3" t="str">
        <f>HYPERLINK("http://mystore1.ru/price_items/search?utf8=%E2%9C%93&amp;oem=2739AGSV","2739AGSV")</f>
        <v>2739AGSV</v>
      </c>
      <c r="B1428" s="1" t="s">
        <v>2783</v>
      </c>
      <c r="C1428" s="9" t="s">
        <v>642</v>
      </c>
      <c r="D1428" s="14" t="s">
        <v>2784</v>
      </c>
      <c r="E1428" s="9" t="s">
        <v>8</v>
      </c>
    </row>
    <row r="1429" spans="1:5" outlineLevel="1" x14ac:dyDescent="0.25">
      <c r="A1429" s="2"/>
      <c r="B1429" s="6" t="s">
        <v>2785</v>
      </c>
      <c r="C1429" s="8"/>
      <c r="D1429" s="8"/>
      <c r="E1429" s="8"/>
    </row>
    <row r="1430" spans="1:5" ht="15" customHeight="1" outlineLevel="2" x14ac:dyDescent="0.25">
      <c r="A1430" s="3" t="str">
        <f>HYPERLINK("http://mystore1.ru/price_items/search?utf8=%E2%9C%93&amp;oem=2723ACC1B","2723ACC1B")</f>
        <v>2723ACC1B</v>
      </c>
      <c r="B1430" s="1" t="s">
        <v>2786</v>
      </c>
      <c r="C1430" s="9" t="s">
        <v>586</v>
      </c>
      <c r="D1430" s="14" t="s">
        <v>2787</v>
      </c>
      <c r="E1430" s="9" t="s">
        <v>8</v>
      </c>
    </row>
    <row r="1431" spans="1:5" ht="15" customHeight="1" outlineLevel="2" x14ac:dyDescent="0.25">
      <c r="A1431" s="3" t="str">
        <f>HYPERLINK("http://mystore1.ru/price_items/search?utf8=%E2%9C%93&amp;oem=2723ACL2B","2723ACL2B")</f>
        <v>2723ACL2B</v>
      </c>
      <c r="B1431" s="1" t="s">
        <v>2788</v>
      </c>
      <c r="C1431" s="9" t="s">
        <v>2789</v>
      </c>
      <c r="D1431" s="14" t="s">
        <v>2790</v>
      </c>
      <c r="E1431" s="9" t="s">
        <v>8</v>
      </c>
    </row>
    <row r="1432" spans="1:5" ht="15" customHeight="1" outlineLevel="2" x14ac:dyDescent="0.25">
      <c r="A1432" s="3" t="str">
        <f>HYPERLINK("http://mystore1.ru/price_items/search?utf8=%E2%9C%93&amp;oem=2723ABZ1B","2723ABZ1B")</f>
        <v>2723ABZ1B</v>
      </c>
      <c r="B1432" s="1" t="s">
        <v>2791</v>
      </c>
      <c r="C1432" s="9" t="s">
        <v>2789</v>
      </c>
      <c r="D1432" s="14" t="s">
        <v>2792</v>
      </c>
      <c r="E1432" s="9" t="s">
        <v>8</v>
      </c>
    </row>
    <row r="1433" spans="1:5" ht="15" customHeight="1" outlineLevel="2" x14ac:dyDescent="0.25">
      <c r="A1433" s="3" t="str">
        <f>HYPERLINK("http://mystore1.ru/price_items/search?utf8=%E2%9C%93&amp;oem=2723AGNBL1B","2723AGNBL1B")</f>
        <v>2723AGNBL1B</v>
      </c>
      <c r="B1433" s="1" t="s">
        <v>2793</v>
      </c>
      <c r="C1433" s="9" t="s">
        <v>2789</v>
      </c>
      <c r="D1433" s="14" t="s">
        <v>2794</v>
      </c>
      <c r="E1433" s="9" t="s">
        <v>8</v>
      </c>
    </row>
    <row r="1434" spans="1:5" ht="15" customHeight="1" outlineLevel="2" x14ac:dyDescent="0.25">
      <c r="A1434" s="3" t="str">
        <f>HYPERLINK("http://mystore1.ru/price_items/search?utf8=%E2%9C%93&amp;oem=2723ACL1B","2723ACL1B")</f>
        <v>2723ACL1B</v>
      </c>
      <c r="B1434" s="1" t="s">
        <v>2795</v>
      </c>
      <c r="C1434" s="9" t="s">
        <v>586</v>
      </c>
      <c r="D1434" s="14" t="s">
        <v>2796</v>
      </c>
      <c r="E1434" s="9" t="s">
        <v>8</v>
      </c>
    </row>
    <row r="1435" spans="1:5" ht="15" customHeight="1" outlineLevel="2" x14ac:dyDescent="0.25">
      <c r="A1435" s="3" t="str">
        <f>HYPERLINK("http://mystore1.ru/price_items/search?utf8=%E2%9C%93&amp;oem=2723AGN1B","2723AGN1B")</f>
        <v>2723AGN1B</v>
      </c>
      <c r="B1435" s="1" t="s">
        <v>2797</v>
      </c>
      <c r="C1435" s="9" t="s">
        <v>586</v>
      </c>
      <c r="D1435" s="14" t="s">
        <v>2798</v>
      </c>
      <c r="E1435" s="9" t="s">
        <v>8</v>
      </c>
    </row>
    <row r="1436" spans="1:5" ht="15" customHeight="1" outlineLevel="2" x14ac:dyDescent="0.25">
      <c r="A1436" s="3" t="str">
        <f>HYPERLINK("http://mystore1.ru/price_items/search?utf8=%E2%9C%93&amp;oem=2723ASMH","2723ASMH")</f>
        <v>2723ASMH</v>
      </c>
      <c r="B1436" s="1" t="s">
        <v>2799</v>
      </c>
      <c r="C1436" s="9" t="s">
        <v>25</v>
      </c>
      <c r="D1436" s="14" t="s">
        <v>2800</v>
      </c>
      <c r="E1436" s="9" t="s">
        <v>27</v>
      </c>
    </row>
    <row r="1437" spans="1:5" ht="15" customHeight="1" outlineLevel="2" x14ac:dyDescent="0.25">
      <c r="A1437" s="3" t="str">
        <f>HYPERLINK("http://mystore1.ru/price_items/search?utf8=%E2%9C%93&amp;oem=2723BGNH","2723BGNH")</f>
        <v>2723BGNH</v>
      </c>
      <c r="B1437" s="1" t="s">
        <v>2801</v>
      </c>
      <c r="C1437" s="9" t="s">
        <v>2789</v>
      </c>
      <c r="D1437" s="14" t="s">
        <v>2802</v>
      </c>
      <c r="E1437" s="9" t="s">
        <v>30</v>
      </c>
    </row>
    <row r="1438" spans="1:5" ht="15" customHeight="1" outlineLevel="2" x14ac:dyDescent="0.25">
      <c r="A1438" s="3" t="str">
        <f>HYPERLINK("http://mystore1.ru/price_items/search?utf8=%E2%9C%93&amp;oem=2723BGNH1Q","2723BGNH1Q")</f>
        <v>2723BGNH1Q</v>
      </c>
      <c r="B1438" s="1" t="s">
        <v>2803</v>
      </c>
      <c r="C1438" s="9" t="s">
        <v>586</v>
      </c>
      <c r="D1438" s="14" t="s">
        <v>2804</v>
      </c>
      <c r="E1438" s="9" t="s">
        <v>30</v>
      </c>
    </row>
    <row r="1439" spans="1:5" ht="15" customHeight="1" outlineLevel="2" x14ac:dyDescent="0.25">
      <c r="A1439" s="3" t="str">
        <f>HYPERLINK("http://mystore1.ru/price_items/search?utf8=%E2%9C%93&amp;oem=2723BSMH","2723BSMH")</f>
        <v>2723BSMH</v>
      </c>
      <c r="B1439" s="1" t="s">
        <v>2805</v>
      </c>
      <c r="C1439" s="9" t="s">
        <v>25</v>
      </c>
      <c r="D1439" s="14" t="s">
        <v>2806</v>
      </c>
      <c r="E1439" s="9" t="s">
        <v>27</v>
      </c>
    </row>
    <row r="1440" spans="1:5" ht="15" customHeight="1" outlineLevel="2" x14ac:dyDescent="0.25">
      <c r="A1440" s="3" t="str">
        <f>HYPERLINK("http://mystore1.ru/price_items/search?utf8=%E2%9C%93&amp;oem=2723LGNH5RV","2723LGNH5RV")</f>
        <v>2723LGNH5RV</v>
      </c>
      <c r="B1440" s="1" t="s">
        <v>2807</v>
      </c>
      <c r="C1440" s="9" t="s">
        <v>2789</v>
      </c>
      <c r="D1440" s="14" t="s">
        <v>2808</v>
      </c>
      <c r="E1440" s="9" t="s">
        <v>11</v>
      </c>
    </row>
    <row r="1441" spans="1:5" ht="15" customHeight="1" outlineLevel="2" x14ac:dyDescent="0.25">
      <c r="A1441" s="3" t="str">
        <f>HYPERLINK("http://mystore1.ru/price_items/search?utf8=%E2%9C%93&amp;oem=2723RGNH5RV","2723RGNH5RV")</f>
        <v>2723RGNH5RV</v>
      </c>
      <c r="B1441" s="1" t="s">
        <v>2809</v>
      </c>
      <c r="C1441" s="9" t="s">
        <v>2789</v>
      </c>
      <c r="D1441" s="14" t="s">
        <v>2810</v>
      </c>
      <c r="E1441" s="9" t="s">
        <v>11</v>
      </c>
    </row>
    <row r="1442" spans="1:5" ht="15" customHeight="1" outlineLevel="2" x14ac:dyDescent="0.25">
      <c r="A1442" s="3" t="str">
        <f>HYPERLINK("http://mystore1.ru/price_items/search?utf8=%E2%9C%93&amp;oem=2723LGNH3RQO","2723LGNH3RQO")</f>
        <v>2723LGNH3RQO</v>
      </c>
      <c r="B1442" s="1" t="s">
        <v>2811</v>
      </c>
      <c r="C1442" s="9" t="s">
        <v>2789</v>
      </c>
      <c r="D1442" s="14" t="s">
        <v>2812</v>
      </c>
      <c r="E1442" s="9" t="s">
        <v>11</v>
      </c>
    </row>
    <row r="1443" spans="1:5" ht="15" customHeight="1" outlineLevel="2" x14ac:dyDescent="0.25">
      <c r="A1443" s="3" t="str">
        <f>HYPERLINK("http://mystore1.ru/price_items/search?utf8=%E2%9C%93&amp;oem=2723RGNH3RQO","2723RGNH3RQO")</f>
        <v>2723RGNH3RQO</v>
      </c>
      <c r="B1443" s="1" t="s">
        <v>2813</v>
      </c>
      <c r="C1443" s="9" t="s">
        <v>2789</v>
      </c>
      <c r="D1443" s="14" t="s">
        <v>2814</v>
      </c>
      <c r="E1443" s="9" t="s">
        <v>11</v>
      </c>
    </row>
    <row r="1444" spans="1:5" ht="15" customHeight="1" outlineLevel="2" x14ac:dyDescent="0.25">
      <c r="A1444" s="3" t="str">
        <f>HYPERLINK("http://mystore1.ru/price_items/search?utf8=%E2%9C%93&amp;oem=2723LGNH5RD","2723LGNH5RD")</f>
        <v>2723LGNH5RD</v>
      </c>
      <c r="B1444" s="1" t="s">
        <v>2815</v>
      </c>
      <c r="C1444" s="9" t="s">
        <v>2789</v>
      </c>
      <c r="D1444" s="14" t="s">
        <v>2816</v>
      </c>
      <c r="E1444" s="9" t="s">
        <v>11</v>
      </c>
    </row>
    <row r="1445" spans="1:5" ht="15" customHeight="1" outlineLevel="2" x14ac:dyDescent="0.25">
      <c r="A1445" s="3" t="str">
        <f>HYPERLINK("http://mystore1.ru/price_items/search?utf8=%E2%9C%93&amp;oem=2723RGNH5RD","2723RGNH5RD")</f>
        <v>2723RGNH5RD</v>
      </c>
      <c r="B1445" s="1" t="s">
        <v>2817</v>
      </c>
      <c r="C1445" s="9" t="s">
        <v>2789</v>
      </c>
      <c r="D1445" s="14" t="s">
        <v>2818</v>
      </c>
      <c r="E1445" s="9" t="s">
        <v>11</v>
      </c>
    </row>
    <row r="1446" spans="1:5" ht="15" customHeight="1" outlineLevel="2" x14ac:dyDescent="0.25">
      <c r="A1446" s="3" t="str">
        <f>HYPERLINK("http://mystore1.ru/price_items/search?utf8=%E2%9C%93&amp;oem=2723LGNH3FD","2723LGNH3FD")</f>
        <v>2723LGNH3FD</v>
      </c>
      <c r="B1446" s="1" t="s">
        <v>2819</v>
      </c>
      <c r="C1446" s="9" t="s">
        <v>2789</v>
      </c>
      <c r="D1446" s="14" t="s">
        <v>2820</v>
      </c>
      <c r="E1446" s="9" t="s">
        <v>11</v>
      </c>
    </row>
    <row r="1447" spans="1:5" ht="15" customHeight="1" outlineLevel="2" x14ac:dyDescent="0.25">
      <c r="A1447" s="3" t="str">
        <f>HYPERLINK("http://mystore1.ru/price_items/search?utf8=%E2%9C%93&amp;oem=2723RGNH3FD","2723RGNH3FD")</f>
        <v>2723RGNH3FD</v>
      </c>
      <c r="B1447" s="1" t="s">
        <v>2821</v>
      </c>
      <c r="C1447" s="9" t="s">
        <v>2789</v>
      </c>
      <c r="D1447" s="14" t="s">
        <v>2822</v>
      </c>
      <c r="E1447" s="9" t="s">
        <v>11</v>
      </c>
    </row>
    <row r="1448" spans="1:5" ht="15" customHeight="1" outlineLevel="2" x14ac:dyDescent="0.25">
      <c r="A1448" s="3" t="str">
        <f>HYPERLINK("http://mystore1.ru/price_items/search?utf8=%E2%9C%93&amp;oem=2723LGNH5FD","2723LGNH5FD")</f>
        <v>2723LGNH5FD</v>
      </c>
      <c r="B1448" s="1" t="s">
        <v>2823</v>
      </c>
      <c r="C1448" s="9" t="s">
        <v>2789</v>
      </c>
      <c r="D1448" s="14" t="s">
        <v>2824</v>
      </c>
      <c r="E1448" s="9" t="s">
        <v>11</v>
      </c>
    </row>
    <row r="1449" spans="1:5" ht="15" customHeight="1" outlineLevel="2" x14ac:dyDescent="0.25">
      <c r="A1449" s="3" t="str">
        <f>HYPERLINK("http://mystore1.ru/price_items/search?utf8=%E2%9C%93&amp;oem=2723RGNH5FD","2723RGNH5FD")</f>
        <v>2723RGNH5FD</v>
      </c>
      <c r="B1449" s="1" t="s">
        <v>2825</v>
      </c>
      <c r="C1449" s="9" t="s">
        <v>2789</v>
      </c>
      <c r="D1449" s="14" t="s">
        <v>2826</v>
      </c>
      <c r="E1449" s="9" t="s">
        <v>11</v>
      </c>
    </row>
    <row r="1450" spans="1:5" outlineLevel="1" x14ac:dyDescent="0.25">
      <c r="A1450" s="2"/>
      <c r="B1450" s="6" t="s">
        <v>2827</v>
      </c>
      <c r="C1450" s="8"/>
      <c r="D1450" s="8"/>
      <c r="E1450" s="8"/>
    </row>
    <row r="1451" spans="1:5" ht="15" customHeight="1" outlineLevel="2" x14ac:dyDescent="0.25">
      <c r="A1451" s="3" t="str">
        <f>HYPERLINK("http://mystore1.ru/price_items/search?utf8=%E2%9C%93&amp;oem=2714ACL1C","2714ACL1C")</f>
        <v>2714ACL1C</v>
      </c>
      <c r="B1451" s="1" t="s">
        <v>2828</v>
      </c>
      <c r="C1451" s="9" t="s">
        <v>2829</v>
      </c>
      <c r="D1451" s="14" t="s">
        <v>2830</v>
      </c>
      <c r="E1451" s="9" t="s">
        <v>8</v>
      </c>
    </row>
    <row r="1452" spans="1:5" ht="15" customHeight="1" outlineLevel="2" x14ac:dyDescent="0.25">
      <c r="A1452" s="3" t="str">
        <f>HYPERLINK("http://mystore1.ru/price_items/search?utf8=%E2%9C%93&amp;oem=2714AGN1C","2714AGN1C")</f>
        <v>2714AGN1C</v>
      </c>
      <c r="B1452" s="1" t="s">
        <v>2831</v>
      </c>
      <c r="C1452" s="9" t="s">
        <v>2829</v>
      </c>
      <c r="D1452" s="14" t="s">
        <v>2832</v>
      </c>
      <c r="E1452" s="9" t="s">
        <v>8</v>
      </c>
    </row>
    <row r="1453" spans="1:5" ht="15" customHeight="1" outlineLevel="2" x14ac:dyDescent="0.25">
      <c r="A1453" s="3" t="str">
        <f>HYPERLINK("http://mystore1.ru/price_items/search?utf8=%E2%9C%93&amp;oem=2714ASRH","2714ASRH")</f>
        <v>2714ASRH</v>
      </c>
      <c r="B1453" s="1" t="s">
        <v>2833</v>
      </c>
      <c r="C1453" s="9" t="s">
        <v>25</v>
      </c>
      <c r="D1453" s="14" t="s">
        <v>2834</v>
      </c>
      <c r="E1453" s="9" t="s">
        <v>27</v>
      </c>
    </row>
    <row r="1454" spans="1:5" ht="15" customHeight="1" outlineLevel="2" x14ac:dyDescent="0.25">
      <c r="A1454" s="3" t="str">
        <f>HYPERLINK("http://mystore1.ru/price_items/search?utf8=%E2%9C%93&amp;oem=2714LCLH5FD","2714LCLH5FD")</f>
        <v>2714LCLH5FD</v>
      </c>
      <c r="B1454" s="1" t="s">
        <v>2835</v>
      </c>
      <c r="C1454" s="9" t="s">
        <v>2829</v>
      </c>
      <c r="D1454" s="14" t="s">
        <v>2836</v>
      </c>
      <c r="E1454" s="9" t="s">
        <v>11</v>
      </c>
    </row>
    <row r="1455" spans="1:5" ht="15" customHeight="1" outlineLevel="2" x14ac:dyDescent="0.25">
      <c r="A1455" s="3" t="str">
        <f>HYPERLINK("http://mystore1.ru/price_items/search?utf8=%E2%9C%93&amp;oem=2714RCLH5FD","2714RCLH5FD")</f>
        <v>2714RCLH5FD</v>
      </c>
      <c r="B1455" s="1" t="s">
        <v>2837</v>
      </c>
      <c r="C1455" s="9" t="s">
        <v>2829</v>
      </c>
      <c r="D1455" s="14" t="s">
        <v>2838</v>
      </c>
      <c r="E1455" s="9" t="s">
        <v>11</v>
      </c>
    </row>
    <row r="1456" spans="1:5" outlineLevel="1" x14ac:dyDescent="0.25">
      <c r="A1456" s="2"/>
      <c r="B1456" s="6" t="s">
        <v>2839</v>
      </c>
      <c r="C1456" s="8"/>
      <c r="D1456" s="8"/>
      <c r="E1456" s="8"/>
    </row>
    <row r="1457" spans="1:5" ht="15" customHeight="1" outlineLevel="2" x14ac:dyDescent="0.25">
      <c r="A1457" s="3" t="str">
        <f>HYPERLINK("http://mystore1.ru/price_items/search?utf8=%E2%9C%93&amp;oem=2720ACC1C","2720ACC1C")</f>
        <v>2720ACC1C</v>
      </c>
      <c r="B1457" s="1" t="s">
        <v>2840</v>
      </c>
      <c r="C1457" s="9" t="s">
        <v>2841</v>
      </c>
      <c r="D1457" s="14" t="s">
        <v>2842</v>
      </c>
      <c r="E1457" s="9" t="s">
        <v>8</v>
      </c>
    </row>
    <row r="1458" spans="1:5" ht="15" customHeight="1" outlineLevel="2" x14ac:dyDescent="0.25">
      <c r="A1458" s="3" t="str">
        <f>HYPERLINK("http://mystore1.ru/price_items/search?utf8=%E2%9C%93&amp;oem=2720ACCM1C","2720ACCM1C")</f>
        <v>2720ACCM1C</v>
      </c>
      <c r="B1458" s="1" t="s">
        <v>2843</v>
      </c>
      <c r="C1458" s="9" t="s">
        <v>2841</v>
      </c>
      <c r="D1458" s="14" t="s">
        <v>2844</v>
      </c>
      <c r="E1458" s="9" t="s">
        <v>8</v>
      </c>
    </row>
    <row r="1459" spans="1:5" ht="15" customHeight="1" outlineLevel="2" x14ac:dyDescent="0.25">
      <c r="A1459" s="3" t="str">
        <f>HYPERLINK("http://mystore1.ru/price_items/search?utf8=%E2%9C%93&amp;oem=2720ACL","2720ACL")</f>
        <v>2720ACL</v>
      </c>
      <c r="B1459" s="1" t="s">
        <v>2845</v>
      </c>
      <c r="C1459" s="9" t="s">
        <v>2846</v>
      </c>
      <c r="D1459" s="14" t="s">
        <v>2847</v>
      </c>
      <c r="E1459" s="9" t="s">
        <v>8</v>
      </c>
    </row>
    <row r="1460" spans="1:5" ht="15" customHeight="1" outlineLevel="2" x14ac:dyDescent="0.25">
      <c r="A1460" s="3" t="str">
        <f>HYPERLINK("http://mystore1.ru/price_items/search?utf8=%E2%9C%93&amp;oem=2720AGN","2720AGN")</f>
        <v>2720AGN</v>
      </c>
      <c r="B1460" s="1" t="s">
        <v>2848</v>
      </c>
      <c r="C1460" s="9" t="s">
        <v>2846</v>
      </c>
      <c r="D1460" s="14" t="s">
        <v>2849</v>
      </c>
      <c r="E1460" s="9" t="s">
        <v>8</v>
      </c>
    </row>
    <row r="1461" spans="1:5" ht="15" customHeight="1" outlineLevel="2" x14ac:dyDescent="0.25">
      <c r="A1461" s="3" t="str">
        <f>HYPERLINK("http://mystore1.ru/price_items/search?utf8=%E2%9C%93&amp;oem=2720AGN1C","2720AGN1C")</f>
        <v>2720AGN1C</v>
      </c>
      <c r="B1461" s="1" t="s">
        <v>2850</v>
      </c>
      <c r="C1461" s="9" t="s">
        <v>2841</v>
      </c>
      <c r="D1461" s="14" t="s">
        <v>2851</v>
      </c>
      <c r="E1461" s="9" t="s">
        <v>8</v>
      </c>
    </row>
    <row r="1462" spans="1:5" ht="15" customHeight="1" outlineLevel="2" x14ac:dyDescent="0.25">
      <c r="A1462" s="3" t="str">
        <f>HYPERLINK("http://mystore1.ru/price_items/search?utf8=%E2%9C%93&amp;oem=2720AGNGN","2720AGNGN")</f>
        <v>2720AGNGN</v>
      </c>
      <c r="B1462" s="1" t="s">
        <v>2852</v>
      </c>
      <c r="C1462" s="9" t="s">
        <v>2846</v>
      </c>
      <c r="D1462" s="14" t="s">
        <v>2853</v>
      </c>
      <c r="E1462" s="9" t="s">
        <v>8</v>
      </c>
    </row>
    <row r="1463" spans="1:5" ht="15" customHeight="1" outlineLevel="2" x14ac:dyDescent="0.25">
      <c r="A1463" s="3" t="str">
        <f>HYPERLINK("http://mystore1.ru/price_items/search?utf8=%E2%9C%93&amp;oem=2720AGNM1C","2720AGNM1C")</f>
        <v>2720AGNM1C</v>
      </c>
      <c r="B1463" s="1" t="s">
        <v>2854</v>
      </c>
      <c r="C1463" s="9" t="s">
        <v>2841</v>
      </c>
      <c r="D1463" s="14" t="s">
        <v>2855</v>
      </c>
      <c r="E1463" s="9" t="s">
        <v>8</v>
      </c>
    </row>
    <row r="1464" spans="1:5" ht="15" customHeight="1" outlineLevel="2" x14ac:dyDescent="0.25">
      <c r="A1464" s="3" t="str">
        <f>HYPERLINK("http://mystore1.ru/price_items/search?utf8=%E2%9C%93&amp;oem=2720AKMH","2720AKMH")</f>
        <v>2720AKMH</v>
      </c>
      <c r="B1464" s="1" t="s">
        <v>2856</v>
      </c>
      <c r="C1464" s="9" t="s">
        <v>25</v>
      </c>
      <c r="D1464" s="14" t="s">
        <v>2857</v>
      </c>
      <c r="E1464" s="9" t="s">
        <v>27</v>
      </c>
    </row>
    <row r="1465" spans="1:5" ht="15" customHeight="1" outlineLevel="2" x14ac:dyDescent="0.25">
      <c r="A1465" s="3" t="str">
        <f>HYPERLINK("http://mystore1.ru/price_items/search?utf8=%E2%9C%93&amp;oem=2720BCLHZ","2720BCLHZ")</f>
        <v>2720BCLHZ</v>
      </c>
      <c r="B1465" s="1" t="s">
        <v>2858</v>
      </c>
      <c r="C1465" s="9" t="s">
        <v>2846</v>
      </c>
      <c r="D1465" s="14" t="s">
        <v>2859</v>
      </c>
      <c r="E1465" s="9" t="s">
        <v>30</v>
      </c>
    </row>
    <row r="1466" spans="1:5" ht="15" customHeight="1" outlineLevel="2" x14ac:dyDescent="0.25">
      <c r="A1466" s="3" t="str">
        <f>HYPERLINK("http://mystore1.ru/price_items/search?utf8=%E2%9C%93&amp;oem=2720BGNHZ","2720BGNHZ")</f>
        <v>2720BGNHZ</v>
      </c>
      <c r="B1466" s="1" t="s">
        <v>2860</v>
      </c>
      <c r="C1466" s="9" t="s">
        <v>2846</v>
      </c>
      <c r="D1466" s="14" t="s">
        <v>2861</v>
      </c>
      <c r="E1466" s="9" t="s">
        <v>30</v>
      </c>
    </row>
    <row r="1467" spans="1:5" ht="15" customHeight="1" outlineLevel="2" x14ac:dyDescent="0.25">
      <c r="A1467" s="3" t="str">
        <f>HYPERLINK("http://mystore1.ru/price_items/search?utf8=%E2%9C%93&amp;oem=2720BGNHZ1H","2720BGNHZ1H")</f>
        <v>2720BGNHZ1H</v>
      </c>
      <c r="B1467" s="1" t="s">
        <v>2862</v>
      </c>
      <c r="C1467" s="9" t="s">
        <v>2863</v>
      </c>
      <c r="D1467" s="14" t="s">
        <v>2864</v>
      </c>
      <c r="E1467" s="9" t="s">
        <v>30</v>
      </c>
    </row>
    <row r="1468" spans="1:5" ht="15" customHeight="1" outlineLevel="2" x14ac:dyDescent="0.25">
      <c r="A1468" s="3" t="str">
        <f>HYPERLINK("http://mystore1.ru/price_items/search?utf8=%E2%9C%93&amp;oem=2720LGNH5FD","2720LGNH5FD")</f>
        <v>2720LGNH5FD</v>
      </c>
      <c r="B1468" s="1" t="s">
        <v>2865</v>
      </c>
      <c r="C1468" s="9" t="s">
        <v>2846</v>
      </c>
      <c r="D1468" s="14" t="s">
        <v>2866</v>
      </c>
      <c r="E1468" s="9" t="s">
        <v>11</v>
      </c>
    </row>
    <row r="1469" spans="1:5" ht="15" customHeight="1" outlineLevel="2" x14ac:dyDescent="0.25">
      <c r="A1469" s="3" t="str">
        <f>HYPERLINK("http://mystore1.ru/price_items/search?utf8=%E2%9C%93&amp;oem=2720LGNH5RD","2720LGNH5RD")</f>
        <v>2720LGNH5RD</v>
      </c>
      <c r="B1469" s="1" t="s">
        <v>2867</v>
      </c>
      <c r="C1469" s="9" t="s">
        <v>2846</v>
      </c>
      <c r="D1469" s="14" t="s">
        <v>2868</v>
      </c>
      <c r="E1469" s="9" t="s">
        <v>11</v>
      </c>
    </row>
    <row r="1470" spans="1:5" ht="15" customHeight="1" outlineLevel="2" x14ac:dyDescent="0.25">
      <c r="A1470" s="3" t="str">
        <f>HYPERLINK("http://mystore1.ru/price_items/search?utf8=%E2%9C%93&amp;oem=2720RGNH5FD","2720RGNH5FD")</f>
        <v>2720RGNH5FD</v>
      </c>
      <c r="B1470" s="1" t="s">
        <v>2869</v>
      </c>
      <c r="C1470" s="9" t="s">
        <v>2846</v>
      </c>
      <c r="D1470" s="14" t="s">
        <v>2870</v>
      </c>
      <c r="E1470" s="9" t="s">
        <v>11</v>
      </c>
    </row>
    <row r="1471" spans="1:5" ht="15" customHeight="1" outlineLevel="2" x14ac:dyDescent="0.25">
      <c r="A1471" s="3" t="str">
        <f>HYPERLINK("http://mystore1.ru/price_items/search?utf8=%E2%9C%93&amp;oem=2720RGNH5RD","2720RGNH5RD")</f>
        <v>2720RGNH5RD</v>
      </c>
      <c r="B1471" s="1" t="s">
        <v>2871</v>
      </c>
      <c r="C1471" s="9" t="s">
        <v>2846</v>
      </c>
      <c r="D1471" s="14" t="s">
        <v>2872</v>
      </c>
      <c r="E1471" s="9" t="s">
        <v>11</v>
      </c>
    </row>
    <row r="1472" spans="1:5" outlineLevel="1" x14ac:dyDescent="0.25">
      <c r="A1472" s="2"/>
      <c r="B1472" s="6" t="s">
        <v>2873</v>
      </c>
      <c r="C1472" s="8"/>
      <c r="D1472" s="8"/>
      <c r="E1472" s="8"/>
    </row>
    <row r="1473" spans="1:5" ht="15" customHeight="1" outlineLevel="2" x14ac:dyDescent="0.25">
      <c r="A1473" s="3" t="str">
        <f>HYPERLINK("http://mystore1.ru/price_items/search?utf8=%E2%9C%93&amp;oem=2718AGN","2718AGN")</f>
        <v>2718AGN</v>
      </c>
      <c r="B1473" s="1" t="s">
        <v>2874</v>
      </c>
      <c r="C1473" s="9" t="s">
        <v>2875</v>
      </c>
      <c r="D1473" s="14" t="s">
        <v>2876</v>
      </c>
      <c r="E1473" s="9" t="s">
        <v>8</v>
      </c>
    </row>
    <row r="1474" spans="1:5" ht="15" customHeight="1" outlineLevel="2" x14ac:dyDescent="0.25">
      <c r="A1474" s="3" t="str">
        <f>HYPERLINK("http://mystore1.ru/price_items/search?utf8=%E2%9C%93&amp;oem=2718AGNGN","2718AGNGN")</f>
        <v>2718AGNGN</v>
      </c>
      <c r="B1474" s="1" t="s">
        <v>2877</v>
      </c>
      <c r="C1474" s="9" t="s">
        <v>2875</v>
      </c>
      <c r="D1474" s="14" t="s">
        <v>2878</v>
      </c>
      <c r="E1474" s="9" t="s">
        <v>8</v>
      </c>
    </row>
    <row r="1475" spans="1:5" ht="15" customHeight="1" outlineLevel="2" x14ac:dyDescent="0.25">
      <c r="A1475" s="3" t="str">
        <f>HYPERLINK("http://mystore1.ru/price_items/search?utf8=%E2%9C%93&amp;oem=2718LGNH5FD","2718LGNH5FD")</f>
        <v>2718LGNH5FD</v>
      </c>
      <c r="B1475" s="1" t="s">
        <v>2879</v>
      </c>
      <c r="C1475" s="9" t="s">
        <v>2875</v>
      </c>
      <c r="D1475" s="14" t="s">
        <v>2880</v>
      </c>
      <c r="E1475" s="9" t="s">
        <v>11</v>
      </c>
    </row>
    <row r="1476" spans="1:5" ht="15" customHeight="1" outlineLevel="2" x14ac:dyDescent="0.25">
      <c r="A1476" s="3" t="str">
        <f>HYPERLINK("http://mystore1.ru/price_items/search?utf8=%E2%9C%93&amp;oem=2718LGNH5FV","2718LGNH5FV")</f>
        <v>2718LGNH5FV</v>
      </c>
      <c r="B1476" s="1" t="s">
        <v>2881</v>
      </c>
      <c r="C1476" s="9" t="s">
        <v>2875</v>
      </c>
      <c r="D1476" s="14" t="s">
        <v>2882</v>
      </c>
      <c r="E1476" s="9" t="s">
        <v>11</v>
      </c>
    </row>
    <row r="1477" spans="1:5" ht="15" customHeight="1" outlineLevel="2" x14ac:dyDescent="0.25">
      <c r="A1477" s="3" t="str">
        <f>HYPERLINK("http://mystore1.ru/price_items/search?utf8=%E2%9C%93&amp;oem=2718LGNH5RD","2718LGNH5RD")</f>
        <v>2718LGNH5RD</v>
      </c>
      <c r="B1477" s="1" t="s">
        <v>2883</v>
      </c>
      <c r="C1477" s="9" t="s">
        <v>2875</v>
      </c>
      <c r="D1477" s="14" t="s">
        <v>2884</v>
      </c>
      <c r="E1477" s="9" t="s">
        <v>11</v>
      </c>
    </row>
    <row r="1478" spans="1:5" ht="15" customHeight="1" outlineLevel="2" x14ac:dyDescent="0.25">
      <c r="A1478" s="3" t="str">
        <f>HYPERLINK("http://mystore1.ru/price_items/search?utf8=%E2%9C%93&amp;oem=2718LGNH5RV","2718LGNH5RV")</f>
        <v>2718LGNH5RV</v>
      </c>
      <c r="B1478" s="1" t="s">
        <v>2885</v>
      </c>
      <c r="C1478" s="9" t="s">
        <v>2875</v>
      </c>
      <c r="D1478" s="14" t="s">
        <v>2886</v>
      </c>
      <c r="E1478" s="9" t="s">
        <v>11</v>
      </c>
    </row>
    <row r="1479" spans="1:5" ht="15" customHeight="1" outlineLevel="2" x14ac:dyDescent="0.25">
      <c r="A1479" s="3" t="str">
        <f>HYPERLINK("http://mystore1.ru/price_items/search?utf8=%E2%9C%93&amp;oem=2718RGNH5FD","2718RGNH5FD")</f>
        <v>2718RGNH5FD</v>
      </c>
      <c r="B1479" s="1" t="s">
        <v>2887</v>
      </c>
      <c r="C1479" s="9" t="s">
        <v>2875</v>
      </c>
      <c r="D1479" s="14" t="s">
        <v>2888</v>
      </c>
      <c r="E1479" s="9" t="s">
        <v>11</v>
      </c>
    </row>
    <row r="1480" spans="1:5" ht="15" customHeight="1" outlineLevel="2" x14ac:dyDescent="0.25">
      <c r="A1480" s="3" t="str">
        <f>HYPERLINK("http://mystore1.ru/price_items/search?utf8=%E2%9C%93&amp;oem=2718RGNH5FV","2718RGNH5FV")</f>
        <v>2718RGNH5FV</v>
      </c>
      <c r="B1480" s="1" t="s">
        <v>2889</v>
      </c>
      <c r="C1480" s="9" t="s">
        <v>2875</v>
      </c>
      <c r="D1480" s="14" t="s">
        <v>2890</v>
      </c>
      <c r="E1480" s="9" t="s">
        <v>11</v>
      </c>
    </row>
    <row r="1481" spans="1:5" ht="15" customHeight="1" outlineLevel="2" x14ac:dyDescent="0.25">
      <c r="A1481" s="3" t="str">
        <f>HYPERLINK("http://mystore1.ru/price_items/search?utf8=%E2%9C%93&amp;oem=2718RGNH5RD","2718RGNH5RD")</f>
        <v>2718RGNH5RD</v>
      </c>
      <c r="B1481" s="1" t="s">
        <v>2891</v>
      </c>
      <c r="C1481" s="9" t="s">
        <v>2875</v>
      </c>
      <c r="D1481" s="14" t="s">
        <v>2892</v>
      </c>
      <c r="E1481" s="9" t="s">
        <v>11</v>
      </c>
    </row>
    <row r="1482" spans="1:5" outlineLevel="1" x14ac:dyDescent="0.25">
      <c r="A1482" s="2"/>
      <c r="B1482" s="6" t="s">
        <v>2893</v>
      </c>
      <c r="C1482" s="8"/>
      <c r="D1482" s="8"/>
      <c r="E1482" s="8"/>
    </row>
    <row r="1483" spans="1:5" ht="15" customHeight="1" outlineLevel="2" x14ac:dyDescent="0.25">
      <c r="A1483" s="3" t="str">
        <f>HYPERLINK("http://mystore1.ru/price_items/search?utf8=%E2%9C%93&amp;oem=2725ACCMV1B","2725ACCMV1B")</f>
        <v>2725ACCMV1B</v>
      </c>
      <c r="B1483" s="1" t="s">
        <v>2894</v>
      </c>
      <c r="C1483" s="9" t="s">
        <v>2841</v>
      </c>
      <c r="D1483" s="14" t="s">
        <v>2895</v>
      </c>
      <c r="E1483" s="9" t="s">
        <v>8</v>
      </c>
    </row>
    <row r="1484" spans="1:5" ht="15" customHeight="1" outlineLevel="2" x14ac:dyDescent="0.25">
      <c r="A1484" s="3" t="str">
        <f>HYPERLINK("http://mystore1.ru/price_items/search?utf8=%E2%9C%93&amp;oem=2725ACCMV6T","2725ACCMV6T")</f>
        <v>2725ACCMV6T</v>
      </c>
      <c r="B1484" s="1" t="s">
        <v>2896</v>
      </c>
      <c r="C1484" s="9" t="s">
        <v>120</v>
      </c>
      <c r="D1484" s="14" t="s">
        <v>2897</v>
      </c>
      <c r="E1484" s="9" t="s">
        <v>8</v>
      </c>
    </row>
    <row r="1485" spans="1:5" ht="15" customHeight="1" outlineLevel="2" x14ac:dyDescent="0.25">
      <c r="A1485" s="3" t="str">
        <f>HYPERLINK("http://mystore1.ru/price_items/search?utf8=%E2%9C%93&amp;oem=2725ACCV1B","2725ACCV1B")</f>
        <v>2725ACCV1B</v>
      </c>
      <c r="B1485" s="1" t="s">
        <v>2898</v>
      </c>
      <c r="C1485" s="9" t="s">
        <v>120</v>
      </c>
      <c r="D1485" s="14" t="s">
        <v>2899</v>
      </c>
      <c r="E1485" s="9" t="s">
        <v>8</v>
      </c>
    </row>
    <row r="1486" spans="1:5" ht="15" customHeight="1" outlineLevel="2" x14ac:dyDescent="0.25">
      <c r="A1486" s="3" t="str">
        <f>HYPERLINK("http://mystore1.ru/price_items/search?utf8=%E2%9C%93&amp;oem=2725AGN","2725AGN")</f>
        <v>2725AGN</v>
      </c>
      <c r="B1486" s="1" t="s">
        <v>2900</v>
      </c>
      <c r="C1486" s="9" t="s">
        <v>120</v>
      </c>
      <c r="D1486" s="14" t="s">
        <v>2901</v>
      </c>
      <c r="E1486" s="9" t="s">
        <v>8</v>
      </c>
    </row>
    <row r="1487" spans="1:5" ht="15" customHeight="1" outlineLevel="2" x14ac:dyDescent="0.25">
      <c r="A1487" s="3" t="str">
        <f>HYPERLINK("http://mystore1.ru/price_items/search?utf8=%E2%9C%93&amp;oem=2725AGNM","2725AGNM")</f>
        <v>2725AGNM</v>
      </c>
      <c r="B1487" s="1" t="s">
        <v>2902</v>
      </c>
      <c r="C1487" s="9" t="s">
        <v>120</v>
      </c>
      <c r="D1487" s="14" t="s">
        <v>2903</v>
      </c>
      <c r="E1487" s="9" t="s">
        <v>8</v>
      </c>
    </row>
    <row r="1488" spans="1:5" ht="15" customHeight="1" outlineLevel="2" x14ac:dyDescent="0.25">
      <c r="A1488" s="3" t="str">
        <f>HYPERLINK("http://mystore1.ru/price_items/search?utf8=%E2%9C%93&amp;oem=2725AGSMV1B","2725AGSMV1B")</f>
        <v>2725AGSMV1B</v>
      </c>
      <c r="B1488" s="1" t="s">
        <v>2904</v>
      </c>
      <c r="C1488" s="9" t="s">
        <v>120</v>
      </c>
      <c r="D1488" s="14" t="s">
        <v>2905</v>
      </c>
      <c r="E1488" s="9" t="s">
        <v>8</v>
      </c>
    </row>
    <row r="1489" spans="1:5" ht="15" customHeight="1" outlineLevel="2" x14ac:dyDescent="0.25">
      <c r="A1489" s="3" t="str">
        <f>HYPERLINK("http://mystore1.ru/price_items/search?utf8=%E2%9C%93&amp;oem=2725AGSV1B","2725AGSV1B")</f>
        <v>2725AGSV1B</v>
      </c>
      <c r="B1489" s="1" t="s">
        <v>2906</v>
      </c>
      <c r="C1489" s="9" t="s">
        <v>120</v>
      </c>
      <c r="D1489" s="14" t="s">
        <v>2907</v>
      </c>
      <c r="E1489" s="9" t="s">
        <v>8</v>
      </c>
    </row>
    <row r="1490" spans="1:5" ht="15" customHeight="1" outlineLevel="2" x14ac:dyDescent="0.25">
      <c r="A1490" s="3" t="str">
        <f>HYPERLINK("http://mystore1.ru/price_items/search?utf8=%E2%9C%93&amp;oem=2725ASMHT","2725ASMHT")</f>
        <v>2725ASMHT</v>
      </c>
      <c r="B1490" s="1" t="s">
        <v>2908</v>
      </c>
      <c r="C1490" s="9" t="s">
        <v>25</v>
      </c>
      <c r="D1490" s="14" t="s">
        <v>2909</v>
      </c>
      <c r="E1490" s="9" t="s">
        <v>27</v>
      </c>
    </row>
    <row r="1491" spans="1:5" ht="15" customHeight="1" outlineLevel="2" x14ac:dyDescent="0.25">
      <c r="A1491" s="3" t="str">
        <f>HYPERLINK("http://mystore1.ru/price_items/search?utf8=%E2%9C%93&amp;oem=2725BGNE","2725BGNE")</f>
        <v>2725BGNE</v>
      </c>
      <c r="B1491" s="1" t="s">
        <v>2910</v>
      </c>
      <c r="C1491" s="9" t="s">
        <v>120</v>
      </c>
      <c r="D1491" s="14" t="s">
        <v>2911</v>
      </c>
      <c r="E1491" s="9" t="s">
        <v>30</v>
      </c>
    </row>
    <row r="1492" spans="1:5" ht="15" customHeight="1" outlineLevel="2" x14ac:dyDescent="0.25">
      <c r="A1492" s="3" t="str">
        <f>HYPERLINK("http://mystore1.ru/price_items/search?utf8=%E2%9C%93&amp;oem=2725BGNHZ","2725BGNHZ")</f>
        <v>2725BGNHZ</v>
      </c>
      <c r="B1492" s="1" t="s">
        <v>2912</v>
      </c>
      <c r="C1492" s="9" t="s">
        <v>120</v>
      </c>
      <c r="D1492" s="14" t="s">
        <v>2913</v>
      </c>
      <c r="E1492" s="9" t="s">
        <v>30</v>
      </c>
    </row>
    <row r="1493" spans="1:5" ht="15" customHeight="1" outlineLevel="2" x14ac:dyDescent="0.25">
      <c r="A1493" s="3" t="str">
        <f>HYPERLINK("http://mystore1.ru/price_items/search?utf8=%E2%9C%93&amp;oem=2725LGNC2FD","2725LGNC2FD")</f>
        <v>2725LGNC2FD</v>
      </c>
      <c r="B1493" s="1" t="s">
        <v>2914</v>
      </c>
      <c r="C1493" s="9" t="s">
        <v>120</v>
      </c>
      <c r="D1493" s="14" t="s">
        <v>2915</v>
      </c>
      <c r="E1493" s="9" t="s">
        <v>11</v>
      </c>
    </row>
    <row r="1494" spans="1:5" ht="15" customHeight="1" outlineLevel="2" x14ac:dyDescent="0.25">
      <c r="A1494" s="3" t="str">
        <f>HYPERLINK("http://mystore1.ru/price_items/search?utf8=%E2%9C%93&amp;oem=2725LGNC2RQO","2725LGNC2RQO")</f>
        <v>2725LGNC2RQO</v>
      </c>
      <c r="B1494" s="1" t="s">
        <v>2916</v>
      </c>
      <c r="C1494" s="9" t="s">
        <v>120</v>
      </c>
      <c r="D1494" s="14" t="s">
        <v>2917</v>
      </c>
      <c r="E1494" s="9" t="s">
        <v>11</v>
      </c>
    </row>
    <row r="1495" spans="1:5" ht="15" customHeight="1" outlineLevel="2" x14ac:dyDescent="0.25">
      <c r="A1495" s="3" t="str">
        <f>HYPERLINK("http://mystore1.ru/price_items/search?utf8=%E2%9C%93&amp;oem=2725LGNE5RD","2725LGNE5RD")</f>
        <v>2725LGNE5RD</v>
      </c>
      <c r="B1495" s="1" t="s">
        <v>2918</v>
      </c>
      <c r="C1495" s="9" t="s">
        <v>120</v>
      </c>
      <c r="D1495" s="14" t="s">
        <v>2919</v>
      </c>
      <c r="E1495" s="9" t="s">
        <v>11</v>
      </c>
    </row>
    <row r="1496" spans="1:5" ht="15" customHeight="1" outlineLevel="2" x14ac:dyDescent="0.25">
      <c r="A1496" s="3" t="str">
        <f>HYPERLINK("http://mystore1.ru/price_items/search?utf8=%E2%9C%93&amp;oem=2725LGNH5FD","2725LGNH5FD")</f>
        <v>2725LGNH5FD</v>
      </c>
      <c r="B1496" s="1" t="s">
        <v>2920</v>
      </c>
      <c r="C1496" s="9" t="s">
        <v>120</v>
      </c>
      <c r="D1496" s="14" t="s">
        <v>2921</v>
      </c>
      <c r="E1496" s="9" t="s">
        <v>11</v>
      </c>
    </row>
    <row r="1497" spans="1:5" ht="15" customHeight="1" outlineLevel="2" x14ac:dyDescent="0.25">
      <c r="A1497" s="3" t="str">
        <f>HYPERLINK("http://mystore1.ru/price_items/search?utf8=%E2%9C%93&amp;oem=2725LGNH5RD","2725LGNH5RD")</f>
        <v>2725LGNH5RD</v>
      </c>
      <c r="B1497" s="1" t="s">
        <v>2922</v>
      </c>
      <c r="C1497" s="9" t="s">
        <v>120</v>
      </c>
      <c r="D1497" s="14" t="s">
        <v>2923</v>
      </c>
      <c r="E1497" s="9" t="s">
        <v>11</v>
      </c>
    </row>
    <row r="1498" spans="1:5" ht="15" customHeight="1" outlineLevel="2" x14ac:dyDescent="0.25">
      <c r="A1498" s="3" t="str">
        <f>HYPERLINK("http://mystore1.ru/price_items/search?utf8=%E2%9C%93&amp;oem=2725LGSE5RD1J","2725LGSE5RD1J")</f>
        <v>2725LGSE5RD1J</v>
      </c>
      <c r="B1498" s="1" t="s">
        <v>2924</v>
      </c>
      <c r="C1498" s="9" t="s">
        <v>120</v>
      </c>
      <c r="D1498" s="14" t="s">
        <v>2925</v>
      </c>
      <c r="E1498" s="9" t="s">
        <v>11</v>
      </c>
    </row>
    <row r="1499" spans="1:5" ht="15" customHeight="1" outlineLevel="2" x14ac:dyDescent="0.25">
      <c r="A1499" s="3" t="str">
        <f>HYPERLINK("http://mystore1.ru/price_items/search?utf8=%E2%9C%93&amp;oem=2725LGSE5RQ","2725LGSE5RQ")</f>
        <v>2725LGSE5RQ</v>
      </c>
      <c r="B1499" s="1" t="s">
        <v>2926</v>
      </c>
      <c r="C1499" s="9" t="s">
        <v>120</v>
      </c>
      <c r="D1499" s="14" t="s">
        <v>2927</v>
      </c>
      <c r="E1499" s="9" t="s">
        <v>11</v>
      </c>
    </row>
    <row r="1500" spans="1:5" ht="15" customHeight="1" outlineLevel="2" x14ac:dyDescent="0.25">
      <c r="A1500" s="3" t="str">
        <f>HYPERLINK("http://mystore1.ru/price_items/search?utf8=%E2%9C%93&amp;oem=2725RGNC2FD","2725RGNC2FD")</f>
        <v>2725RGNC2FD</v>
      </c>
      <c r="B1500" s="1" t="s">
        <v>2928</v>
      </c>
      <c r="C1500" s="9" t="s">
        <v>120</v>
      </c>
      <c r="D1500" s="14" t="s">
        <v>2929</v>
      </c>
      <c r="E1500" s="9" t="s">
        <v>11</v>
      </c>
    </row>
    <row r="1501" spans="1:5" ht="15" customHeight="1" outlineLevel="2" x14ac:dyDescent="0.25">
      <c r="A1501" s="3" t="str">
        <f>HYPERLINK("http://mystore1.ru/price_items/search?utf8=%E2%9C%93&amp;oem=2725RGNC2RQO","2725RGNC2RQO")</f>
        <v>2725RGNC2RQO</v>
      </c>
      <c r="B1501" s="1" t="s">
        <v>2930</v>
      </c>
      <c r="C1501" s="9" t="s">
        <v>120</v>
      </c>
      <c r="D1501" s="14" t="s">
        <v>2931</v>
      </c>
      <c r="E1501" s="9" t="s">
        <v>11</v>
      </c>
    </row>
    <row r="1502" spans="1:5" ht="15" customHeight="1" outlineLevel="2" x14ac:dyDescent="0.25">
      <c r="A1502" s="3" t="str">
        <f>HYPERLINK("http://mystore1.ru/price_items/search?utf8=%E2%9C%93&amp;oem=2725RGNE5RD","2725RGNE5RD")</f>
        <v>2725RGNE5RD</v>
      </c>
      <c r="B1502" s="1" t="s">
        <v>2932</v>
      </c>
      <c r="C1502" s="9" t="s">
        <v>120</v>
      </c>
      <c r="D1502" s="14" t="s">
        <v>2933</v>
      </c>
      <c r="E1502" s="9" t="s">
        <v>11</v>
      </c>
    </row>
    <row r="1503" spans="1:5" ht="15" customHeight="1" outlineLevel="2" x14ac:dyDescent="0.25">
      <c r="A1503" s="3" t="str">
        <f>HYPERLINK("http://mystore1.ru/price_items/search?utf8=%E2%9C%93&amp;oem=2725RGNH5FD","2725RGNH5FD")</f>
        <v>2725RGNH5FD</v>
      </c>
      <c r="B1503" s="1" t="s">
        <v>2934</v>
      </c>
      <c r="C1503" s="9" t="s">
        <v>120</v>
      </c>
      <c r="D1503" s="14" t="s">
        <v>2935</v>
      </c>
      <c r="E1503" s="9" t="s">
        <v>11</v>
      </c>
    </row>
    <row r="1504" spans="1:5" ht="15" customHeight="1" outlineLevel="2" x14ac:dyDescent="0.25">
      <c r="A1504" s="3" t="str">
        <f>HYPERLINK("http://mystore1.ru/price_items/search?utf8=%E2%9C%93&amp;oem=2725RGNH5RD","2725RGNH5RD")</f>
        <v>2725RGNH5RD</v>
      </c>
      <c r="B1504" s="1" t="s">
        <v>2936</v>
      </c>
      <c r="C1504" s="9" t="s">
        <v>120</v>
      </c>
      <c r="D1504" s="14" t="s">
        <v>2937</v>
      </c>
      <c r="E1504" s="9" t="s">
        <v>11</v>
      </c>
    </row>
    <row r="1505" spans="1:5" ht="15" customHeight="1" outlineLevel="2" x14ac:dyDescent="0.25">
      <c r="A1505" s="3" t="str">
        <f>HYPERLINK("http://mystore1.ru/price_items/search?utf8=%E2%9C%93&amp;oem=2725RGSE5RD1J","2725RGSE5RD1J")</f>
        <v>2725RGSE5RD1J</v>
      </c>
      <c r="B1505" s="1" t="s">
        <v>2938</v>
      </c>
      <c r="C1505" s="9" t="s">
        <v>120</v>
      </c>
      <c r="D1505" s="14" t="s">
        <v>2939</v>
      </c>
      <c r="E1505" s="9" t="s">
        <v>11</v>
      </c>
    </row>
    <row r="1506" spans="1:5" ht="15" customHeight="1" outlineLevel="2" x14ac:dyDescent="0.25">
      <c r="A1506" s="3" t="str">
        <f>HYPERLINK("http://mystore1.ru/price_items/search?utf8=%E2%9C%93&amp;oem=2725RGSE5RQ","2725RGSE5RQ")</f>
        <v>2725RGSE5RQ</v>
      </c>
      <c r="B1506" s="1" t="s">
        <v>2940</v>
      </c>
      <c r="C1506" s="9" t="s">
        <v>120</v>
      </c>
      <c r="D1506" s="14" t="s">
        <v>2941</v>
      </c>
      <c r="E1506" s="9" t="s">
        <v>11</v>
      </c>
    </row>
    <row r="1507" spans="1:5" outlineLevel="1" x14ac:dyDescent="0.25">
      <c r="A1507" s="2"/>
      <c r="B1507" s="6" t="s">
        <v>2942</v>
      </c>
      <c r="C1507" s="8"/>
      <c r="D1507" s="8"/>
      <c r="E1507" s="8"/>
    </row>
    <row r="1508" spans="1:5" ht="15" customHeight="1" outlineLevel="2" x14ac:dyDescent="0.25">
      <c r="A1508" s="3" t="str">
        <f>HYPERLINK("http://mystore1.ru/price_items/search?utf8=%E2%9C%93&amp;oem=2729ACCMV1P","2729ACCMV1P")</f>
        <v>2729ACCMV1P</v>
      </c>
      <c r="B1508" s="1" t="s">
        <v>2943</v>
      </c>
      <c r="C1508" s="9" t="s">
        <v>394</v>
      </c>
      <c r="D1508" s="14" t="s">
        <v>2944</v>
      </c>
      <c r="E1508" s="9" t="s">
        <v>8</v>
      </c>
    </row>
    <row r="1509" spans="1:5" ht="15" customHeight="1" outlineLevel="2" x14ac:dyDescent="0.25">
      <c r="A1509" s="3" t="str">
        <f>HYPERLINK("http://mystore1.ru/price_items/search?utf8=%E2%9C%93&amp;oem=2729ACCV","2729ACCV")</f>
        <v>2729ACCV</v>
      </c>
      <c r="B1509" s="1" t="s">
        <v>2945</v>
      </c>
      <c r="C1509" s="9" t="s">
        <v>2946</v>
      </c>
      <c r="D1509" s="14" t="s">
        <v>2947</v>
      </c>
      <c r="E1509" s="9" t="s">
        <v>8</v>
      </c>
    </row>
    <row r="1510" spans="1:5" ht="15" customHeight="1" outlineLevel="2" x14ac:dyDescent="0.25">
      <c r="A1510" s="3" t="str">
        <f>HYPERLINK("http://mystore1.ru/price_items/search?utf8=%E2%9C%93&amp;oem=2729AGSV","2729AGSV")</f>
        <v>2729AGSV</v>
      </c>
      <c r="B1510" s="1" t="s">
        <v>2948</v>
      </c>
      <c r="C1510" s="9" t="s">
        <v>2946</v>
      </c>
      <c r="D1510" s="14" t="s">
        <v>2949</v>
      </c>
      <c r="E1510" s="9" t="s">
        <v>8</v>
      </c>
    </row>
    <row r="1511" spans="1:5" ht="15" customHeight="1" outlineLevel="2" x14ac:dyDescent="0.25">
      <c r="A1511" s="3" t="str">
        <f>HYPERLINK("http://mystore1.ru/price_items/search?utf8=%E2%9C%93&amp;oem=2729ASMV","2729ASMV")</f>
        <v>2729ASMV</v>
      </c>
      <c r="B1511" s="1" t="s">
        <v>2950</v>
      </c>
      <c r="C1511" s="9" t="s">
        <v>25</v>
      </c>
      <c r="D1511" s="14" t="s">
        <v>2951</v>
      </c>
      <c r="E1511" s="9" t="s">
        <v>27</v>
      </c>
    </row>
    <row r="1512" spans="1:5" ht="15" customHeight="1" outlineLevel="2" x14ac:dyDescent="0.25">
      <c r="A1512" s="3" t="str">
        <f>HYPERLINK("http://mystore1.ru/price_items/search?utf8=%E2%9C%93&amp;oem=2729BGDVB","2729BGDVB")</f>
        <v>2729BGDVB</v>
      </c>
      <c r="B1512" s="1" t="s">
        <v>2952</v>
      </c>
      <c r="C1512" s="9" t="s">
        <v>2946</v>
      </c>
      <c r="D1512" s="14" t="s">
        <v>2953</v>
      </c>
      <c r="E1512" s="9" t="s">
        <v>30</v>
      </c>
    </row>
    <row r="1513" spans="1:5" ht="15" customHeight="1" outlineLevel="2" x14ac:dyDescent="0.25">
      <c r="A1513" s="3" t="str">
        <f>HYPERLINK("http://mystore1.ru/price_items/search?utf8=%E2%9C%93&amp;oem=2729BGSVB","2729BGSVB")</f>
        <v>2729BGSVB</v>
      </c>
      <c r="B1513" s="1" t="s">
        <v>2954</v>
      </c>
      <c r="C1513" s="9" t="s">
        <v>2946</v>
      </c>
      <c r="D1513" s="14" t="s">
        <v>2955</v>
      </c>
      <c r="E1513" s="9" t="s">
        <v>30</v>
      </c>
    </row>
    <row r="1514" spans="1:5" ht="15" customHeight="1" outlineLevel="2" x14ac:dyDescent="0.25">
      <c r="A1514" s="3" t="str">
        <f>HYPERLINK("http://mystore1.ru/price_items/search?utf8=%E2%9C%93&amp;oem=2729LGSV5FD","2729LGSV5FD")</f>
        <v>2729LGSV5FD</v>
      </c>
      <c r="B1514" s="1" t="s">
        <v>2956</v>
      </c>
      <c r="C1514" s="9" t="s">
        <v>2946</v>
      </c>
      <c r="D1514" s="14" t="s">
        <v>2957</v>
      </c>
      <c r="E1514" s="9" t="s">
        <v>11</v>
      </c>
    </row>
    <row r="1515" spans="1:5" ht="15" customHeight="1" outlineLevel="2" x14ac:dyDescent="0.25">
      <c r="A1515" s="3" t="str">
        <f>HYPERLINK("http://mystore1.ru/price_items/search?utf8=%E2%9C%93&amp;oem=2729LGSV5FQ","2729LGSV5FQ")</f>
        <v>2729LGSV5FQ</v>
      </c>
      <c r="B1515" s="1" t="s">
        <v>2958</v>
      </c>
      <c r="C1515" s="9" t="s">
        <v>2946</v>
      </c>
      <c r="D1515" s="14" t="s">
        <v>2959</v>
      </c>
      <c r="E1515" s="9" t="s">
        <v>11</v>
      </c>
    </row>
    <row r="1516" spans="1:5" ht="15" customHeight="1" outlineLevel="2" x14ac:dyDescent="0.25">
      <c r="A1516" s="3" t="str">
        <f>HYPERLINK("http://mystore1.ru/price_items/search?utf8=%E2%9C%93&amp;oem=2729LGSV5RD","2729LGSV5RD")</f>
        <v>2729LGSV5RD</v>
      </c>
      <c r="B1516" s="1" t="s">
        <v>2960</v>
      </c>
      <c r="C1516" s="9" t="s">
        <v>2946</v>
      </c>
      <c r="D1516" s="14" t="s">
        <v>2961</v>
      </c>
      <c r="E1516" s="9" t="s">
        <v>11</v>
      </c>
    </row>
    <row r="1517" spans="1:5" ht="15" customHeight="1" outlineLevel="2" x14ac:dyDescent="0.25">
      <c r="A1517" s="3" t="str">
        <f>HYPERLINK("http://mystore1.ru/price_items/search?utf8=%E2%9C%93&amp;oem=2729LGSV5RQ","2729LGSV5RQ")</f>
        <v>2729LGSV5RQ</v>
      </c>
      <c r="B1517" s="1" t="s">
        <v>2962</v>
      </c>
      <c r="C1517" s="9" t="s">
        <v>2946</v>
      </c>
      <c r="D1517" s="14" t="s">
        <v>2963</v>
      </c>
      <c r="E1517" s="9" t="s">
        <v>11</v>
      </c>
    </row>
    <row r="1518" spans="1:5" ht="15" customHeight="1" outlineLevel="2" x14ac:dyDescent="0.25">
      <c r="A1518" s="3" t="str">
        <f>HYPERLINK("http://mystore1.ru/price_items/search?utf8=%E2%9C%93&amp;oem=2729RGSV5FD","2729RGSV5FD")</f>
        <v>2729RGSV5FD</v>
      </c>
      <c r="B1518" s="1" t="s">
        <v>2964</v>
      </c>
      <c r="C1518" s="9" t="s">
        <v>2946</v>
      </c>
      <c r="D1518" s="14" t="s">
        <v>2965</v>
      </c>
      <c r="E1518" s="9" t="s">
        <v>11</v>
      </c>
    </row>
    <row r="1519" spans="1:5" ht="15" customHeight="1" outlineLevel="2" x14ac:dyDescent="0.25">
      <c r="A1519" s="3" t="str">
        <f>HYPERLINK("http://mystore1.ru/price_items/search?utf8=%E2%9C%93&amp;oem=2729RGSV5RD","2729RGSV5RD")</f>
        <v>2729RGSV5RD</v>
      </c>
      <c r="B1519" s="1" t="s">
        <v>2966</v>
      </c>
      <c r="C1519" s="9" t="s">
        <v>2946</v>
      </c>
      <c r="D1519" s="14" t="s">
        <v>2967</v>
      </c>
      <c r="E1519" s="9" t="s">
        <v>11</v>
      </c>
    </row>
    <row r="1520" spans="1:5" ht="15" customHeight="1" outlineLevel="2" x14ac:dyDescent="0.25">
      <c r="A1520" s="3" t="str">
        <f>HYPERLINK("http://mystore1.ru/price_items/search?utf8=%E2%9C%93&amp;oem=2729RGSV5RQ","2729RGSV5RQ")</f>
        <v>2729RGSV5RQ</v>
      </c>
      <c r="B1520" s="1" t="s">
        <v>2968</v>
      </c>
      <c r="C1520" s="9" t="s">
        <v>2946</v>
      </c>
      <c r="D1520" s="14" t="s">
        <v>2969</v>
      </c>
      <c r="E1520" s="9" t="s">
        <v>11</v>
      </c>
    </row>
    <row r="1521" spans="1:5" outlineLevel="1" x14ac:dyDescent="0.25">
      <c r="A1521" s="2"/>
      <c r="B1521" s="6" t="s">
        <v>2970</v>
      </c>
      <c r="C1521" s="8"/>
      <c r="D1521" s="8"/>
      <c r="E1521" s="8"/>
    </row>
    <row r="1522" spans="1:5" outlineLevel="2" x14ac:dyDescent="0.25">
      <c r="A1522" s="3" t="str">
        <f>HYPERLINK("http://mystore1.ru/price_items/search?utf8=%E2%9C%93&amp;oem=2719ACL","2719ACL")</f>
        <v>2719ACL</v>
      </c>
      <c r="B1522" s="1" t="s">
        <v>2971</v>
      </c>
      <c r="C1522" s="9" t="s">
        <v>335</v>
      </c>
      <c r="D1522" s="14" t="s">
        <v>2972</v>
      </c>
      <c r="E1522" s="9" t="s">
        <v>8</v>
      </c>
    </row>
    <row r="1523" spans="1:5" outlineLevel="2" x14ac:dyDescent="0.25">
      <c r="A1523" s="3" t="str">
        <f>HYPERLINK("http://mystore1.ru/price_items/search?utf8=%E2%9C%93&amp;oem=2719AGN","2719AGN")</f>
        <v>2719AGN</v>
      </c>
      <c r="B1523" s="1" t="s">
        <v>2973</v>
      </c>
      <c r="C1523" s="9" t="s">
        <v>335</v>
      </c>
      <c r="D1523" s="14" t="s">
        <v>2974</v>
      </c>
      <c r="E1523" s="9" t="s">
        <v>8</v>
      </c>
    </row>
    <row r="1524" spans="1:5" outlineLevel="2" x14ac:dyDescent="0.25">
      <c r="A1524" s="3" t="str">
        <f>HYPERLINK("http://mystore1.ru/price_items/search?utf8=%E2%9C%93&amp;oem=2719AGNBL","2719AGNBL")</f>
        <v>2719AGNBL</v>
      </c>
      <c r="B1524" s="1" t="s">
        <v>2975</v>
      </c>
      <c r="C1524" s="9" t="s">
        <v>335</v>
      </c>
      <c r="D1524" s="14" t="s">
        <v>2976</v>
      </c>
      <c r="E1524" s="9" t="s">
        <v>8</v>
      </c>
    </row>
    <row r="1525" spans="1:5" outlineLevel="2" x14ac:dyDescent="0.25">
      <c r="A1525" s="3" t="str">
        <f>HYPERLINK("http://mystore1.ru/price_items/search?utf8=%E2%9C%93&amp;oem=2719AGNGN","2719AGNGN")</f>
        <v>2719AGNGN</v>
      </c>
      <c r="B1525" s="1" t="s">
        <v>2977</v>
      </c>
      <c r="C1525" s="9" t="s">
        <v>335</v>
      </c>
      <c r="D1525" s="14" t="s">
        <v>2978</v>
      </c>
      <c r="E1525" s="9" t="s">
        <v>8</v>
      </c>
    </row>
    <row r="1526" spans="1:5" outlineLevel="2" x14ac:dyDescent="0.25">
      <c r="A1526" s="3" t="str">
        <f>HYPERLINK("http://mystore1.ru/price_items/search?utf8=%E2%9C%93&amp;oem=2719AKMH","2719AKMH")</f>
        <v>2719AKMH</v>
      </c>
      <c r="B1526" s="1" t="s">
        <v>2979</v>
      </c>
      <c r="C1526" s="9" t="s">
        <v>25</v>
      </c>
      <c r="D1526" s="14" t="s">
        <v>2980</v>
      </c>
      <c r="E1526" s="9" t="s">
        <v>27</v>
      </c>
    </row>
    <row r="1527" spans="1:5" outlineLevel="2" x14ac:dyDescent="0.25">
      <c r="A1527" s="3" t="str">
        <f>HYPERLINK("http://mystore1.ru/price_items/search?utf8=%E2%9C%93&amp;oem=2719BCLH","2719BCLH")</f>
        <v>2719BCLH</v>
      </c>
      <c r="B1527" s="1" t="s">
        <v>2981</v>
      </c>
      <c r="C1527" s="9" t="s">
        <v>335</v>
      </c>
      <c r="D1527" s="14" t="s">
        <v>2982</v>
      </c>
      <c r="E1527" s="9" t="s">
        <v>30</v>
      </c>
    </row>
    <row r="1528" spans="1:5" outlineLevel="2" x14ac:dyDescent="0.25">
      <c r="A1528" s="3" t="str">
        <f>HYPERLINK("http://mystore1.ru/price_items/search?utf8=%E2%9C%93&amp;oem=2719BGNE","2719BGNE")</f>
        <v>2719BGNE</v>
      </c>
      <c r="B1528" s="1" t="s">
        <v>2983</v>
      </c>
      <c r="C1528" s="9" t="s">
        <v>2984</v>
      </c>
      <c r="D1528" s="14" t="s">
        <v>2985</v>
      </c>
      <c r="E1528" s="9" t="s">
        <v>30</v>
      </c>
    </row>
    <row r="1529" spans="1:5" outlineLevel="2" x14ac:dyDescent="0.25">
      <c r="A1529" s="3" t="str">
        <f>HYPERLINK("http://mystore1.ru/price_items/search?utf8=%E2%9C%93&amp;oem=2719BGNH","2719BGNH")</f>
        <v>2719BGNH</v>
      </c>
      <c r="B1529" s="1" t="s">
        <v>2986</v>
      </c>
      <c r="C1529" s="9" t="s">
        <v>335</v>
      </c>
      <c r="D1529" s="14" t="s">
        <v>2987</v>
      </c>
      <c r="E1529" s="9" t="s">
        <v>30</v>
      </c>
    </row>
    <row r="1530" spans="1:5" outlineLevel="2" x14ac:dyDescent="0.25">
      <c r="A1530" s="3" t="str">
        <f>HYPERLINK("http://mystore1.ru/price_items/search?utf8=%E2%9C%93&amp;oem=2719BSMH","2719BSMH")</f>
        <v>2719BSMH</v>
      </c>
      <c r="B1530" s="1" t="s">
        <v>2988</v>
      </c>
      <c r="C1530" s="9" t="s">
        <v>25</v>
      </c>
      <c r="D1530" s="14" t="s">
        <v>2989</v>
      </c>
      <c r="E1530" s="9" t="s">
        <v>27</v>
      </c>
    </row>
    <row r="1531" spans="1:5" outlineLevel="2" x14ac:dyDescent="0.25">
      <c r="A1531" s="3" t="str">
        <f>HYPERLINK("http://mystore1.ru/price_items/search?utf8=%E2%9C%93&amp;oem=2719LCLH5FD","2719LCLH5FD")</f>
        <v>2719LCLH5FD</v>
      </c>
      <c r="B1531" s="1" t="s">
        <v>2990</v>
      </c>
      <c r="C1531" s="9" t="s">
        <v>335</v>
      </c>
      <c r="D1531" s="14" t="s">
        <v>2991</v>
      </c>
      <c r="E1531" s="9" t="s">
        <v>11</v>
      </c>
    </row>
    <row r="1532" spans="1:5" outlineLevel="2" x14ac:dyDescent="0.25">
      <c r="A1532" s="3" t="str">
        <f>HYPERLINK("http://mystore1.ru/price_items/search?utf8=%E2%9C%93&amp;oem=2719LGNH3FD","2719LGNH3FD")</f>
        <v>2719LGNH3FD</v>
      </c>
      <c r="B1532" s="1" t="s">
        <v>2992</v>
      </c>
      <c r="C1532" s="9" t="s">
        <v>335</v>
      </c>
      <c r="D1532" s="14" t="s">
        <v>2993</v>
      </c>
      <c r="E1532" s="9" t="s">
        <v>11</v>
      </c>
    </row>
    <row r="1533" spans="1:5" outlineLevel="2" x14ac:dyDescent="0.25">
      <c r="A1533" s="3" t="str">
        <f>HYPERLINK("http://mystore1.ru/price_items/search?utf8=%E2%9C%93&amp;oem=2719LGNH5FD","2719LGNH5FD")</f>
        <v>2719LGNH5FD</v>
      </c>
      <c r="B1533" s="1" t="s">
        <v>2994</v>
      </c>
      <c r="C1533" s="9" t="s">
        <v>335</v>
      </c>
      <c r="D1533" s="14" t="s">
        <v>2995</v>
      </c>
      <c r="E1533" s="9" t="s">
        <v>11</v>
      </c>
    </row>
    <row r="1534" spans="1:5" outlineLevel="2" x14ac:dyDescent="0.25">
      <c r="A1534" s="3" t="str">
        <f>HYPERLINK("http://mystore1.ru/price_items/search?utf8=%E2%9C%93&amp;oem=2719LGNH5RD","2719LGNH5RD")</f>
        <v>2719LGNH5RD</v>
      </c>
      <c r="B1534" s="1" t="s">
        <v>2996</v>
      </c>
      <c r="C1534" s="9" t="s">
        <v>335</v>
      </c>
      <c r="D1534" s="14" t="s">
        <v>2997</v>
      </c>
      <c r="E1534" s="9" t="s">
        <v>11</v>
      </c>
    </row>
    <row r="1535" spans="1:5" outlineLevel="2" x14ac:dyDescent="0.25">
      <c r="A1535" s="3" t="str">
        <f>HYPERLINK("http://mystore1.ru/price_items/search?utf8=%E2%9C%93&amp;oem=2719LGNH5RQ","2719LGNH5RQ")</f>
        <v>2719LGNH5RQ</v>
      </c>
      <c r="B1535" s="1" t="s">
        <v>2998</v>
      </c>
      <c r="C1535" s="9" t="s">
        <v>335</v>
      </c>
      <c r="D1535" s="14" t="s">
        <v>2999</v>
      </c>
      <c r="E1535" s="9" t="s">
        <v>11</v>
      </c>
    </row>
    <row r="1536" spans="1:5" outlineLevel="2" x14ac:dyDescent="0.25">
      <c r="A1536" s="3" t="str">
        <f>HYPERLINK("http://mystore1.ru/price_items/search?utf8=%E2%9C%93&amp;oem=2719RCLH5FD","2719RCLH5FD")</f>
        <v>2719RCLH5FD</v>
      </c>
      <c r="B1536" s="1" t="s">
        <v>3000</v>
      </c>
      <c r="C1536" s="9" t="s">
        <v>335</v>
      </c>
      <c r="D1536" s="14" t="s">
        <v>3001</v>
      </c>
      <c r="E1536" s="9" t="s">
        <v>11</v>
      </c>
    </row>
    <row r="1537" spans="1:5" outlineLevel="2" x14ac:dyDescent="0.25">
      <c r="A1537" s="3" t="str">
        <f>HYPERLINK("http://mystore1.ru/price_items/search?utf8=%E2%9C%93&amp;oem=2719RGNH3FD","2719RGNH3FD")</f>
        <v>2719RGNH3FD</v>
      </c>
      <c r="B1537" s="1" t="s">
        <v>3002</v>
      </c>
      <c r="C1537" s="9" t="s">
        <v>335</v>
      </c>
      <c r="D1537" s="14" t="s">
        <v>3003</v>
      </c>
      <c r="E1537" s="9" t="s">
        <v>11</v>
      </c>
    </row>
    <row r="1538" spans="1:5" outlineLevel="2" x14ac:dyDescent="0.25">
      <c r="A1538" s="3" t="str">
        <f>HYPERLINK("http://mystore1.ru/price_items/search?utf8=%E2%9C%93&amp;oem=2719RGNH5FD","2719RGNH5FD")</f>
        <v>2719RGNH5FD</v>
      </c>
      <c r="B1538" s="1" t="s">
        <v>3004</v>
      </c>
      <c r="C1538" s="9" t="s">
        <v>335</v>
      </c>
      <c r="D1538" s="14" t="s">
        <v>3005</v>
      </c>
      <c r="E1538" s="9" t="s">
        <v>11</v>
      </c>
    </row>
    <row r="1539" spans="1:5" outlineLevel="2" x14ac:dyDescent="0.25">
      <c r="A1539" s="3" t="str">
        <f>HYPERLINK("http://mystore1.ru/price_items/search?utf8=%E2%9C%93&amp;oem=2719RGNH5RD","2719RGNH5RD")</f>
        <v>2719RGNH5RD</v>
      </c>
      <c r="B1539" s="1" t="s">
        <v>3006</v>
      </c>
      <c r="C1539" s="9" t="s">
        <v>335</v>
      </c>
      <c r="D1539" s="14" t="s">
        <v>3007</v>
      </c>
      <c r="E1539" s="9" t="s">
        <v>11</v>
      </c>
    </row>
    <row r="1540" spans="1:5" outlineLevel="2" x14ac:dyDescent="0.25">
      <c r="A1540" s="3" t="str">
        <f>HYPERLINK("http://mystore1.ru/price_items/search?utf8=%E2%9C%93&amp;oem=2719RGNH5RQ","2719RGNH5RQ")</f>
        <v>2719RGNH5RQ</v>
      </c>
      <c r="B1540" s="1" t="s">
        <v>3008</v>
      </c>
      <c r="C1540" s="9" t="s">
        <v>335</v>
      </c>
      <c r="D1540" s="14" t="s">
        <v>3009</v>
      </c>
      <c r="E1540" s="9" t="s">
        <v>11</v>
      </c>
    </row>
    <row r="1541" spans="1:5" x14ac:dyDescent="0.25">
      <c r="A1541" s="61" t="s">
        <v>3010</v>
      </c>
      <c r="B1541" s="61"/>
      <c r="C1541" s="61"/>
      <c r="D1541" s="61"/>
      <c r="E1541" s="61"/>
    </row>
    <row r="1542" spans="1:5" outlineLevel="1" x14ac:dyDescent="0.25">
      <c r="A1542" s="2"/>
      <c r="B1542" s="6" t="s">
        <v>3011</v>
      </c>
      <c r="C1542" s="8"/>
      <c r="D1542" s="8"/>
      <c r="E1542" s="8"/>
    </row>
    <row r="1543" spans="1:5" ht="15" customHeight="1" outlineLevel="2" x14ac:dyDescent="0.25">
      <c r="A1543" s="3" t="str">
        <f>HYPERLINK("http://mystore1.ru/price_items/search?utf8=%E2%9C%93&amp;oem=3013ACL","3013ACL")</f>
        <v>3013ACL</v>
      </c>
      <c r="B1543" s="1" t="s">
        <v>3012</v>
      </c>
      <c r="C1543" s="9" t="s">
        <v>1888</v>
      </c>
      <c r="D1543" s="14" t="s">
        <v>3013</v>
      </c>
      <c r="E1543" s="9" t="s">
        <v>8</v>
      </c>
    </row>
    <row r="1544" spans="1:5" ht="15" customHeight="1" outlineLevel="2" x14ac:dyDescent="0.25">
      <c r="A1544" s="3" t="str">
        <f>HYPERLINK("http://mystore1.ru/price_items/search?utf8=%E2%9C%93&amp;oem=3013AGNBL","3013AGNBL")</f>
        <v>3013AGNBL</v>
      </c>
      <c r="B1544" s="1" t="s">
        <v>3014</v>
      </c>
      <c r="C1544" s="9" t="s">
        <v>1888</v>
      </c>
      <c r="D1544" s="14" t="s">
        <v>3015</v>
      </c>
      <c r="E1544" s="9" t="s">
        <v>8</v>
      </c>
    </row>
    <row r="1545" spans="1:5" ht="15" customHeight="1" outlineLevel="2" x14ac:dyDescent="0.25">
      <c r="A1545" s="3" t="str">
        <f>HYPERLINK("http://mystore1.ru/price_items/search?utf8=%E2%9C%93&amp;oem=3013BCLLLU","3013BCLLLU")</f>
        <v>3013BCLLLU</v>
      </c>
      <c r="B1545" s="1" t="s">
        <v>3016</v>
      </c>
      <c r="C1545" s="9" t="s">
        <v>1888</v>
      </c>
      <c r="D1545" s="14" t="s">
        <v>3017</v>
      </c>
      <c r="E1545" s="9" t="s">
        <v>30</v>
      </c>
    </row>
    <row r="1546" spans="1:5" ht="15" customHeight="1" outlineLevel="2" x14ac:dyDescent="0.25">
      <c r="A1546" s="3" t="str">
        <f>HYPERLINK("http://mystore1.ru/price_items/search?utf8=%E2%9C%93&amp;oem=3013BCLLRU","3013BCLLRU")</f>
        <v>3013BCLLRU</v>
      </c>
      <c r="B1546" s="1" t="s">
        <v>3018</v>
      </c>
      <c r="C1546" s="9" t="s">
        <v>1888</v>
      </c>
      <c r="D1546" s="14" t="s">
        <v>3019</v>
      </c>
      <c r="E1546" s="9" t="s">
        <v>30</v>
      </c>
    </row>
    <row r="1547" spans="1:5" ht="15" customHeight="1" outlineLevel="2" x14ac:dyDescent="0.25">
      <c r="A1547" s="3" t="str">
        <f>HYPERLINK("http://mystore1.ru/price_items/search?utf8=%E2%9C%93&amp;oem=3013BCLLU1J","3013BCLLU1J")</f>
        <v>3013BCLLU1J</v>
      </c>
      <c r="B1547" s="1" t="s">
        <v>3020</v>
      </c>
      <c r="C1547" s="9" t="s">
        <v>1888</v>
      </c>
      <c r="D1547" s="14" t="s">
        <v>3021</v>
      </c>
      <c r="E1547" s="9" t="s">
        <v>30</v>
      </c>
    </row>
    <row r="1548" spans="1:5" ht="15" customHeight="1" outlineLevel="2" x14ac:dyDescent="0.25">
      <c r="A1548" s="3" t="str">
        <f>HYPERLINK("http://mystore1.ru/price_items/search?utf8=%E2%9C%93&amp;oem=3013BGNLRU","3013BGNLRU")</f>
        <v>3013BGNLRU</v>
      </c>
      <c r="B1548" s="1" t="s">
        <v>3022</v>
      </c>
      <c r="C1548" s="9" t="s">
        <v>1888</v>
      </c>
      <c r="D1548" s="14" t="s">
        <v>3023</v>
      </c>
      <c r="E1548" s="9" t="s">
        <v>30</v>
      </c>
    </row>
    <row r="1549" spans="1:5" ht="15" customHeight="1" outlineLevel="2" x14ac:dyDescent="0.25">
      <c r="A1549" s="3" t="str">
        <f>HYPERLINK("http://mystore1.ru/price_items/search?utf8=%E2%9C%93&amp;oem=3013BGNLU1J","3013BGNLU1J")</f>
        <v>3013BGNLU1J</v>
      </c>
      <c r="B1549" s="1" t="s">
        <v>3024</v>
      </c>
      <c r="C1549" s="9" t="s">
        <v>1888</v>
      </c>
      <c r="D1549" s="14" t="s">
        <v>3025</v>
      </c>
      <c r="E1549" s="9" t="s">
        <v>30</v>
      </c>
    </row>
    <row r="1550" spans="1:5" ht="15" customHeight="1" outlineLevel="2" x14ac:dyDescent="0.25">
      <c r="A1550" s="3" t="str">
        <f>HYPERLINK("http://mystore1.ru/price_items/search?utf8=%E2%9C%93&amp;oem=3013LCLL2FD","3013LCLL2FD")</f>
        <v>3013LCLL2FD</v>
      </c>
      <c r="B1550" s="1" t="s">
        <v>3026</v>
      </c>
      <c r="C1550" s="9" t="s">
        <v>1888</v>
      </c>
      <c r="D1550" s="14" t="s">
        <v>3027</v>
      </c>
      <c r="E1550" s="9" t="s">
        <v>11</v>
      </c>
    </row>
    <row r="1551" spans="1:5" ht="15" customHeight="1" outlineLevel="2" x14ac:dyDescent="0.25">
      <c r="A1551" s="3" t="str">
        <f>HYPERLINK("http://mystore1.ru/price_items/search?utf8=%E2%9C%93&amp;oem=3013LCLL2FV","3013LCLL2FV")</f>
        <v>3013LCLL2FV</v>
      </c>
      <c r="B1551" s="1" t="s">
        <v>3028</v>
      </c>
      <c r="C1551" s="9" t="s">
        <v>1888</v>
      </c>
      <c r="D1551" s="14" t="s">
        <v>3029</v>
      </c>
      <c r="E1551" s="9" t="s">
        <v>11</v>
      </c>
    </row>
    <row r="1552" spans="1:5" ht="15" customHeight="1" outlineLevel="2" x14ac:dyDescent="0.25">
      <c r="A1552" s="3" t="str">
        <f>HYPERLINK("http://mystore1.ru/price_items/search?utf8=%E2%9C%93&amp;oem=3013LGNL2FD","3013LGNL2FD")</f>
        <v>3013LGNL2FD</v>
      </c>
      <c r="B1552" s="1" t="s">
        <v>3030</v>
      </c>
      <c r="C1552" s="9" t="s">
        <v>1888</v>
      </c>
      <c r="D1552" s="14" t="s">
        <v>3031</v>
      </c>
      <c r="E1552" s="9" t="s">
        <v>11</v>
      </c>
    </row>
    <row r="1553" spans="1:5" ht="15" customHeight="1" outlineLevel="2" x14ac:dyDescent="0.25">
      <c r="A1553" s="3" t="str">
        <f>HYPERLINK("http://mystore1.ru/price_items/search?utf8=%E2%9C%93&amp;oem=3013LGNL2FV","3013LGNL2FV")</f>
        <v>3013LGNL2FV</v>
      </c>
      <c r="B1553" s="1" t="s">
        <v>3032</v>
      </c>
      <c r="C1553" s="9" t="s">
        <v>1888</v>
      </c>
      <c r="D1553" s="14" t="s">
        <v>3033</v>
      </c>
      <c r="E1553" s="9" t="s">
        <v>11</v>
      </c>
    </row>
    <row r="1554" spans="1:5" ht="15" customHeight="1" outlineLevel="2" x14ac:dyDescent="0.25">
      <c r="A1554" s="3" t="str">
        <f>HYPERLINK("http://mystore1.ru/price_items/search?utf8=%E2%9C%93&amp;oem=3013RCLL2FD","3013RCLL2FD")</f>
        <v>3013RCLL2FD</v>
      </c>
      <c r="B1554" s="1" t="s">
        <v>3034</v>
      </c>
      <c r="C1554" s="9" t="s">
        <v>1888</v>
      </c>
      <c r="D1554" s="14" t="s">
        <v>3035</v>
      </c>
      <c r="E1554" s="9" t="s">
        <v>11</v>
      </c>
    </row>
    <row r="1555" spans="1:5" ht="15" customHeight="1" outlineLevel="2" x14ac:dyDescent="0.25">
      <c r="A1555" s="3" t="str">
        <f>HYPERLINK("http://mystore1.ru/price_items/search?utf8=%E2%9C%93&amp;oem=3013RCLL2FV","3013RCLL2FV")</f>
        <v>3013RCLL2FV</v>
      </c>
      <c r="B1555" s="1" t="s">
        <v>3036</v>
      </c>
      <c r="C1555" s="9" t="s">
        <v>1888</v>
      </c>
      <c r="D1555" s="14" t="s">
        <v>3037</v>
      </c>
      <c r="E1555" s="9" t="s">
        <v>11</v>
      </c>
    </row>
    <row r="1556" spans="1:5" ht="15" customHeight="1" outlineLevel="2" x14ac:dyDescent="0.25">
      <c r="A1556" s="3" t="str">
        <f>HYPERLINK("http://mystore1.ru/price_items/search?utf8=%E2%9C%93&amp;oem=3013RGNL2FD","3013RGNL2FD")</f>
        <v>3013RGNL2FD</v>
      </c>
      <c r="B1556" s="1" t="s">
        <v>3038</v>
      </c>
      <c r="C1556" s="9" t="s">
        <v>1888</v>
      </c>
      <c r="D1556" s="14" t="s">
        <v>3039</v>
      </c>
      <c r="E1556" s="9" t="s">
        <v>11</v>
      </c>
    </row>
    <row r="1557" spans="1:5" ht="15" customHeight="1" outlineLevel="2" x14ac:dyDescent="0.25">
      <c r="A1557" s="3" t="str">
        <f>HYPERLINK("http://mystore1.ru/price_items/search?utf8=%E2%9C%93&amp;oem=3013RGNL2FV","3013RGNL2FV")</f>
        <v>3013RGNL2FV</v>
      </c>
      <c r="B1557" s="1" t="s">
        <v>3040</v>
      </c>
      <c r="C1557" s="9" t="s">
        <v>1888</v>
      </c>
      <c r="D1557" s="14" t="s">
        <v>3041</v>
      </c>
      <c r="E1557" s="9" t="s">
        <v>11</v>
      </c>
    </row>
    <row r="1558" spans="1:5" outlineLevel="1" x14ac:dyDescent="0.25">
      <c r="A1558" s="2"/>
      <c r="B1558" s="6" t="s">
        <v>3042</v>
      </c>
      <c r="C1558" s="8"/>
      <c r="D1558" s="8"/>
      <c r="E1558" s="8"/>
    </row>
    <row r="1559" spans="1:5" ht="15" customHeight="1" outlineLevel="2" x14ac:dyDescent="0.25">
      <c r="A1559" s="3" t="str">
        <f>HYPERLINK("http://mystore1.ru/price_items/search?utf8=%E2%9C%93&amp;oem=3001AGNBL","3001AGNBL")</f>
        <v>3001AGNBL</v>
      </c>
      <c r="B1559" s="1" t="s">
        <v>3043</v>
      </c>
      <c r="C1559" s="9" t="s">
        <v>926</v>
      </c>
      <c r="D1559" s="14" t="s">
        <v>3044</v>
      </c>
      <c r="E1559" s="9" t="s">
        <v>8</v>
      </c>
    </row>
    <row r="1560" spans="1:5" ht="15" customHeight="1" outlineLevel="2" x14ac:dyDescent="0.25">
      <c r="A1560" s="3" t="str">
        <f>HYPERLINK("http://mystore1.ru/price_items/search?utf8=%E2%9C%93&amp;oem=3001ASMS","3001ASMS")</f>
        <v>3001ASMS</v>
      </c>
      <c r="B1560" s="1" t="s">
        <v>3045</v>
      </c>
      <c r="C1560" s="9" t="s">
        <v>25</v>
      </c>
      <c r="D1560" s="14" t="s">
        <v>3046</v>
      </c>
      <c r="E1560" s="9" t="s">
        <v>27</v>
      </c>
    </row>
    <row r="1561" spans="1:5" ht="15" customHeight="1" outlineLevel="2" x14ac:dyDescent="0.25">
      <c r="A1561" s="3" t="str">
        <f>HYPERLINK("http://mystore1.ru/price_items/search?utf8=%E2%9C%93&amp;oem=3001BGNS","3001BGNS")</f>
        <v>3001BGNS</v>
      </c>
      <c r="B1561" s="1" t="s">
        <v>3047</v>
      </c>
      <c r="C1561" s="9" t="s">
        <v>926</v>
      </c>
      <c r="D1561" s="14" t="s">
        <v>3048</v>
      </c>
      <c r="E1561" s="9" t="s">
        <v>30</v>
      </c>
    </row>
    <row r="1562" spans="1:5" ht="15" customHeight="1" outlineLevel="2" x14ac:dyDescent="0.25">
      <c r="A1562" s="3" t="str">
        <f>HYPERLINK("http://mystore1.ru/price_items/search?utf8=%E2%9C%93&amp;oem=3001LGNS4FD","3001LGNS4FD")</f>
        <v>3001LGNS4FD</v>
      </c>
      <c r="B1562" s="1" t="s">
        <v>3049</v>
      </c>
      <c r="C1562" s="9" t="s">
        <v>926</v>
      </c>
      <c r="D1562" s="14" t="s">
        <v>3050</v>
      </c>
      <c r="E1562" s="9" t="s">
        <v>11</v>
      </c>
    </row>
    <row r="1563" spans="1:5" ht="15" customHeight="1" outlineLevel="2" x14ac:dyDescent="0.25">
      <c r="A1563" s="3" t="str">
        <f>HYPERLINK("http://mystore1.ru/price_items/search?utf8=%E2%9C%93&amp;oem=3001LGNS4RD","3001LGNS4RD")</f>
        <v>3001LGNS4RD</v>
      </c>
      <c r="B1563" s="1" t="s">
        <v>3051</v>
      </c>
      <c r="C1563" s="9" t="s">
        <v>926</v>
      </c>
      <c r="D1563" s="14" t="s">
        <v>3052</v>
      </c>
      <c r="E1563" s="9" t="s">
        <v>11</v>
      </c>
    </row>
    <row r="1564" spans="1:5" ht="15" customHeight="1" outlineLevel="2" x14ac:dyDescent="0.25">
      <c r="A1564" s="3" t="str">
        <f>HYPERLINK("http://mystore1.ru/price_items/search?utf8=%E2%9C%93&amp;oem=3001LGNS4RQZ","3001LGNS4RQZ")</f>
        <v>3001LGNS4RQZ</v>
      </c>
      <c r="B1564" s="1" t="s">
        <v>3053</v>
      </c>
      <c r="C1564" s="9" t="s">
        <v>926</v>
      </c>
      <c r="D1564" s="14" t="s">
        <v>3054</v>
      </c>
      <c r="E1564" s="9" t="s">
        <v>11</v>
      </c>
    </row>
    <row r="1565" spans="1:5" ht="15" customHeight="1" outlineLevel="2" x14ac:dyDescent="0.25">
      <c r="A1565" s="3" t="str">
        <f>HYPERLINK("http://mystore1.ru/price_items/search?utf8=%E2%9C%93&amp;oem=3001RGNS4FD","3001RGNS4FD")</f>
        <v>3001RGNS4FD</v>
      </c>
      <c r="B1565" s="1" t="s">
        <v>3055</v>
      </c>
      <c r="C1565" s="9" t="s">
        <v>926</v>
      </c>
      <c r="D1565" s="14" t="s">
        <v>3056</v>
      </c>
      <c r="E1565" s="9" t="s">
        <v>11</v>
      </c>
    </row>
    <row r="1566" spans="1:5" ht="15" customHeight="1" outlineLevel="2" x14ac:dyDescent="0.25">
      <c r="A1566" s="3" t="str">
        <f>HYPERLINK("http://mystore1.ru/price_items/search?utf8=%E2%9C%93&amp;oem=3001RGNS4RD","3001RGNS4RD")</f>
        <v>3001RGNS4RD</v>
      </c>
      <c r="B1566" s="1" t="s">
        <v>3057</v>
      </c>
      <c r="C1566" s="9" t="s">
        <v>926</v>
      </c>
      <c r="D1566" s="14" t="s">
        <v>3058</v>
      </c>
      <c r="E1566" s="9" t="s">
        <v>11</v>
      </c>
    </row>
    <row r="1567" spans="1:5" outlineLevel="1" x14ac:dyDescent="0.25">
      <c r="A1567" s="2"/>
      <c r="B1567" s="6" t="s">
        <v>3059</v>
      </c>
      <c r="C1567" s="8"/>
      <c r="D1567" s="8"/>
      <c r="E1567" s="8"/>
    </row>
    <row r="1568" spans="1:5" ht="15" customHeight="1" outlineLevel="2" x14ac:dyDescent="0.25">
      <c r="A1568" s="3" t="str">
        <f>HYPERLINK("http://mystore1.ru/price_items/search?utf8=%E2%9C%93&amp;oem=3003ACLBL","3003ACLBL")</f>
        <v>3003ACLBL</v>
      </c>
      <c r="B1568" s="1" t="s">
        <v>3060</v>
      </c>
      <c r="C1568" s="9" t="s">
        <v>3061</v>
      </c>
      <c r="D1568" s="14" t="s">
        <v>3062</v>
      </c>
      <c r="E1568" s="9" t="s">
        <v>8</v>
      </c>
    </row>
    <row r="1569" spans="1:5" ht="15" customHeight="1" outlineLevel="2" x14ac:dyDescent="0.25">
      <c r="A1569" s="3" t="str">
        <f>HYPERLINK("http://mystore1.ru/price_items/search?utf8=%E2%9C%93&amp;oem=3003ACLBL1C","3003ACLBL1C")</f>
        <v>3003ACLBL1C</v>
      </c>
      <c r="B1569" s="1" t="s">
        <v>3063</v>
      </c>
      <c r="C1569" s="9" t="s">
        <v>3061</v>
      </c>
      <c r="D1569" s="14" t="s">
        <v>3062</v>
      </c>
      <c r="E1569" s="9" t="s">
        <v>8</v>
      </c>
    </row>
    <row r="1570" spans="1:5" ht="15" customHeight="1" outlineLevel="2" x14ac:dyDescent="0.25">
      <c r="A1570" s="3" t="str">
        <f>HYPERLINK("http://mystore1.ru/price_items/search?utf8=%E2%9C%93&amp;oem=3003AGNBL","3003AGNBL")</f>
        <v>3003AGNBL</v>
      </c>
      <c r="B1570" s="1" t="s">
        <v>3064</v>
      </c>
      <c r="C1570" s="9" t="s">
        <v>3061</v>
      </c>
      <c r="D1570" s="14" t="s">
        <v>3065</v>
      </c>
      <c r="E1570" s="9" t="s">
        <v>8</v>
      </c>
    </row>
    <row r="1571" spans="1:5" ht="15" customHeight="1" outlineLevel="2" x14ac:dyDescent="0.25">
      <c r="A1571" s="3" t="str">
        <f>HYPERLINK("http://mystore1.ru/price_items/search?utf8=%E2%9C%93&amp;oem=3003ASMH","3003ASMH")</f>
        <v>3003ASMH</v>
      </c>
      <c r="B1571" s="1" t="s">
        <v>3066</v>
      </c>
      <c r="C1571" s="9" t="s">
        <v>25</v>
      </c>
      <c r="D1571" s="14" t="s">
        <v>3067</v>
      </c>
      <c r="E1571" s="9" t="s">
        <v>27</v>
      </c>
    </row>
    <row r="1572" spans="1:5" ht="15" customHeight="1" outlineLevel="2" x14ac:dyDescent="0.25">
      <c r="A1572" s="3" t="str">
        <f>HYPERLINK("http://mystore1.ru/price_items/search?utf8=%E2%9C%93&amp;oem=3003BCLS","3003BCLS")</f>
        <v>3003BCLS</v>
      </c>
      <c r="B1572" s="1" t="s">
        <v>3068</v>
      </c>
      <c r="C1572" s="9" t="s">
        <v>3061</v>
      </c>
      <c r="D1572" s="14" t="s">
        <v>3069</v>
      </c>
      <c r="E1572" s="9" t="s">
        <v>30</v>
      </c>
    </row>
    <row r="1573" spans="1:5" ht="15" customHeight="1" outlineLevel="2" x14ac:dyDescent="0.25">
      <c r="A1573" s="3" t="str">
        <f>HYPERLINK("http://mystore1.ru/price_items/search?utf8=%E2%9C%93&amp;oem=3003BGNH","3003BGNH")</f>
        <v>3003BGNH</v>
      </c>
      <c r="B1573" s="1" t="s">
        <v>3070</v>
      </c>
      <c r="C1573" s="9" t="s">
        <v>3061</v>
      </c>
      <c r="D1573" s="14" t="s">
        <v>3071</v>
      </c>
      <c r="E1573" s="9" t="s">
        <v>30</v>
      </c>
    </row>
    <row r="1574" spans="1:5" ht="15" customHeight="1" outlineLevel="2" x14ac:dyDescent="0.25">
      <c r="A1574" s="3" t="str">
        <f>HYPERLINK("http://mystore1.ru/price_items/search?utf8=%E2%9C%93&amp;oem=3003BGNSW","3003BGNSW")</f>
        <v>3003BGNSW</v>
      </c>
      <c r="B1574" s="1" t="s">
        <v>3072</v>
      </c>
      <c r="C1574" s="9" t="s">
        <v>3061</v>
      </c>
      <c r="D1574" s="14" t="s">
        <v>3073</v>
      </c>
      <c r="E1574" s="9" t="s">
        <v>30</v>
      </c>
    </row>
    <row r="1575" spans="1:5" ht="15" customHeight="1" outlineLevel="2" x14ac:dyDescent="0.25">
      <c r="A1575" s="3" t="str">
        <f>HYPERLINK("http://mystore1.ru/price_items/search?utf8=%E2%9C%93&amp;oem=3003LCLS4FD","3003LCLS4FD")</f>
        <v>3003LCLS4FD</v>
      </c>
      <c r="B1575" s="1" t="s">
        <v>3074</v>
      </c>
      <c r="C1575" s="9" t="s">
        <v>3061</v>
      </c>
      <c r="D1575" s="14" t="s">
        <v>3075</v>
      </c>
      <c r="E1575" s="9" t="s">
        <v>11</v>
      </c>
    </row>
    <row r="1576" spans="1:5" ht="15" customHeight="1" outlineLevel="2" x14ac:dyDescent="0.25">
      <c r="A1576" s="3" t="str">
        <f>HYPERLINK("http://mystore1.ru/price_items/search?utf8=%E2%9C%93&amp;oem=3003LCLS4RD","3003LCLS4RD")</f>
        <v>3003LCLS4RD</v>
      </c>
      <c r="B1576" s="1" t="s">
        <v>3076</v>
      </c>
      <c r="C1576" s="9" t="s">
        <v>3061</v>
      </c>
      <c r="D1576" s="14" t="s">
        <v>3077</v>
      </c>
      <c r="E1576" s="9" t="s">
        <v>11</v>
      </c>
    </row>
    <row r="1577" spans="1:5" ht="15" customHeight="1" outlineLevel="2" x14ac:dyDescent="0.25">
      <c r="A1577" s="3" t="str">
        <f>HYPERLINK("http://mystore1.ru/price_items/search?utf8=%E2%9C%93&amp;oem=3003LGNH3FD","3003LGNH3FD")</f>
        <v>3003LGNH3FD</v>
      </c>
      <c r="B1577" s="1" t="s">
        <v>3078</v>
      </c>
      <c r="C1577" s="9" t="s">
        <v>3061</v>
      </c>
      <c r="D1577" s="14" t="s">
        <v>3079</v>
      </c>
      <c r="E1577" s="9" t="s">
        <v>11</v>
      </c>
    </row>
    <row r="1578" spans="1:5" ht="15" customHeight="1" outlineLevel="2" x14ac:dyDescent="0.25">
      <c r="A1578" s="3" t="str">
        <f>HYPERLINK("http://mystore1.ru/price_items/search?utf8=%E2%9C%93&amp;oem=3003LGNS4FD","3003LGNS4FD")</f>
        <v>3003LGNS4FD</v>
      </c>
      <c r="B1578" s="1" t="s">
        <v>3080</v>
      </c>
      <c r="C1578" s="9" t="s">
        <v>3061</v>
      </c>
      <c r="D1578" s="14" t="s">
        <v>3081</v>
      </c>
      <c r="E1578" s="9" t="s">
        <v>11</v>
      </c>
    </row>
    <row r="1579" spans="1:5" ht="15" customHeight="1" outlineLevel="2" x14ac:dyDescent="0.25">
      <c r="A1579" s="3" t="str">
        <f>HYPERLINK("http://mystore1.ru/price_items/search?utf8=%E2%9C%93&amp;oem=3003LGNH5FD","3003LGNH5FD")</f>
        <v>3003LGNH5FD</v>
      </c>
      <c r="B1579" s="1" t="s">
        <v>3082</v>
      </c>
      <c r="C1579" s="9" t="s">
        <v>3061</v>
      </c>
      <c r="D1579" s="14" t="s">
        <v>3083</v>
      </c>
      <c r="E1579" s="9" t="s">
        <v>11</v>
      </c>
    </row>
    <row r="1580" spans="1:5" ht="15" customHeight="1" outlineLevel="2" x14ac:dyDescent="0.25">
      <c r="A1580" s="3" t="str">
        <f>HYPERLINK("http://mystore1.ru/price_items/search?utf8=%E2%9C%93&amp;oem=3003LGNH5RD","3003LGNH5RD")</f>
        <v>3003LGNH5RD</v>
      </c>
      <c r="B1580" s="1" t="s">
        <v>3084</v>
      </c>
      <c r="C1580" s="9" t="s">
        <v>3061</v>
      </c>
      <c r="D1580" s="14" t="s">
        <v>3085</v>
      </c>
      <c r="E1580" s="9" t="s">
        <v>11</v>
      </c>
    </row>
    <row r="1581" spans="1:5" ht="15" customHeight="1" outlineLevel="2" x14ac:dyDescent="0.25">
      <c r="A1581" s="3" t="str">
        <f>HYPERLINK("http://mystore1.ru/price_items/search?utf8=%E2%9C%93&amp;oem=3003LGNS4RD","3003LGNS4RD")</f>
        <v>3003LGNS4RD</v>
      </c>
      <c r="B1581" s="1" t="s">
        <v>3086</v>
      </c>
      <c r="C1581" s="9" t="s">
        <v>3061</v>
      </c>
      <c r="D1581" s="14" t="s">
        <v>3087</v>
      </c>
      <c r="E1581" s="9" t="s">
        <v>11</v>
      </c>
    </row>
    <row r="1582" spans="1:5" ht="15" customHeight="1" outlineLevel="2" x14ac:dyDescent="0.25">
      <c r="A1582" s="3" t="str">
        <f>HYPERLINK("http://mystore1.ru/price_items/search?utf8=%E2%9C%93&amp;oem=3003RCLS4FD","3003RCLS4FD")</f>
        <v>3003RCLS4FD</v>
      </c>
      <c r="B1582" s="1" t="s">
        <v>3088</v>
      </c>
      <c r="C1582" s="9" t="s">
        <v>3061</v>
      </c>
      <c r="D1582" s="14" t="s">
        <v>3089</v>
      </c>
      <c r="E1582" s="9" t="s">
        <v>11</v>
      </c>
    </row>
    <row r="1583" spans="1:5" ht="15" customHeight="1" outlineLevel="2" x14ac:dyDescent="0.25">
      <c r="A1583" s="3" t="str">
        <f>HYPERLINK("http://mystore1.ru/price_items/search?utf8=%E2%9C%93&amp;oem=3003RCLS4RD","3003RCLS4RD")</f>
        <v>3003RCLS4RD</v>
      </c>
      <c r="B1583" s="1" t="s">
        <v>3090</v>
      </c>
      <c r="C1583" s="9" t="s">
        <v>3061</v>
      </c>
      <c r="D1583" s="14" t="s">
        <v>3091</v>
      </c>
      <c r="E1583" s="9" t="s">
        <v>11</v>
      </c>
    </row>
    <row r="1584" spans="1:5" ht="15" customHeight="1" outlineLevel="2" x14ac:dyDescent="0.25">
      <c r="A1584" s="3" t="str">
        <f>HYPERLINK("http://mystore1.ru/price_items/search?utf8=%E2%9C%93&amp;oem=3003RGNH3FD","3003RGNH3FD")</f>
        <v>3003RGNH3FD</v>
      </c>
      <c r="B1584" s="1" t="s">
        <v>3092</v>
      </c>
      <c r="C1584" s="9" t="s">
        <v>3061</v>
      </c>
      <c r="D1584" s="14" t="s">
        <v>3093</v>
      </c>
      <c r="E1584" s="9" t="s">
        <v>11</v>
      </c>
    </row>
    <row r="1585" spans="1:5" ht="15" customHeight="1" outlineLevel="2" x14ac:dyDescent="0.25">
      <c r="A1585" s="3" t="str">
        <f>HYPERLINK("http://mystore1.ru/price_items/search?utf8=%E2%9C%93&amp;oem=3003RGNS4FD","3003RGNS4FD")</f>
        <v>3003RGNS4FD</v>
      </c>
      <c r="B1585" s="1" t="s">
        <v>3094</v>
      </c>
      <c r="C1585" s="9" t="s">
        <v>3061</v>
      </c>
      <c r="D1585" s="14" t="s">
        <v>3095</v>
      </c>
      <c r="E1585" s="9" t="s">
        <v>11</v>
      </c>
    </row>
    <row r="1586" spans="1:5" ht="15" customHeight="1" outlineLevel="2" x14ac:dyDescent="0.25">
      <c r="A1586" s="3" t="str">
        <f>HYPERLINK("http://mystore1.ru/price_items/search?utf8=%E2%9C%93&amp;oem=3003RGNS4RD","3003RGNS4RD")</f>
        <v>3003RGNS4RD</v>
      </c>
      <c r="B1586" s="1" t="s">
        <v>3096</v>
      </c>
      <c r="C1586" s="9" t="s">
        <v>3061</v>
      </c>
      <c r="D1586" s="14" t="s">
        <v>3097</v>
      </c>
      <c r="E1586" s="9" t="s">
        <v>11</v>
      </c>
    </row>
    <row r="1587" spans="1:5" ht="15" customHeight="1" outlineLevel="2" x14ac:dyDescent="0.25">
      <c r="A1587" s="3" t="str">
        <f>HYPERLINK("http://mystore1.ru/price_items/search?utf8=%E2%9C%93&amp;oem=3003RGNH3RQO","3003RGNH3RQO")</f>
        <v>3003RGNH3RQO</v>
      </c>
      <c r="B1587" s="1" t="s">
        <v>3098</v>
      </c>
      <c r="C1587" s="9" t="s">
        <v>3061</v>
      </c>
      <c r="D1587" s="14" t="s">
        <v>3099</v>
      </c>
      <c r="E1587" s="9" t="s">
        <v>11</v>
      </c>
    </row>
    <row r="1588" spans="1:5" ht="15" customHeight="1" outlineLevel="2" x14ac:dyDescent="0.25">
      <c r="A1588" s="3" t="str">
        <f>HYPERLINK("http://mystore1.ru/price_items/search?utf8=%E2%9C%93&amp;oem=3003RGNH5FD","3003RGNH5FD")</f>
        <v>3003RGNH5FD</v>
      </c>
      <c r="B1588" s="1" t="s">
        <v>3100</v>
      </c>
      <c r="C1588" s="9" t="s">
        <v>3061</v>
      </c>
      <c r="D1588" s="14" t="s">
        <v>3101</v>
      </c>
      <c r="E1588" s="9" t="s">
        <v>11</v>
      </c>
    </row>
    <row r="1589" spans="1:5" ht="15" customHeight="1" outlineLevel="2" x14ac:dyDescent="0.25">
      <c r="A1589" s="3" t="str">
        <f>HYPERLINK("http://mystore1.ru/price_items/search?utf8=%E2%9C%93&amp;oem=3003RGNH5RD","3003RGNH5RD")</f>
        <v>3003RGNH5RD</v>
      </c>
      <c r="B1589" s="1" t="s">
        <v>3102</v>
      </c>
      <c r="C1589" s="9" t="s">
        <v>3061</v>
      </c>
      <c r="D1589" s="14" t="s">
        <v>3103</v>
      </c>
      <c r="E1589" s="9" t="s">
        <v>11</v>
      </c>
    </row>
    <row r="1590" spans="1:5" outlineLevel="1" x14ac:dyDescent="0.25">
      <c r="A1590" s="2"/>
      <c r="B1590" s="6" t="s">
        <v>3104</v>
      </c>
      <c r="C1590" s="8"/>
      <c r="D1590" s="8"/>
      <c r="E1590" s="8"/>
    </row>
    <row r="1591" spans="1:5" ht="15" customHeight="1" outlineLevel="2" x14ac:dyDescent="0.25">
      <c r="A1591" s="3" t="str">
        <f>HYPERLINK("http://mystore1.ru/price_items/search?utf8=%E2%9C%93&amp;oem=3005AGNBL","3005AGNBL")</f>
        <v>3005AGNBL</v>
      </c>
      <c r="B1591" s="1" t="s">
        <v>3105</v>
      </c>
      <c r="C1591" s="9" t="s">
        <v>3106</v>
      </c>
      <c r="D1591" s="14" t="s">
        <v>3107</v>
      </c>
      <c r="E1591" s="9" t="s">
        <v>8</v>
      </c>
    </row>
    <row r="1592" spans="1:5" ht="15" customHeight="1" outlineLevel="2" x14ac:dyDescent="0.25">
      <c r="A1592" s="3" t="str">
        <f>HYPERLINK("http://mystore1.ru/price_items/search?utf8=%E2%9C%93&amp;oem=3005ASMS","3005ASMS")</f>
        <v>3005ASMS</v>
      </c>
      <c r="B1592" s="1" t="s">
        <v>3108</v>
      </c>
      <c r="C1592" s="9" t="s">
        <v>25</v>
      </c>
      <c r="D1592" s="14" t="s">
        <v>3109</v>
      </c>
      <c r="E1592" s="9" t="s">
        <v>27</v>
      </c>
    </row>
    <row r="1593" spans="1:5" ht="15" customHeight="1" outlineLevel="2" x14ac:dyDescent="0.25">
      <c r="A1593" s="3" t="str">
        <f>HYPERLINK("http://mystore1.ru/price_items/search?utf8=%E2%9C%93&amp;oem=3005BGNS","3005BGNS")</f>
        <v>3005BGNS</v>
      </c>
      <c r="B1593" s="1" t="s">
        <v>3110</v>
      </c>
      <c r="C1593" s="9" t="s">
        <v>3106</v>
      </c>
      <c r="D1593" s="14" t="s">
        <v>3111</v>
      </c>
      <c r="E1593" s="9" t="s">
        <v>30</v>
      </c>
    </row>
    <row r="1594" spans="1:5" ht="15" customHeight="1" outlineLevel="2" x14ac:dyDescent="0.25">
      <c r="A1594" s="3" t="str">
        <f>HYPERLINK("http://mystore1.ru/price_items/search?utf8=%E2%9C%93&amp;oem=3005LGNS4FD","3005LGNS4FD")</f>
        <v>3005LGNS4FD</v>
      </c>
      <c r="B1594" s="1" t="s">
        <v>3112</v>
      </c>
      <c r="C1594" s="9" t="s">
        <v>3106</v>
      </c>
      <c r="D1594" s="14" t="s">
        <v>3113</v>
      </c>
      <c r="E1594" s="9" t="s">
        <v>11</v>
      </c>
    </row>
    <row r="1595" spans="1:5" ht="15" customHeight="1" outlineLevel="2" x14ac:dyDescent="0.25">
      <c r="A1595" s="3" t="str">
        <f>HYPERLINK("http://mystore1.ru/price_items/search?utf8=%E2%9C%93&amp;oem=3005LGNS4RD","3005LGNS4RD")</f>
        <v>3005LGNS4RD</v>
      </c>
      <c r="B1595" s="1" t="s">
        <v>3114</v>
      </c>
      <c r="C1595" s="9" t="s">
        <v>3106</v>
      </c>
      <c r="D1595" s="14" t="s">
        <v>3115</v>
      </c>
      <c r="E1595" s="9" t="s">
        <v>11</v>
      </c>
    </row>
    <row r="1596" spans="1:5" ht="15" customHeight="1" outlineLevel="2" x14ac:dyDescent="0.25">
      <c r="A1596" s="3" t="str">
        <f>HYPERLINK("http://mystore1.ru/price_items/search?utf8=%E2%9C%93&amp;oem=3005LGNS4RV","3005LGNS4RV")</f>
        <v>3005LGNS4RV</v>
      </c>
      <c r="B1596" s="1" t="s">
        <v>3116</v>
      </c>
      <c r="C1596" s="9" t="s">
        <v>3106</v>
      </c>
      <c r="D1596" s="14" t="s">
        <v>3117</v>
      </c>
      <c r="E1596" s="9" t="s">
        <v>11</v>
      </c>
    </row>
    <row r="1597" spans="1:5" ht="15" customHeight="1" outlineLevel="2" x14ac:dyDescent="0.25">
      <c r="A1597" s="3" t="str">
        <f>HYPERLINK("http://mystore1.ru/price_items/search?utf8=%E2%9C%93&amp;oem=3005RGNS4FD","3005RGNS4FD")</f>
        <v>3005RGNS4FD</v>
      </c>
      <c r="B1597" s="1" t="s">
        <v>3118</v>
      </c>
      <c r="C1597" s="9" t="s">
        <v>3106</v>
      </c>
      <c r="D1597" s="14" t="s">
        <v>3119</v>
      </c>
      <c r="E1597" s="9" t="s">
        <v>11</v>
      </c>
    </row>
    <row r="1598" spans="1:5" ht="15" customHeight="1" outlineLevel="2" x14ac:dyDescent="0.25">
      <c r="A1598" s="3" t="str">
        <f>HYPERLINK("http://mystore1.ru/price_items/search?utf8=%E2%9C%93&amp;oem=3005RGNS4RD","3005RGNS4RD")</f>
        <v>3005RGNS4RD</v>
      </c>
      <c r="B1598" s="1" t="s">
        <v>3120</v>
      </c>
      <c r="C1598" s="9" t="s">
        <v>3106</v>
      </c>
      <c r="D1598" s="14" t="s">
        <v>3121</v>
      </c>
      <c r="E1598" s="9" t="s">
        <v>11</v>
      </c>
    </row>
    <row r="1599" spans="1:5" ht="15" customHeight="1" outlineLevel="2" x14ac:dyDescent="0.25">
      <c r="A1599" s="3" t="str">
        <f>HYPERLINK("http://mystore1.ru/price_items/search?utf8=%E2%9C%93&amp;oem=3005RGNS4RV","3005RGNS4RV")</f>
        <v>3005RGNS4RV</v>
      </c>
      <c r="B1599" s="1" t="s">
        <v>3122</v>
      </c>
      <c r="C1599" s="9" t="s">
        <v>3106</v>
      </c>
      <c r="D1599" s="14" t="s">
        <v>3123</v>
      </c>
      <c r="E1599" s="9" t="s">
        <v>11</v>
      </c>
    </row>
    <row r="1600" spans="1:5" outlineLevel="1" x14ac:dyDescent="0.25">
      <c r="A1600" s="2"/>
      <c r="B1600" s="6" t="s">
        <v>3124</v>
      </c>
      <c r="C1600" s="8"/>
      <c r="D1600" s="8"/>
      <c r="E1600" s="8"/>
    </row>
    <row r="1601" spans="1:5" ht="15" customHeight="1" outlineLevel="2" x14ac:dyDescent="0.25">
      <c r="A1601" s="3" t="str">
        <f>HYPERLINK("http://mystore1.ru/price_items/search?utf8=%E2%9C%93&amp;oem=3006AGNBL","3006AGNBL")</f>
        <v>3006AGNBL</v>
      </c>
      <c r="B1601" s="1" t="s">
        <v>3125</v>
      </c>
      <c r="C1601" s="9" t="s">
        <v>3126</v>
      </c>
      <c r="D1601" s="14" t="s">
        <v>3127</v>
      </c>
      <c r="E1601" s="9" t="s">
        <v>8</v>
      </c>
    </row>
    <row r="1602" spans="1:5" ht="15" customHeight="1" outlineLevel="2" x14ac:dyDescent="0.25">
      <c r="A1602" s="3" t="str">
        <f>HYPERLINK("http://mystore1.ru/price_items/search?utf8=%E2%9C%93&amp;oem=3006ASMH","3006ASMH")</f>
        <v>3006ASMH</v>
      </c>
      <c r="B1602" s="1" t="s">
        <v>3128</v>
      </c>
      <c r="C1602" s="9" t="s">
        <v>25</v>
      </c>
      <c r="D1602" s="14" t="s">
        <v>3129</v>
      </c>
      <c r="E1602" s="9" t="s">
        <v>27</v>
      </c>
    </row>
    <row r="1603" spans="1:5" ht="15" customHeight="1" outlineLevel="2" x14ac:dyDescent="0.25">
      <c r="A1603" s="3" t="str">
        <f>HYPERLINK("http://mystore1.ru/price_items/search?utf8=%E2%9C%93&amp;oem=3006BCLHW","3006BCLHW")</f>
        <v>3006BCLHW</v>
      </c>
      <c r="B1603" s="1" t="s">
        <v>3130</v>
      </c>
      <c r="C1603" s="9" t="s">
        <v>3126</v>
      </c>
      <c r="D1603" s="14" t="s">
        <v>3131</v>
      </c>
      <c r="E1603" s="9" t="s">
        <v>30</v>
      </c>
    </row>
    <row r="1604" spans="1:5" ht="15" customHeight="1" outlineLevel="2" x14ac:dyDescent="0.25">
      <c r="A1604" s="3" t="str">
        <f>HYPERLINK("http://mystore1.ru/price_items/search?utf8=%E2%9C%93&amp;oem=3006BGNHW","3006BGNHW")</f>
        <v>3006BGNHW</v>
      </c>
      <c r="B1604" s="1" t="s">
        <v>3132</v>
      </c>
      <c r="C1604" s="9" t="s">
        <v>3126</v>
      </c>
      <c r="D1604" s="14" t="s">
        <v>3133</v>
      </c>
      <c r="E1604" s="9" t="s">
        <v>30</v>
      </c>
    </row>
    <row r="1605" spans="1:5" ht="15" customHeight="1" outlineLevel="2" x14ac:dyDescent="0.25">
      <c r="A1605" s="3" t="str">
        <f>HYPERLINK("http://mystore1.ru/price_items/search?utf8=%E2%9C%93&amp;oem=3006LCLH5FD","3006LCLH5FD")</f>
        <v>3006LCLH5FD</v>
      </c>
      <c r="B1605" s="1" t="s">
        <v>3134</v>
      </c>
      <c r="C1605" s="9" t="s">
        <v>3126</v>
      </c>
      <c r="D1605" s="14" t="s">
        <v>3135</v>
      </c>
      <c r="E1605" s="9" t="s">
        <v>11</v>
      </c>
    </row>
    <row r="1606" spans="1:5" ht="15" customHeight="1" outlineLevel="2" x14ac:dyDescent="0.25">
      <c r="A1606" s="3" t="str">
        <f>HYPERLINK("http://mystore1.ru/price_items/search?utf8=%E2%9C%93&amp;oem=3006LGNH5FD","3006LGNH5FD")</f>
        <v>3006LGNH5FD</v>
      </c>
      <c r="B1606" s="1" t="s">
        <v>3136</v>
      </c>
      <c r="C1606" s="9" t="s">
        <v>3126</v>
      </c>
      <c r="D1606" s="14" t="s">
        <v>3137</v>
      </c>
      <c r="E1606" s="9" t="s">
        <v>11</v>
      </c>
    </row>
    <row r="1607" spans="1:5" ht="15" customHeight="1" outlineLevel="2" x14ac:dyDescent="0.25">
      <c r="A1607" s="3" t="str">
        <f>HYPERLINK("http://mystore1.ru/price_items/search?utf8=%E2%9C%93&amp;oem=3006LGNH5FV","3006LGNH5FV")</f>
        <v>3006LGNH5FV</v>
      </c>
      <c r="B1607" s="1" t="s">
        <v>3138</v>
      </c>
      <c r="C1607" s="9" t="s">
        <v>3126</v>
      </c>
      <c r="D1607" s="14" t="s">
        <v>3139</v>
      </c>
      <c r="E1607" s="9" t="s">
        <v>11</v>
      </c>
    </row>
    <row r="1608" spans="1:5" ht="15" customHeight="1" outlineLevel="2" x14ac:dyDescent="0.25">
      <c r="A1608" s="3" t="str">
        <f>HYPERLINK("http://mystore1.ru/price_items/search?utf8=%E2%9C%93&amp;oem=3006LGNH5RD","3006LGNH5RD")</f>
        <v>3006LGNH5RD</v>
      </c>
      <c r="B1608" s="1" t="s">
        <v>3140</v>
      </c>
      <c r="C1608" s="9" t="s">
        <v>3126</v>
      </c>
      <c r="D1608" s="14" t="s">
        <v>3141</v>
      </c>
      <c r="E1608" s="9" t="s">
        <v>11</v>
      </c>
    </row>
    <row r="1609" spans="1:5" ht="15" customHeight="1" outlineLevel="2" x14ac:dyDescent="0.25">
      <c r="A1609" s="3" t="str">
        <f>HYPERLINK("http://mystore1.ru/price_items/search?utf8=%E2%9C%93&amp;oem=3006RCLH5FD","3006RCLH5FD")</f>
        <v>3006RCLH5FD</v>
      </c>
      <c r="B1609" s="1" t="s">
        <v>3142</v>
      </c>
      <c r="C1609" s="9" t="s">
        <v>3126</v>
      </c>
      <c r="D1609" s="14" t="s">
        <v>3143</v>
      </c>
      <c r="E1609" s="9" t="s">
        <v>11</v>
      </c>
    </row>
    <row r="1610" spans="1:5" ht="15" customHeight="1" outlineLevel="2" x14ac:dyDescent="0.25">
      <c r="A1610" s="3" t="str">
        <f>HYPERLINK("http://mystore1.ru/price_items/search?utf8=%E2%9C%93&amp;oem=3006RGNH5FD","3006RGNH5FD")</f>
        <v>3006RGNH5FD</v>
      </c>
      <c r="B1610" s="1" t="s">
        <v>3144</v>
      </c>
      <c r="C1610" s="9" t="s">
        <v>3126</v>
      </c>
      <c r="D1610" s="14" t="s">
        <v>3145</v>
      </c>
      <c r="E1610" s="9" t="s">
        <v>11</v>
      </c>
    </row>
    <row r="1611" spans="1:5" ht="15" customHeight="1" outlineLevel="2" x14ac:dyDescent="0.25">
      <c r="A1611" s="3" t="str">
        <f>HYPERLINK("http://mystore1.ru/price_items/search?utf8=%E2%9C%93&amp;oem=3006RGNH5FV","3006RGNH5FV")</f>
        <v>3006RGNH5FV</v>
      </c>
      <c r="B1611" s="1" t="s">
        <v>3146</v>
      </c>
      <c r="C1611" s="9" t="s">
        <v>3126</v>
      </c>
      <c r="D1611" s="14" t="s">
        <v>3147</v>
      </c>
      <c r="E1611" s="9" t="s">
        <v>11</v>
      </c>
    </row>
    <row r="1612" spans="1:5" ht="15" customHeight="1" outlineLevel="2" x14ac:dyDescent="0.25">
      <c r="A1612" s="3" t="str">
        <f>HYPERLINK("http://mystore1.ru/price_items/search?utf8=%E2%9C%93&amp;oem=3006RGNH5RD","3006RGNH5RD")</f>
        <v>3006RGNH5RD</v>
      </c>
      <c r="B1612" s="1" t="s">
        <v>3148</v>
      </c>
      <c r="C1612" s="9" t="s">
        <v>3126</v>
      </c>
      <c r="D1612" s="14" t="s">
        <v>3149</v>
      </c>
      <c r="E1612" s="9" t="s">
        <v>11</v>
      </c>
    </row>
    <row r="1613" spans="1:5" outlineLevel="1" x14ac:dyDescent="0.25">
      <c r="A1613" s="2"/>
      <c r="B1613" s="6" t="s">
        <v>3150</v>
      </c>
      <c r="C1613" s="8"/>
      <c r="D1613" s="8"/>
      <c r="E1613" s="8"/>
    </row>
    <row r="1614" spans="1:5" ht="15" customHeight="1" outlineLevel="2" x14ac:dyDescent="0.25">
      <c r="A1614" s="3" t="str">
        <f>HYPERLINK("http://mystore1.ru/price_items/search?utf8=%E2%9C%93&amp;oem=3000AGN","3000AGN")</f>
        <v>3000AGN</v>
      </c>
      <c r="B1614" s="1" t="s">
        <v>3151</v>
      </c>
      <c r="C1614" s="9" t="s">
        <v>241</v>
      </c>
      <c r="D1614" s="14" t="s">
        <v>3152</v>
      </c>
      <c r="E1614" s="9" t="s">
        <v>8</v>
      </c>
    </row>
    <row r="1615" spans="1:5" ht="15" customHeight="1" outlineLevel="2" x14ac:dyDescent="0.25">
      <c r="A1615" s="3" t="str">
        <f>HYPERLINK("http://mystore1.ru/price_items/search?utf8=%E2%9C%93&amp;oem=3000AGNBL","3000AGNBL")</f>
        <v>3000AGNBL</v>
      </c>
      <c r="B1615" s="1" t="s">
        <v>3153</v>
      </c>
      <c r="C1615" s="9" t="s">
        <v>241</v>
      </c>
      <c r="D1615" s="14" t="s">
        <v>3154</v>
      </c>
      <c r="E1615" s="9" t="s">
        <v>8</v>
      </c>
    </row>
    <row r="1616" spans="1:5" ht="15" customHeight="1" outlineLevel="2" x14ac:dyDescent="0.25">
      <c r="A1616" s="3" t="str">
        <f>HYPERLINK("http://mystore1.ru/price_items/search?utf8=%E2%9C%93&amp;oem=3000AGNBLOES","3000AGNBLOES")</f>
        <v>3000AGNBLOES</v>
      </c>
      <c r="B1616" s="1" t="s">
        <v>3155</v>
      </c>
      <c r="C1616" s="9" t="s">
        <v>241</v>
      </c>
      <c r="D1616" s="14" t="s">
        <v>3156</v>
      </c>
      <c r="E1616" s="9" t="s">
        <v>8</v>
      </c>
    </row>
    <row r="1617" spans="1:5" ht="15" customHeight="1" outlineLevel="2" x14ac:dyDescent="0.25">
      <c r="A1617" s="3" t="str">
        <f>HYPERLINK("http://mystore1.ru/price_items/search?utf8=%E2%9C%93&amp;oem=3000ASMH","3000ASMH")</f>
        <v>3000ASMH</v>
      </c>
      <c r="B1617" s="1" t="s">
        <v>3157</v>
      </c>
      <c r="C1617" s="9" t="s">
        <v>25</v>
      </c>
      <c r="D1617" s="14" t="s">
        <v>3158</v>
      </c>
      <c r="E1617" s="9" t="s">
        <v>27</v>
      </c>
    </row>
    <row r="1618" spans="1:5" ht="15" customHeight="1" outlineLevel="2" x14ac:dyDescent="0.25">
      <c r="A1618" s="3" t="str">
        <f>HYPERLINK("http://mystore1.ru/price_items/search?utf8=%E2%9C%93&amp;oem=3000BGNS","3000BGNS")</f>
        <v>3000BGNS</v>
      </c>
      <c r="B1618" s="1" t="s">
        <v>3159</v>
      </c>
      <c r="C1618" s="9" t="s">
        <v>241</v>
      </c>
      <c r="D1618" s="14" t="s">
        <v>3160</v>
      </c>
      <c r="E1618" s="9" t="s">
        <v>30</v>
      </c>
    </row>
    <row r="1619" spans="1:5" ht="15" customHeight="1" outlineLevel="2" x14ac:dyDescent="0.25">
      <c r="A1619" s="3" t="str">
        <f>HYPERLINK("http://mystore1.ru/price_items/search?utf8=%E2%9C%93&amp;oem=3000LCLH5FD","3000LCLH5FD")</f>
        <v>3000LCLH5FD</v>
      </c>
      <c r="B1619" s="1" t="s">
        <v>3161</v>
      </c>
      <c r="C1619" s="9" t="s">
        <v>241</v>
      </c>
      <c r="D1619" s="14" t="s">
        <v>3162</v>
      </c>
      <c r="E1619" s="9" t="s">
        <v>11</v>
      </c>
    </row>
    <row r="1620" spans="1:5" ht="15" customHeight="1" outlineLevel="2" x14ac:dyDescent="0.25">
      <c r="A1620" s="3" t="str">
        <f>HYPERLINK("http://mystore1.ru/price_items/search?utf8=%E2%9C%93&amp;oem=3000LCLH5RD","3000LCLH5RD")</f>
        <v>3000LCLH5RD</v>
      </c>
      <c r="B1620" s="1" t="s">
        <v>3163</v>
      </c>
      <c r="C1620" s="9" t="s">
        <v>241</v>
      </c>
      <c r="D1620" s="14" t="s">
        <v>3164</v>
      </c>
      <c r="E1620" s="9" t="s">
        <v>11</v>
      </c>
    </row>
    <row r="1621" spans="1:5" ht="15" customHeight="1" outlineLevel="2" x14ac:dyDescent="0.25">
      <c r="A1621" s="3" t="str">
        <f>HYPERLINK("http://mystore1.ru/price_items/search?utf8=%E2%9C%93&amp;oem=3000LCLH5RV","3000LCLH5RV")</f>
        <v>3000LCLH5RV</v>
      </c>
      <c r="B1621" s="1" t="s">
        <v>3165</v>
      </c>
      <c r="C1621" s="9" t="s">
        <v>241</v>
      </c>
      <c r="D1621" s="14" t="s">
        <v>3166</v>
      </c>
      <c r="E1621" s="9" t="s">
        <v>11</v>
      </c>
    </row>
    <row r="1622" spans="1:5" ht="15" customHeight="1" outlineLevel="2" x14ac:dyDescent="0.25">
      <c r="A1622" s="3" t="str">
        <f>HYPERLINK("http://mystore1.ru/price_items/search?utf8=%E2%9C%93&amp;oem=3000LGNH3FD","3000LGNH3FD")</f>
        <v>3000LGNH3FD</v>
      </c>
      <c r="B1622" s="1" t="s">
        <v>3167</v>
      </c>
      <c r="C1622" s="9" t="s">
        <v>241</v>
      </c>
      <c r="D1622" s="14" t="s">
        <v>3168</v>
      </c>
      <c r="E1622" s="9" t="s">
        <v>11</v>
      </c>
    </row>
    <row r="1623" spans="1:5" ht="15" customHeight="1" outlineLevel="2" x14ac:dyDescent="0.25">
      <c r="A1623" s="3" t="str">
        <f>HYPERLINK("http://mystore1.ru/price_items/search?utf8=%E2%9C%93&amp;oem=3000LGNH5FD","3000LGNH5FD")</f>
        <v>3000LGNH5FD</v>
      </c>
      <c r="B1623" s="1" t="s">
        <v>3169</v>
      </c>
      <c r="C1623" s="9" t="s">
        <v>241</v>
      </c>
      <c r="D1623" s="14" t="s">
        <v>3170</v>
      </c>
      <c r="E1623" s="9" t="s">
        <v>11</v>
      </c>
    </row>
    <row r="1624" spans="1:5" ht="15" customHeight="1" outlineLevel="2" x14ac:dyDescent="0.25">
      <c r="A1624" s="3" t="str">
        <f>HYPERLINK("http://mystore1.ru/price_items/search?utf8=%E2%9C%93&amp;oem=3000LGNH5RD","3000LGNH5RD")</f>
        <v>3000LGNH5RD</v>
      </c>
      <c r="B1624" s="1" t="s">
        <v>3171</v>
      </c>
      <c r="C1624" s="9" t="s">
        <v>241</v>
      </c>
      <c r="D1624" s="14" t="s">
        <v>3172</v>
      </c>
      <c r="E1624" s="9" t="s">
        <v>11</v>
      </c>
    </row>
    <row r="1625" spans="1:5" ht="15" customHeight="1" outlineLevel="2" x14ac:dyDescent="0.25">
      <c r="A1625" s="3" t="str">
        <f>HYPERLINK("http://mystore1.ru/price_items/search?utf8=%E2%9C%93&amp;oem=3000LGNH5RV","3000LGNH5RV")</f>
        <v>3000LGNH5RV</v>
      </c>
      <c r="B1625" s="1" t="s">
        <v>3173</v>
      </c>
      <c r="C1625" s="9" t="s">
        <v>241</v>
      </c>
      <c r="D1625" s="14" t="s">
        <v>3174</v>
      </c>
      <c r="E1625" s="9" t="s">
        <v>11</v>
      </c>
    </row>
    <row r="1626" spans="1:5" ht="15" customHeight="1" outlineLevel="2" x14ac:dyDescent="0.25">
      <c r="A1626" s="3" t="str">
        <f>HYPERLINK("http://mystore1.ru/price_items/search?utf8=%E2%9C%93&amp;oem=3000RCLH5FD","3000RCLH5FD")</f>
        <v>3000RCLH5FD</v>
      </c>
      <c r="B1626" s="1" t="s">
        <v>3175</v>
      </c>
      <c r="C1626" s="9" t="s">
        <v>241</v>
      </c>
      <c r="D1626" s="14" t="s">
        <v>3176</v>
      </c>
      <c r="E1626" s="9" t="s">
        <v>11</v>
      </c>
    </row>
    <row r="1627" spans="1:5" ht="15" customHeight="1" outlineLevel="2" x14ac:dyDescent="0.25">
      <c r="A1627" s="3" t="str">
        <f>HYPERLINK("http://mystore1.ru/price_items/search?utf8=%E2%9C%93&amp;oem=3000RCLH5RD","3000RCLH5RD")</f>
        <v>3000RCLH5RD</v>
      </c>
      <c r="B1627" s="1" t="s">
        <v>3177</v>
      </c>
      <c r="C1627" s="9" t="s">
        <v>241</v>
      </c>
      <c r="D1627" s="14" t="s">
        <v>3178</v>
      </c>
      <c r="E1627" s="9" t="s">
        <v>11</v>
      </c>
    </row>
    <row r="1628" spans="1:5" ht="15" customHeight="1" outlineLevel="2" x14ac:dyDescent="0.25">
      <c r="A1628" s="3" t="str">
        <f>HYPERLINK("http://mystore1.ru/price_items/search?utf8=%E2%9C%93&amp;oem=3000RCLH5RV","3000RCLH5RV")</f>
        <v>3000RCLH5RV</v>
      </c>
      <c r="B1628" s="1" t="s">
        <v>3179</v>
      </c>
      <c r="C1628" s="9" t="s">
        <v>241</v>
      </c>
      <c r="D1628" s="14" t="s">
        <v>3180</v>
      </c>
      <c r="E1628" s="9" t="s">
        <v>11</v>
      </c>
    </row>
    <row r="1629" spans="1:5" ht="15" customHeight="1" outlineLevel="2" x14ac:dyDescent="0.25">
      <c r="A1629" s="3" t="str">
        <f>HYPERLINK("http://mystore1.ru/price_items/search?utf8=%E2%9C%93&amp;oem=3000RGNH3FD","3000RGNH3FD")</f>
        <v>3000RGNH3FD</v>
      </c>
      <c r="B1629" s="1" t="s">
        <v>3181</v>
      </c>
      <c r="C1629" s="9" t="s">
        <v>241</v>
      </c>
      <c r="D1629" s="14" t="s">
        <v>3182</v>
      </c>
      <c r="E1629" s="9" t="s">
        <v>11</v>
      </c>
    </row>
    <row r="1630" spans="1:5" ht="15" customHeight="1" outlineLevel="2" x14ac:dyDescent="0.25">
      <c r="A1630" s="3" t="str">
        <f>HYPERLINK("http://mystore1.ru/price_items/search?utf8=%E2%9C%93&amp;oem=3000RGNH5FD","3000RGNH5FD")</f>
        <v>3000RGNH5FD</v>
      </c>
      <c r="B1630" s="1" t="s">
        <v>3183</v>
      </c>
      <c r="C1630" s="9" t="s">
        <v>241</v>
      </c>
      <c r="D1630" s="14" t="s">
        <v>3184</v>
      </c>
      <c r="E1630" s="9" t="s">
        <v>11</v>
      </c>
    </row>
    <row r="1631" spans="1:5" ht="15" customHeight="1" outlineLevel="2" x14ac:dyDescent="0.25">
      <c r="A1631" s="3" t="str">
        <f>HYPERLINK("http://mystore1.ru/price_items/search?utf8=%E2%9C%93&amp;oem=3000RGNH5RD","3000RGNH5RD")</f>
        <v>3000RGNH5RD</v>
      </c>
      <c r="B1631" s="1" t="s">
        <v>3185</v>
      </c>
      <c r="C1631" s="9" t="s">
        <v>241</v>
      </c>
      <c r="D1631" s="14" t="s">
        <v>3186</v>
      </c>
      <c r="E1631" s="9" t="s">
        <v>11</v>
      </c>
    </row>
    <row r="1632" spans="1:5" ht="15" customHeight="1" outlineLevel="2" x14ac:dyDescent="0.25">
      <c r="A1632" s="3" t="str">
        <f>HYPERLINK("http://mystore1.ru/price_items/search?utf8=%E2%9C%93&amp;oem=3000RGNH5RV","3000RGNH5RV")</f>
        <v>3000RGNH5RV</v>
      </c>
      <c r="B1632" s="1" t="s">
        <v>3187</v>
      </c>
      <c r="C1632" s="9" t="s">
        <v>241</v>
      </c>
      <c r="D1632" s="14" t="s">
        <v>3188</v>
      </c>
      <c r="E1632" s="9" t="s">
        <v>11</v>
      </c>
    </row>
    <row r="1633" spans="1:5" outlineLevel="1" x14ac:dyDescent="0.25">
      <c r="A1633" s="2"/>
      <c r="B1633" s="6" t="s">
        <v>3189</v>
      </c>
      <c r="C1633" s="8"/>
      <c r="D1633" s="8"/>
      <c r="E1633" s="8"/>
    </row>
    <row r="1634" spans="1:5" ht="15" customHeight="1" outlineLevel="2" x14ac:dyDescent="0.25">
      <c r="A1634" s="3" t="str">
        <f>HYPERLINK("http://mystore1.ru/price_items/search?utf8=%E2%9C%93&amp;oem=3004AGNBL","3004AGNBL")</f>
        <v>3004AGNBL</v>
      </c>
      <c r="B1634" s="1" t="s">
        <v>3190</v>
      </c>
      <c r="C1634" s="9" t="s">
        <v>1171</v>
      </c>
      <c r="D1634" s="14" t="s">
        <v>3191</v>
      </c>
      <c r="E1634" s="9" t="s">
        <v>8</v>
      </c>
    </row>
    <row r="1635" spans="1:5" ht="15" customHeight="1" outlineLevel="2" x14ac:dyDescent="0.25">
      <c r="A1635" s="3" t="str">
        <f>HYPERLINK("http://mystore1.ru/price_items/search?utf8=%E2%9C%93&amp;oem=3004AGNBL1C","3004AGNBL1C")</f>
        <v>3004AGNBL1C</v>
      </c>
      <c r="B1635" s="1" t="s">
        <v>3192</v>
      </c>
      <c r="C1635" s="9" t="s">
        <v>1171</v>
      </c>
      <c r="D1635" s="14" t="s">
        <v>3193</v>
      </c>
      <c r="E1635" s="9" t="s">
        <v>8</v>
      </c>
    </row>
    <row r="1636" spans="1:5" ht="15" customHeight="1" outlineLevel="2" x14ac:dyDescent="0.25">
      <c r="A1636" s="3" t="str">
        <f>HYPERLINK("http://mystore1.ru/price_items/search?utf8=%E2%9C%93&amp;oem=3004ASMH","3004ASMH")</f>
        <v>3004ASMH</v>
      </c>
      <c r="B1636" s="1" t="s">
        <v>3194</v>
      </c>
      <c r="C1636" s="9" t="s">
        <v>25</v>
      </c>
      <c r="D1636" s="14" t="s">
        <v>3195</v>
      </c>
      <c r="E1636" s="9" t="s">
        <v>27</v>
      </c>
    </row>
    <row r="1637" spans="1:5" ht="15" customHeight="1" outlineLevel="2" x14ac:dyDescent="0.25">
      <c r="A1637" s="3" t="str">
        <f>HYPERLINK("http://mystore1.ru/price_items/search?utf8=%E2%9C%93&amp;oem=3004BGNH","3004BGNH")</f>
        <v>3004BGNH</v>
      </c>
      <c r="B1637" s="1" t="s">
        <v>3196</v>
      </c>
      <c r="C1637" s="9" t="s">
        <v>1171</v>
      </c>
      <c r="D1637" s="14" t="s">
        <v>3197</v>
      </c>
      <c r="E1637" s="9" t="s">
        <v>30</v>
      </c>
    </row>
    <row r="1638" spans="1:5" ht="15" customHeight="1" outlineLevel="2" x14ac:dyDescent="0.25">
      <c r="A1638" s="3" t="str">
        <f>HYPERLINK("http://mystore1.ru/price_items/search?utf8=%E2%9C%93&amp;oem=3004BGNS","3004BGNS")</f>
        <v>3004BGNS</v>
      </c>
      <c r="B1638" s="1" t="s">
        <v>3198</v>
      </c>
      <c r="C1638" s="9" t="s">
        <v>1171</v>
      </c>
      <c r="D1638" s="14" t="s">
        <v>3199</v>
      </c>
      <c r="E1638" s="9" t="s">
        <v>30</v>
      </c>
    </row>
    <row r="1639" spans="1:5" ht="15" customHeight="1" outlineLevel="2" x14ac:dyDescent="0.25">
      <c r="A1639" s="3" t="str">
        <f>HYPERLINK("http://mystore1.ru/price_items/search?utf8=%E2%9C%93&amp;oem=3004LGNE5RD","3004LGNE5RD")</f>
        <v>3004LGNE5RD</v>
      </c>
      <c r="B1639" s="1" t="s">
        <v>3200</v>
      </c>
      <c r="C1639" s="9" t="s">
        <v>1171</v>
      </c>
      <c r="D1639" s="14" t="s">
        <v>3201</v>
      </c>
      <c r="E1639" s="9" t="s">
        <v>11</v>
      </c>
    </row>
    <row r="1640" spans="1:5" ht="15" customHeight="1" outlineLevel="2" x14ac:dyDescent="0.25">
      <c r="A1640" s="3" t="str">
        <f>HYPERLINK("http://mystore1.ru/price_items/search?utf8=%E2%9C%93&amp;oem=3004LGNE5RQ","3004LGNE5RQ")</f>
        <v>3004LGNE5RQ</v>
      </c>
      <c r="B1640" s="1" t="s">
        <v>3202</v>
      </c>
      <c r="C1640" s="9" t="s">
        <v>1171</v>
      </c>
      <c r="D1640" s="14" t="s">
        <v>3203</v>
      </c>
      <c r="E1640" s="9" t="s">
        <v>11</v>
      </c>
    </row>
    <row r="1641" spans="1:5" ht="15" customHeight="1" outlineLevel="2" x14ac:dyDescent="0.25">
      <c r="A1641" s="3" t="str">
        <f>HYPERLINK("http://mystore1.ru/price_items/search?utf8=%E2%9C%93&amp;oem=3004LGNH5FD","3004LGNH5FD")</f>
        <v>3004LGNH5FD</v>
      </c>
      <c r="B1641" s="1" t="s">
        <v>3204</v>
      </c>
      <c r="C1641" s="9" t="s">
        <v>1171</v>
      </c>
      <c r="D1641" s="14" t="s">
        <v>3205</v>
      </c>
      <c r="E1641" s="9" t="s">
        <v>11</v>
      </c>
    </row>
    <row r="1642" spans="1:5" ht="15" customHeight="1" outlineLevel="2" x14ac:dyDescent="0.25">
      <c r="A1642" s="3" t="str">
        <f>HYPERLINK("http://mystore1.ru/price_items/search?utf8=%E2%9C%93&amp;oem=3004LGNH5RD","3004LGNH5RD")</f>
        <v>3004LGNH5RD</v>
      </c>
      <c r="B1642" s="1" t="s">
        <v>3206</v>
      </c>
      <c r="C1642" s="9" t="s">
        <v>1171</v>
      </c>
      <c r="D1642" s="14" t="s">
        <v>3207</v>
      </c>
      <c r="E1642" s="9" t="s">
        <v>11</v>
      </c>
    </row>
    <row r="1643" spans="1:5" ht="15" customHeight="1" outlineLevel="2" x14ac:dyDescent="0.25">
      <c r="A1643" s="3" t="str">
        <f>HYPERLINK("http://mystore1.ru/price_items/search?utf8=%E2%9C%93&amp;oem=3004RGNE5RD","3004RGNE5RD")</f>
        <v>3004RGNE5RD</v>
      </c>
      <c r="B1643" s="1" t="s">
        <v>3208</v>
      </c>
      <c r="C1643" s="9" t="s">
        <v>1171</v>
      </c>
      <c r="D1643" s="14" t="s">
        <v>3209</v>
      </c>
      <c r="E1643" s="9" t="s">
        <v>11</v>
      </c>
    </row>
    <row r="1644" spans="1:5" ht="15" customHeight="1" outlineLevel="2" x14ac:dyDescent="0.25">
      <c r="A1644" s="3" t="str">
        <f>HYPERLINK("http://mystore1.ru/price_items/search?utf8=%E2%9C%93&amp;oem=3004RGNE5RQ","3004RGNE5RQ")</f>
        <v>3004RGNE5RQ</v>
      </c>
      <c r="B1644" s="1" t="s">
        <v>3210</v>
      </c>
      <c r="C1644" s="9" t="s">
        <v>1171</v>
      </c>
      <c r="D1644" s="14" t="s">
        <v>3211</v>
      </c>
      <c r="E1644" s="9" t="s">
        <v>11</v>
      </c>
    </row>
    <row r="1645" spans="1:5" ht="15" customHeight="1" outlineLevel="2" x14ac:dyDescent="0.25">
      <c r="A1645" s="3" t="str">
        <f>HYPERLINK("http://mystore1.ru/price_items/search?utf8=%E2%9C%93&amp;oem=3004RGNH5FD","3004RGNH5FD")</f>
        <v>3004RGNH5FD</v>
      </c>
      <c r="B1645" s="1" t="s">
        <v>3212</v>
      </c>
      <c r="C1645" s="9" t="s">
        <v>1171</v>
      </c>
      <c r="D1645" s="14" t="s">
        <v>3213</v>
      </c>
      <c r="E1645" s="9" t="s">
        <v>11</v>
      </c>
    </row>
    <row r="1646" spans="1:5" ht="15" customHeight="1" outlineLevel="2" x14ac:dyDescent="0.25">
      <c r="A1646" s="3" t="str">
        <f>HYPERLINK("http://mystore1.ru/price_items/search?utf8=%E2%9C%93&amp;oem=3004RGNH5RD","3004RGNH5RD")</f>
        <v>3004RGNH5RD</v>
      </c>
      <c r="B1646" s="1" t="s">
        <v>3214</v>
      </c>
      <c r="C1646" s="9" t="s">
        <v>1171</v>
      </c>
      <c r="D1646" s="14" t="s">
        <v>3215</v>
      </c>
      <c r="E1646" s="9" t="s">
        <v>11</v>
      </c>
    </row>
    <row r="1647" spans="1:5" outlineLevel="1" x14ac:dyDescent="0.25">
      <c r="A1647" s="2"/>
      <c r="B1647" s="6" t="s">
        <v>3216</v>
      </c>
      <c r="C1647" s="8"/>
      <c r="D1647" s="8"/>
      <c r="E1647" s="8"/>
    </row>
    <row r="1648" spans="1:5" outlineLevel="2" x14ac:dyDescent="0.25">
      <c r="A1648" s="3" t="str">
        <f>HYPERLINK("http://mystore1.ru/price_items/search?utf8=%E2%9C%93&amp;oem=3002ACL","3002ACL")</f>
        <v>3002ACL</v>
      </c>
      <c r="B1648" s="1" t="s">
        <v>3217</v>
      </c>
      <c r="C1648" s="9" t="s">
        <v>3218</v>
      </c>
      <c r="D1648" s="14" t="s">
        <v>3219</v>
      </c>
      <c r="E1648" s="9" t="s">
        <v>8</v>
      </c>
    </row>
    <row r="1649" spans="1:5" outlineLevel="2" x14ac:dyDescent="0.25">
      <c r="A1649" s="3" t="str">
        <f>HYPERLINK("http://mystore1.ru/price_items/search?utf8=%E2%9C%93&amp;oem=3002AGNBL","3002AGNBL")</f>
        <v>3002AGNBL</v>
      </c>
      <c r="B1649" s="1" t="s">
        <v>3220</v>
      </c>
      <c r="C1649" s="9" t="s">
        <v>3218</v>
      </c>
      <c r="D1649" s="14" t="s">
        <v>3221</v>
      </c>
      <c r="E1649" s="9" t="s">
        <v>8</v>
      </c>
    </row>
    <row r="1650" spans="1:5" outlineLevel="2" x14ac:dyDescent="0.25">
      <c r="A1650" s="3" t="str">
        <f>HYPERLINK("http://mystore1.ru/price_items/search?utf8=%E2%9C%93&amp;oem=3002ASMHC","3002ASMHC")</f>
        <v>3002ASMHC</v>
      </c>
      <c r="B1650" s="1" t="s">
        <v>3222</v>
      </c>
      <c r="C1650" s="9" t="s">
        <v>25</v>
      </c>
      <c r="D1650" s="14" t="s">
        <v>3223</v>
      </c>
      <c r="E1650" s="9" t="s">
        <v>27</v>
      </c>
    </row>
    <row r="1651" spans="1:5" outlineLevel="2" x14ac:dyDescent="0.25">
      <c r="A1651" s="3" t="str">
        <f>HYPERLINK("http://mystore1.ru/price_items/search?utf8=%E2%9C%93&amp;oem=3002ASMHR","3002ASMHR")</f>
        <v>3002ASMHR</v>
      </c>
      <c r="B1651" s="1" t="s">
        <v>3224</v>
      </c>
      <c r="C1651" s="9" t="s">
        <v>25</v>
      </c>
      <c r="D1651" s="14" t="s">
        <v>3225</v>
      </c>
      <c r="E1651" s="9" t="s">
        <v>27</v>
      </c>
    </row>
    <row r="1652" spans="1:5" outlineLevel="2" x14ac:dyDescent="0.25">
      <c r="A1652" s="3" t="str">
        <f>HYPERLINK("http://mystore1.ru/price_items/search?utf8=%E2%9C%93&amp;oem=3002ASMHT","3002ASMHT")</f>
        <v>3002ASMHT</v>
      </c>
      <c r="B1652" s="1" t="s">
        <v>3226</v>
      </c>
      <c r="C1652" s="9" t="s">
        <v>25</v>
      </c>
      <c r="D1652" s="14" t="s">
        <v>3227</v>
      </c>
      <c r="E1652" s="9" t="s">
        <v>27</v>
      </c>
    </row>
    <row r="1653" spans="1:5" outlineLevel="2" x14ac:dyDescent="0.25">
      <c r="A1653" s="3" t="str">
        <f>HYPERLINK("http://mystore1.ru/price_items/search?utf8=%E2%9C%93&amp;oem=3002BCLH","3002BCLH")</f>
        <v>3002BCLH</v>
      </c>
      <c r="B1653" s="1" t="s">
        <v>3228</v>
      </c>
      <c r="C1653" s="9" t="s">
        <v>3218</v>
      </c>
      <c r="D1653" s="14" t="s">
        <v>3229</v>
      </c>
      <c r="E1653" s="9" t="s">
        <v>30</v>
      </c>
    </row>
    <row r="1654" spans="1:5" outlineLevel="2" x14ac:dyDescent="0.25">
      <c r="A1654" s="3" t="str">
        <f>HYPERLINK("http://mystore1.ru/price_items/search?utf8=%E2%9C%93&amp;oem=3002BGNH","3002BGNH")</f>
        <v>3002BGNH</v>
      </c>
      <c r="B1654" s="1" t="s">
        <v>3230</v>
      </c>
      <c r="C1654" s="9" t="s">
        <v>3218</v>
      </c>
      <c r="D1654" s="14" t="s">
        <v>3231</v>
      </c>
      <c r="E1654" s="9" t="s">
        <v>30</v>
      </c>
    </row>
    <row r="1655" spans="1:5" outlineLevel="2" x14ac:dyDescent="0.25">
      <c r="A1655" s="3" t="str">
        <f>HYPERLINK("http://mystore1.ru/price_items/search?utf8=%E2%9C%93&amp;oem=3002LCLH5FD","3002LCLH5FD")</f>
        <v>3002LCLH5FD</v>
      </c>
      <c r="B1655" s="1" t="s">
        <v>3232</v>
      </c>
      <c r="C1655" s="9" t="s">
        <v>3218</v>
      </c>
      <c r="D1655" s="14" t="s">
        <v>3233</v>
      </c>
      <c r="E1655" s="9" t="s">
        <v>11</v>
      </c>
    </row>
    <row r="1656" spans="1:5" outlineLevel="2" x14ac:dyDescent="0.25">
      <c r="A1656" s="3" t="str">
        <f>HYPERLINK("http://mystore1.ru/price_items/search?utf8=%E2%9C%93&amp;oem=3002RCLH5FD","3002RCLH5FD")</f>
        <v>3002RCLH5FD</v>
      </c>
      <c r="B1656" s="1" t="s">
        <v>3234</v>
      </c>
      <c r="C1656" s="9" t="s">
        <v>3218</v>
      </c>
      <c r="D1656" s="14" t="s">
        <v>3235</v>
      </c>
      <c r="E1656" s="9" t="s">
        <v>11</v>
      </c>
    </row>
    <row r="1657" spans="1:5" outlineLevel="2" x14ac:dyDescent="0.25">
      <c r="A1657" s="3" t="str">
        <f>HYPERLINK("http://mystore1.ru/price_items/search?utf8=%E2%9C%93&amp;oem=3002RCLH5RD","3002RCLH5RD")</f>
        <v>3002RCLH5RD</v>
      </c>
      <c r="B1657" s="1" t="s">
        <v>3236</v>
      </c>
      <c r="C1657" s="9" t="s">
        <v>3218</v>
      </c>
      <c r="D1657" s="14" t="s">
        <v>3237</v>
      </c>
      <c r="E1657" s="9" t="s">
        <v>11</v>
      </c>
    </row>
    <row r="1658" spans="1:5" x14ac:dyDescent="0.25">
      <c r="A1658" s="61" t="s">
        <v>3238</v>
      </c>
      <c r="B1658" s="61"/>
      <c r="C1658" s="61"/>
      <c r="D1658" s="61"/>
      <c r="E1658" s="61"/>
    </row>
    <row r="1659" spans="1:5" outlineLevel="1" x14ac:dyDescent="0.25">
      <c r="A1659" s="2"/>
      <c r="B1659" s="6" t="s">
        <v>3239</v>
      </c>
      <c r="C1659" s="8"/>
      <c r="D1659" s="8"/>
      <c r="E1659" s="8"/>
    </row>
    <row r="1660" spans="1:5" ht="15" customHeight="1" outlineLevel="2" x14ac:dyDescent="0.25">
      <c r="A1660" s="3" t="str">
        <f>HYPERLINK("http://mystore1.ru/price_items/search?utf8=%E2%9C%93&amp;oem=4613ACL","4613ACL")</f>
        <v>4613ACL</v>
      </c>
      <c r="B1660" s="1" t="s">
        <v>3240</v>
      </c>
      <c r="C1660" s="9" t="s">
        <v>783</v>
      </c>
      <c r="D1660" s="14" t="s">
        <v>3241</v>
      </c>
      <c r="E1660" s="9" t="s">
        <v>8</v>
      </c>
    </row>
    <row r="1661" spans="1:5" outlineLevel="1" x14ac:dyDescent="0.25">
      <c r="A1661" s="2"/>
      <c r="B1661" s="6" t="s">
        <v>3242</v>
      </c>
      <c r="C1661" s="8"/>
      <c r="D1661" s="8"/>
      <c r="E1661" s="8"/>
    </row>
    <row r="1662" spans="1:5" ht="15" customHeight="1" outlineLevel="2" x14ac:dyDescent="0.25">
      <c r="A1662" s="3" t="str">
        <f>HYPERLINK("http://mystore1.ru/price_items/search?utf8=%E2%9C%93&amp;oem=4625ACL1A","4625ACL1A")</f>
        <v>4625ACL1A</v>
      </c>
      <c r="B1662" s="1" t="s">
        <v>3243</v>
      </c>
      <c r="C1662" s="9" t="s">
        <v>3244</v>
      </c>
      <c r="D1662" s="14" t="s">
        <v>3245</v>
      </c>
      <c r="E1662" s="9" t="s">
        <v>8</v>
      </c>
    </row>
    <row r="1663" spans="1:5" ht="15" customHeight="1" outlineLevel="2" x14ac:dyDescent="0.25">
      <c r="A1663" s="3" t="str">
        <f>HYPERLINK("http://mystore1.ru/price_items/search?utf8=%E2%9C%93&amp;oem=4625AGN1A","4625AGN1A")</f>
        <v>4625AGN1A</v>
      </c>
      <c r="B1663" s="1" t="s">
        <v>3246</v>
      </c>
      <c r="C1663" s="9" t="s">
        <v>3244</v>
      </c>
      <c r="D1663" s="14" t="s">
        <v>3247</v>
      </c>
      <c r="E1663" s="9" t="s">
        <v>8</v>
      </c>
    </row>
    <row r="1664" spans="1:5" ht="15" customHeight="1" outlineLevel="2" x14ac:dyDescent="0.25">
      <c r="A1664" s="3" t="str">
        <f>HYPERLINK("http://mystore1.ru/price_items/search?utf8=%E2%9C%93&amp;oem=4625ASML","4625ASML")</f>
        <v>4625ASML</v>
      </c>
      <c r="B1664" s="1" t="s">
        <v>3248</v>
      </c>
      <c r="C1664" s="9" t="s">
        <v>25</v>
      </c>
      <c r="D1664" s="14" t="s">
        <v>3249</v>
      </c>
      <c r="E1664" s="9" t="s">
        <v>27</v>
      </c>
    </row>
    <row r="1665" spans="1:5" ht="15" customHeight="1" outlineLevel="2" x14ac:dyDescent="0.25">
      <c r="A1665" s="3" t="str">
        <f>HYPERLINK("http://mystore1.ru/price_items/search?utf8=%E2%9C%93&amp;oem=4625LCLL2FD","4625LCLL2FD")</f>
        <v>4625LCLL2FD</v>
      </c>
      <c r="B1665" s="1" t="s">
        <v>3250</v>
      </c>
      <c r="C1665" s="9" t="s">
        <v>3244</v>
      </c>
      <c r="D1665" s="14" t="s">
        <v>3251</v>
      </c>
      <c r="E1665" s="9" t="s">
        <v>11</v>
      </c>
    </row>
    <row r="1666" spans="1:5" ht="15" customHeight="1" outlineLevel="2" x14ac:dyDescent="0.25">
      <c r="A1666" s="3" t="str">
        <f>HYPERLINK("http://mystore1.ru/price_items/search?utf8=%E2%9C%93&amp;oem=4625LGNL2FD","4625LGNL2FD")</f>
        <v>4625LGNL2FD</v>
      </c>
      <c r="B1666" s="1" t="s">
        <v>3252</v>
      </c>
      <c r="C1666" s="9" t="s">
        <v>3244</v>
      </c>
      <c r="D1666" s="14" t="s">
        <v>3253</v>
      </c>
      <c r="E1666" s="9" t="s">
        <v>11</v>
      </c>
    </row>
    <row r="1667" spans="1:5" ht="15" customHeight="1" outlineLevel="2" x14ac:dyDescent="0.25">
      <c r="A1667" s="3" t="str">
        <f>HYPERLINK("http://mystore1.ru/price_items/search?utf8=%E2%9C%93&amp;oem=4625RCLL2FD","4625RCLL2FD")</f>
        <v>4625RCLL2FD</v>
      </c>
      <c r="B1667" s="1" t="s">
        <v>3254</v>
      </c>
      <c r="C1667" s="9" t="s">
        <v>3244</v>
      </c>
      <c r="D1667" s="14" t="s">
        <v>3255</v>
      </c>
      <c r="E1667" s="9" t="s">
        <v>11</v>
      </c>
    </row>
    <row r="1668" spans="1:5" ht="15" customHeight="1" outlineLevel="2" x14ac:dyDescent="0.25">
      <c r="A1668" s="3" t="str">
        <f>HYPERLINK("http://mystore1.ru/price_items/search?utf8=%E2%9C%93&amp;oem=4625RGNL2FD","4625RGNL2FD")</f>
        <v>4625RGNL2FD</v>
      </c>
      <c r="B1668" s="1" t="s">
        <v>3256</v>
      </c>
      <c r="C1668" s="9" t="s">
        <v>3244</v>
      </c>
      <c r="D1668" s="14" t="s">
        <v>3257</v>
      </c>
      <c r="E1668" s="9" t="s">
        <v>11</v>
      </c>
    </row>
    <row r="1669" spans="1:5" outlineLevel="1" x14ac:dyDescent="0.25">
      <c r="A1669" s="2"/>
      <c r="B1669" s="6" t="s">
        <v>3258</v>
      </c>
      <c r="C1669" s="8"/>
      <c r="D1669" s="8"/>
      <c r="E1669" s="8"/>
    </row>
    <row r="1670" spans="1:5" ht="15" customHeight="1" outlineLevel="2" x14ac:dyDescent="0.25">
      <c r="A1670" s="3" t="str">
        <f>HYPERLINK("http://mystore1.ru/price_items/search?utf8=%E2%9C%93&amp;oem=4612ACL","4612ACL")</f>
        <v>4612ACL</v>
      </c>
      <c r="B1670" s="1" t="s">
        <v>3259</v>
      </c>
      <c r="C1670" s="9" t="s">
        <v>3260</v>
      </c>
      <c r="D1670" s="14" t="s">
        <v>3261</v>
      </c>
      <c r="E1670" s="9" t="s">
        <v>8</v>
      </c>
    </row>
    <row r="1671" spans="1:5" outlineLevel="1" x14ac:dyDescent="0.25">
      <c r="A1671" s="2"/>
      <c r="B1671" s="6" t="s">
        <v>3262</v>
      </c>
      <c r="C1671" s="8"/>
      <c r="D1671" s="8"/>
      <c r="E1671" s="8"/>
    </row>
    <row r="1672" spans="1:5" ht="15" customHeight="1" outlineLevel="2" x14ac:dyDescent="0.25">
      <c r="A1672" s="3" t="str">
        <f>HYPERLINK("http://mystore1.ru/price_items/search?utf8=%E2%9C%93&amp;oem=4624ABZ","4624ABZ")</f>
        <v>4624ABZ</v>
      </c>
      <c r="B1672" s="1" t="s">
        <v>3263</v>
      </c>
      <c r="C1672" s="9" t="s">
        <v>2126</v>
      </c>
      <c r="D1672" s="14" t="s">
        <v>3264</v>
      </c>
      <c r="E1672" s="9" t="s">
        <v>8</v>
      </c>
    </row>
    <row r="1673" spans="1:5" ht="15" customHeight="1" outlineLevel="2" x14ac:dyDescent="0.25">
      <c r="A1673" s="3" t="str">
        <f>HYPERLINK("http://mystore1.ru/price_items/search?utf8=%E2%9C%93&amp;oem=4624ACL","4624ACL")</f>
        <v>4624ACL</v>
      </c>
      <c r="B1673" s="1" t="s">
        <v>3265</v>
      </c>
      <c r="C1673" s="9" t="s">
        <v>2126</v>
      </c>
      <c r="D1673" s="14" t="s">
        <v>3266</v>
      </c>
      <c r="E1673" s="9" t="s">
        <v>8</v>
      </c>
    </row>
    <row r="1674" spans="1:5" ht="15" customHeight="1" outlineLevel="2" x14ac:dyDescent="0.25">
      <c r="A1674" s="3" t="str">
        <f>HYPERLINK("http://mystore1.ru/price_items/search?utf8=%E2%9C%93&amp;oem=4624AGN","4624AGN")</f>
        <v>4624AGN</v>
      </c>
      <c r="B1674" s="1" t="s">
        <v>3267</v>
      </c>
      <c r="C1674" s="9" t="s">
        <v>2126</v>
      </c>
      <c r="D1674" s="14" t="s">
        <v>3268</v>
      </c>
      <c r="E1674" s="9" t="s">
        <v>8</v>
      </c>
    </row>
    <row r="1675" spans="1:5" ht="15" customHeight="1" outlineLevel="2" x14ac:dyDescent="0.25">
      <c r="A1675" s="3" t="str">
        <f>HYPERLINK("http://mystore1.ru/price_items/search?utf8=%E2%9C%93&amp;oem=4624AGNGN","4624AGNGN")</f>
        <v>4624AGNGN</v>
      </c>
      <c r="B1675" s="1" t="s">
        <v>3269</v>
      </c>
      <c r="C1675" s="9" t="s">
        <v>2126</v>
      </c>
      <c r="D1675" s="14" t="s">
        <v>3270</v>
      </c>
      <c r="E1675" s="9" t="s">
        <v>8</v>
      </c>
    </row>
    <row r="1676" spans="1:5" ht="15" customHeight="1" outlineLevel="2" x14ac:dyDescent="0.25">
      <c r="A1676" s="3" t="str">
        <f>HYPERLINK("http://mystore1.ru/price_items/search?utf8=%E2%9C%93&amp;oem=4624ASRL","4624ASRL")</f>
        <v>4624ASRL</v>
      </c>
      <c r="B1676" s="1" t="s">
        <v>3271</v>
      </c>
      <c r="C1676" s="9" t="s">
        <v>25</v>
      </c>
      <c r="D1676" s="14" t="s">
        <v>3272</v>
      </c>
      <c r="E1676" s="9" t="s">
        <v>27</v>
      </c>
    </row>
    <row r="1677" spans="1:5" ht="15" customHeight="1" outlineLevel="2" x14ac:dyDescent="0.25">
      <c r="A1677" s="3" t="str">
        <f>HYPERLINK("http://mystore1.ru/price_items/search?utf8=%E2%9C%93&amp;oem=4624FCLL2FD","4624FCLL2FD")</f>
        <v>4624FCLL2FD</v>
      </c>
      <c r="B1677" s="1" t="s">
        <v>3273</v>
      </c>
      <c r="C1677" s="9" t="s">
        <v>2126</v>
      </c>
      <c r="D1677" s="14" t="s">
        <v>3274</v>
      </c>
      <c r="E1677" s="9" t="s">
        <v>11</v>
      </c>
    </row>
    <row r="1678" spans="1:5" ht="15" customHeight="1" outlineLevel="2" x14ac:dyDescent="0.25">
      <c r="A1678" s="3" t="str">
        <f>HYPERLINK("http://mystore1.ru/price_items/search?utf8=%E2%9C%93&amp;oem=4624LBZL2FD","4624LBZL2FD")</f>
        <v>4624LBZL2FD</v>
      </c>
      <c r="B1678" s="1" t="s">
        <v>3275</v>
      </c>
      <c r="C1678" s="9" t="s">
        <v>2126</v>
      </c>
      <c r="D1678" s="14" t="s">
        <v>3276</v>
      </c>
      <c r="E1678" s="9" t="s">
        <v>11</v>
      </c>
    </row>
    <row r="1679" spans="1:5" outlineLevel="1" x14ac:dyDescent="0.25">
      <c r="A1679" s="2"/>
      <c r="B1679" s="6" t="s">
        <v>3277</v>
      </c>
      <c r="C1679" s="8"/>
      <c r="D1679" s="8"/>
      <c r="E1679" s="8"/>
    </row>
    <row r="1680" spans="1:5" ht="15" customHeight="1" outlineLevel="2" x14ac:dyDescent="0.25">
      <c r="A1680" s="3" t="str">
        <f>HYPERLINK("http://mystore1.ru/price_items/search?utf8=%E2%9C%93&amp;oem=9247ACL","9247ACL")</f>
        <v>9247ACL</v>
      </c>
      <c r="B1680" s="1" t="s">
        <v>3278</v>
      </c>
      <c r="C1680" s="9" t="s">
        <v>3279</v>
      </c>
      <c r="D1680" s="14" t="s">
        <v>3280</v>
      </c>
      <c r="E1680" s="9" t="s">
        <v>8</v>
      </c>
    </row>
    <row r="1681" spans="1:5" outlineLevel="1" x14ac:dyDescent="0.25">
      <c r="A1681" s="2"/>
      <c r="B1681" s="6" t="s">
        <v>3281</v>
      </c>
      <c r="C1681" s="8"/>
      <c r="D1681" s="8"/>
      <c r="E1681" s="8"/>
    </row>
    <row r="1682" spans="1:5" ht="15" customHeight="1" outlineLevel="2" x14ac:dyDescent="0.25">
      <c r="A1682" s="3" t="str">
        <f>HYPERLINK("http://mystore1.ru/price_items/search?utf8=%E2%9C%93&amp;oem=OLD-4633AGN","OLD-4633AGN")</f>
        <v>OLD-4633AGN</v>
      </c>
      <c r="B1682" s="1" t="s">
        <v>3282</v>
      </c>
      <c r="C1682" s="9" t="s">
        <v>1423</v>
      </c>
      <c r="D1682" s="14" t="s">
        <v>3283</v>
      </c>
      <c r="E1682" s="9" t="s">
        <v>8</v>
      </c>
    </row>
    <row r="1683" spans="1:5" ht="15" customHeight="1" outlineLevel="2" x14ac:dyDescent="0.25">
      <c r="A1683" s="3" t="str">
        <f>HYPERLINK("http://mystore1.ru/price_items/search?utf8=%E2%9C%93&amp;oem=OLD-4633ASML","OLD-4633ASML")</f>
        <v>OLD-4633ASML</v>
      </c>
      <c r="B1683" s="1" t="s">
        <v>3284</v>
      </c>
      <c r="C1683" s="9" t="s">
        <v>25</v>
      </c>
      <c r="D1683" s="14" t="s">
        <v>3285</v>
      </c>
      <c r="E1683" s="9" t="s">
        <v>27</v>
      </c>
    </row>
    <row r="1684" spans="1:5" outlineLevel="1" x14ac:dyDescent="0.25">
      <c r="A1684" s="2"/>
      <c r="B1684" s="6" t="s">
        <v>3286</v>
      </c>
      <c r="C1684" s="8"/>
      <c r="D1684" s="8"/>
      <c r="E1684" s="8"/>
    </row>
    <row r="1685" spans="1:5" ht="15" customHeight="1" outlineLevel="2" x14ac:dyDescent="0.25">
      <c r="A1685" s="3" t="str">
        <f>HYPERLINK("http://mystore1.ru/price_items/search?utf8=%E2%9C%93&amp;oem=4635AGN","4635AGN")</f>
        <v>4635AGN</v>
      </c>
      <c r="B1685" s="1" t="s">
        <v>3287</v>
      </c>
      <c r="C1685" s="9" t="s">
        <v>687</v>
      </c>
      <c r="D1685" s="14" t="s">
        <v>3288</v>
      </c>
      <c r="E1685" s="9" t="s">
        <v>8</v>
      </c>
    </row>
    <row r="1686" spans="1:5" outlineLevel="1" x14ac:dyDescent="0.25">
      <c r="A1686" s="2"/>
      <c r="B1686" s="6" t="s">
        <v>3289</v>
      </c>
      <c r="C1686" s="8"/>
      <c r="D1686" s="8"/>
      <c r="E1686" s="8"/>
    </row>
    <row r="1687" spans="1:5" outlineLevel="2" x14ac:dyDescent="0.25">
      <c r="A1687" s="3" t="str">
        <f>HYPERLINK("http://mystore1.ru/price_items/search?utf8=%E2%9C%93&amp;oem=4616ACL","4616ACL")</f>
        <v>4616ACL</v>
      </c>
      <c r="B1687" s="1" t="s">
        <v>3290</v>
      </c>
      <c r="C1687" s="9" t="s">
        <v>3291</v>
      </c>
      <c r="D1687" s="14" t="s">
        <v>3292</v>
      </c>
      <c r="E1687" s="9" t="s">
        <v>8</v>
      </c>
    </row>
    <row r="1688" spans="1:5" x14ac:dyDescent="0.25">
      <c r="A1688" s="61" t="s">
        <v>3293</v>
      </c>
      <c r="B1688" s="61"/>
      <c r="C1688" s="61"/>
      <c r="D1688" s="61"/>
      <c r="E1688" s="61"/>
    </row>
    <row r="1689" spans="1:5" outlineLevel="1" x14ac:dyDescent="0.25">
      <c r="A1689" s="2"/>
      <c r="B1689" s="6" t="s">
        <v>3294</v>
      </c>
      <c r="C1689" s="8"/>
      <c r="D1689" s="8"/>
      <c r="E1689" s="8"/>
    </row>
    <row r="1690" spans="1:5" ht="15" customHeight="1" outlineLevel="2" x14ac:dyDescent="0.25">
      <c r="A1690" s="3" t="str">
        <f>HYPERLINK("http://mystore1.ru/price_items/search?utf8=%E2%9C%93&amp;oem=3723ACL","3723ACL")</f>
        <v>3723ACL</v>
      </c>
      <c r="B1690" s="1" t="s">
        <v>3295</v>
      </c>
      <c r="C1690" s="9" t="s">
        <v>3296</v>
      </c>
      <c r="D1690" s="14" t="s">
        <v>3297</v>
      </c>
      <c r="E1690" s="9" t="s">
        <v>8</v>
      </c>
    </row>
    <row r="1691" spans="1:5" outlineLevel="1" x14ac:dyDescent="0.25">
      <c r="A1691" s="2"/>
      <c r="B1691" s="6" t="s">
        <v>3298</v>
      </c>
      <c r="C1691" s="8"/>
      <c r="D1691" s="8"/>
      <c r="E1691" s="8"/>
    </row>
    <row r="1692" spans="1:5" ht="15" customHeight="1" outlineLevel="2" x14ac:dyDescent="0.25">
      <c r="A1692" s="3" t="str">
        <f>HYPERLINK("http://mystore1.ru/price_items/search?utf8=%E2%9C%93&amp;oem=3703ACL","3703ACL")</f>
        <v>3703ACL</v>
      </c>
      <c r="B1692" s="1" t="s">
        <v>3299</v>
      </c>
      <c r="C1692" s="9" t="s">
        <v>3300</v>
      </c>
      <c r="D1692" s="14" t="s">
        <v>3301</v>
      </c>
      <c r="E1692" s="9" t="s">
        <v>8</v>
      </c>
    </row>
    <row r="1693" spans="1:5" outlineLevel="1" x14ac:dyDescent="0.25">
      <c r="A1693" s="2"/>
      <c r="B1693" s="6" t="s">
        <v>3302</v>
      </c>
      <c r="C1693" s="8"/>
      <c r="D1693" s="8"/>
      <c r="E1693" s="8"/>
    </row>
    <row r="1694" spans="1:5" ht="15" customHeight="1" outlineLevel="2" x14ac:dyDescent="0.25">
      <c r="A1694" s="3" t="str">
        <f>HYPERLINK("http://mystore1.ru/price_items/search?utf8=%E2%9C%93&amp;oem=3717ACL","3717ACL")</f>
        <v>3717ACL</v>
      </c>
      <c r="B1694" s="1" t="s">
        <v>3303</v>
      </c>
      <c r="C1694" s="9" t="s">
        <v>3304</v>
      </c>
      <c r="D1694" s="14" t="s">
        <v>3305</v>
      </c>
      <c r="E1694" s="9" t="s">
        <v>8</v>
      </c>
    </row>
    <row r="1695" spans="1:5" outlineLevel="1" x14ac:dyDescent="0.25">
      <c r="A1695" s="2"/>
      <c r="B1695" s="6" t="s">
        <v>3306</v>
      </c>
      <c r="C1695" s="8"/>
      <c r="D1695" s="8"/>
      <c r="E1695" s="8"/>
    </row>
    <row r="1696" spans="1:5" ht="15" customHeight="1" outlineLevel="2" x14ac:dyDescent="0.25">
      <c r="A1696" s="3" t="str">
        <f>HYPERLINK("http://mystore1.ru/price_items/search?utf8=%E2%9C%93&amp;oem=3719ACL","3719ACL")</f>
        <v>3719ACL</v>
      </c>
      <c r="B1696" s="1" t="s">
        <v>3307</v>
      </c>
      <c r="C1696" s="9" t="s">
        <v>3308</v>
      </c>
      <c r="D1696" s="14" t="s">
        <v>3309</v>
      </c>
      <c r="E1696" s="9" t="s">
        <v>8</v>
      </c>
    </row>
    <row r="1697" spans="1:5" outlineLevel="1" x14ac:dyDescent="0.25">
      <c r="A1697" s="2"/>
      <c r="B1697" s="6" t="s">
        <v>3310</v>
      </c>
      <c r="C1697" s="7"/>
      <c r="D1697" s="8"/>
      <c r="E1697" s="8"/>
    </row>
    <row r="1698" spans="1:5" ht="15" customHeight="1" outlineLevel="2" x14ac:dyDescent="0.25">
      <c r="A1698" s="3" t="str">
        <f>HYPERLINK("http://mystore1.ru/price_items/search?utf8=%E2%9C%93&amp;oem=3725ACL","3725ACL")</f>
        <v>3725ACL</v>
      </c>
      <c r="B1698" s="1" t="s">
        <v>3311</v>
      </c>
      <c r="C1698" s="9" t="s">
        <v>3312</v>
      </c>
      <c r="D1698" s="14" t="s">
        <v>3313</v>
      </c>
      <c r="E1698" s="9" t="s">
        <v>8</v>
      </c>
    </row>
    <row r="1699" spans="1:5" ht="15" customHeight="1" outlineLevel="2" x14ac:dyDescent="0.25">
      <c r="A1699" s="3" t="str">
        <f>HYPERLINK("http://mystore1.ru/price_items/search?utf8=%E2%9C%93&amp;oem=3725AGNGN","3725AGNGN")</f>
        <v>3725AGNGN</v>
      </c>
      <c r="B1699" s="1" t="s">
        <v>3314</v>
      </c>
      <c r="C1699" s="9" t="s">
        <v>3312</v>
      </c>
      <c r="D1699" s="14" t="s">
        <v>3315</v>
      </c>
      <c r="E1699" s="9" t="s">
        <v>8</v>
      </c>
    </row>
    <row r="1700" spans="1:5" ht="15" customHeight="1" outlineLevel="2" x14ac:dyDescent="0.25">
      <c r="A1700" s="3" t="str">
        <f>HYPERLINK("http://mystore1.ru/price_items/search?utf8=%E2%9C%93&amp;oem=3725ASRV","3725ASRV")</f>
        <v>3725ASRV</v>
      </c>
      <c r="B1700" s="1" t="s">
        <v>3316</v>
      </c>
      <c r="C1700" s="9" t="s">
        <v>25</v>
      </c>
      <c r="D1700" s="14" t="s">
        <v>3317</v>
      </c>
      <c r="E1700" s="9" t="s">
        <v>27</v>
      </c>
    </row>
    <row r="1701" spans="1:5" outlineLevel="1" x14ac:dyDescent="0.25">
      <c r="A1701" s="2"/>
      <c r="B1701" s="6" t="s">
        <v>3318</v>
      </c>
      <c r="C1701" s="47"/>
      <c r="D1701" s="8"/>
      <c r="E1701" s="8"/>
    </row>
    <row r="1702" spans="1:5" ht="15" customHeight="1" outlineLevel="2" x14ac:dyDescent="0.25">
      <c r="A1702" s="3" t="str">
        <f>HYPERLINK("http://mystore1.ru/price_items/search?utf8=%E2%9C%93&amp;oem=3724ACL","3724ACL")</f>
        <v>3724ACL</v>
      </c>
      <c r="B1702" s="1" t="s">
        <v>3319</v>
      </c>
      <c r="C1702" s="9" t="s">
        <v>3320</v>
      </c>
      <c r="D1702" s="14" t="s">
        <v>3321</v>
      </c>
      <c r="E1702" s="9" t="s">
        <v>8</v>
      </c>
    </row>
    <row r="1703" spans="1:5" ht="15" customHeight="1" outlineLevel="2" x14ac:dyDescent="0.25">
      <c r="A1703" s="3" t="str">
        <f>HYPERLINK("http://mystore1.ru/price_items/search?utf8=%E2%9C%93&amp;oem=3724AGN","3724AGN")</f>
        <v>3724AGN</v>
      </c>
      <c r="B1703" s="1" t="s">
        <v>3322</v>
      </c>
      <c r="C1703" s="9" t="s">
        <v>3320</v>
      </c>
      <c r="D1703" s="14" t="s">
        <v>3323</v>
      </c>
      <c r="E1703" s="9" t="s">
        <v>8</v>
      </c>
    </row>
    <row r="1704" spans="1:5" outlineLevel="1" x14ac:dyDescent="0.25">
      <c r="A1704" s="2"/>
      <c r="B1704" s="6" t="s">
        <v>3324</v>
      </c>
      <c r="C1704" s="8"/>
      <c r="D1704" s="8"/>
      <c r="E1704" s="8"/>
    </row>
    <row r="1705" spans="1:5" outlineLevel="2" x14ac:dyDescent="0.25">
      <c r="A1705" s="3" t="str">
        <f>HYPERLINK("http://mystore1.ru/price_items/search?utf8=%E2%9C%93&amp;oem=3729AGN","3729AGN")</f>
        <v>3729AGN</v>
      </c>
      <c r="B1705" s="1" t="s">
        <v>3325</v>
      </c>
      <c r="C1705" s="9" t="s">
        <v>3326</v>
      </c>
      <c r="D1705" s="14" t="s">
        <v>3327</v>
      </c>
      <c r="E1705" s="9" t="s">
        <v>8</v>
      </c>
    </row>
    <row r="1706" spans="1:5" x14ac:dyDescent="0.25">
      <c r="A1706" s="61" t="s">
        <v>3328</v>
      </c>
      <c r="B1706" s="61"/>
      <c r="C1706" s="61"/>
      <c r="D1706" s="61"/>
      <c r="E1706" s="61"/>
    </row>
    <row r="1707" spans="1:5" outlineLevel="1" x14ac:dyDescent="0.25">
      <c r="A1707" s="2"/>
      <c r="B1707" s="6" t="s">
        <v>3329</v>
      </c>
      <c r="C1707" s="8"/>
      <c r="D1707" s="8"/>
      <c r="E1707" s="8"/>
    </row>
    <row r="1708" spans="1:5" ht="15" customHeight="1" outlineLevel="2" x14ac:dyDescent="0.25">
      <c r="A1708" s="3" t="str">
        <f>HYPERLINK("http://mystore1.ru/price_items/search?utf8=%E2%9C%93&amp;oem=3726ACL","3726ACL")</f>
        <v>3726ACL</v>
      </c>
      <c r="B1708" s="1" t="s">
        <v>3330</v>
      </c>
      <c r="C1708" s="9" t="s">
        <v>3331</v>
      </c>
      <c r="D1708" s="14" t="s">
        <v>3332</v>
      </c>
      <c r="E1708" s="9" t="s">
        <v>8</v>
      </c>
    </row>
    <row r="1709" spans="1:5" outlineLevel="1" x14ac:dyDescent="0.25">
      <c r="A1709" s="2"/>
      <c r="B1709" s="6" t="s">
        <v>3333</v>
      </c>
      <c r="C1709" s="8"/>
      <c r="D1709" s="8"/>
      <c r="E1709" s="8"/>
    </row>
    <row r="1710" spans="1:5" ht="15" customHeight="1" outlineLevel="2" x14ac:dyDescent="0.25">
      <c r="A1710" s="3" t="str">
        <f>HYPERLINK("http://mystore1.ru/price_items/search?utf8=%E2%9C%93&amp;oem=3730ACL","3730ACL")</f>
        <v>3730ACL</v>
      </c>
      <c r="B1710" s="1" t="s">
        <v>3334</v>
      </c>
      <c r="C1710" s="9" t="s">
        <v>3335</v>
      </c>
      <c r="D1710" s="14" t="s">
        <v>3336</v>
      </c>
      <c r="E1710" s="9" t="s">
        <v>8</v>
      </c>
    </row>
    <row r="1711" spans="1:5" outlineLevel="1" x14ac:dyDescent="0.25">
      <c r="A1711" s="2"/>
      <c r="B1711" s="6" t="s">
        <v>3337</v>
      </c>
      <c r="C1711" s="8"/>
      <c r="D1711" s="8"/>
      <c r="E1711" s="8"/>
    </row>
    <row r="1712" spans="1:5" ht="15" customHeight="1" outlineLevel="2" x14ac:dyDescent="0.25">
      <c r="A1712" s="3" t="str">
        <f>HYPERLINK("http://mystore1.ru/price_items/search?utf8=%E2%9C%93&amp;oem=3732ACL","3732ACL")</f>
        <v>3732ACL</v>
      </c>
      <c r="B1712" s="1" t="s">
        <v>3338</v>
      </c>
      <c r="C1712" s="9" t="s">
        <v>3339</v>
      </c>
      <c r="D1712" s="14" t="s">
        <v>3340</v>
      </c>
      <c r="E1712" s="9" t="s">
        <v>8</v>
      </c>
    </row>
    <row r="1713" spans="1:5" ht="15" customHeight="1" outlineLevel="2" x14ac:dyDescent="0.25">
      <c r="A1713" s="3" t="str">
        <f>HYPERLINK("http://mystore1.ru/price_items/search?utf8=%E2%9C%93&amp;oem=3732AGN","3732AGN")</f>
        <v>3732AGN</v>
      </c>
      <c r="B1713" s="1" t="s">
        <v>3341</v>
      </c>
      <c r="C1713" s="9" t="s">
        <v>3339</v>
      </c>
      <c r="D1713" s="14" t="s">
        <v>3342</v>
      </c>
      <c r="E1713" s="9" t="s">
        <v>8</v>
      </c>
    </row>
    <row r="1714" spans="1:5" ht="15" customHeight="1" outlineLevel="2" x14ac:dyDescent="0.25">
      <c r="A1714" s="3" t="str">
        <f>HYPERLINK("http://mystore1.ru/price_items/search?utf8=%E2%9C%93&amp;oem=3732AGNGN","3732AGNGN")</f>
        <v>3732AGNGN</v>
      </c>
      <c r="B1714" s="1" t="s">
        <v>3343</v>
      </c>
      <c r="C1714" s="9" t="s">
        <v>3339</v>
      </c>
      <c r="D1714" s="14" t="s">
        <v>3344</v>
      </c>
      <c r="E1714" s="9" t="s">
        <v>8</v>
      </c>
    </row>
    <row r="1715" spans="1:5" ht="15" customHeight="1" outlineLevel="2" x14ac:dyDescent="0.25">
      <c r="A1715" s="3" t="str">
        <f>HYPERLINK("http://mystore1.ru/price_items/search?utf8=%E2%9C%93&amp;oem=3732ASRL","3732ASRL")</f>
        <v>3732ASRL</v>
      </c>
      <c r="B1715" s="1" t="s">
        <v>3345</v>
      </c>
      <c r="C1715" s="9" t="s">
        <v>25</v>
      </c>
      <c r="D1715" s="14" t="s">
        <v>3346</v>
      </c>
      <c r="E1715" s="9" t="s">
        <v>27</v>
      </c>
    </row>
    <row r="1716" spans="1:5" ht="15" customHeight="1" outlineLevel="2" x14ac:dyDescent="0.25">
      <c r="A1716" s="3" t="str">
        <f>HYPERLINK("http://mystore1.ru/price_items/search?utf8=%E2%9C%93&amp;oem=3732LCLL2FD","3732LCLL2FD")</f>
        <v>3732LCLL2FD</v>
      </c>
      <c r="B1716" s="1" t="s">
        <v>3347</v>
      </c>
      <c r="C1716" s="9" t="s">
        <v>3339</v>
      </c>
      <c r="D1716" s="14" t="s">
        <v>3348</v>
      </c>
      <c r="E1716" s="9" t="s">
        <v>11</v>
      </c>
    </row>
    <row r="1717" spans="1:5" ht="15" customHeight="1" outlineLevel="2" x14ac:dyDescent="0.25">
      <c r="A1717" s="3" t="str">
        <f>HYPERLINK("http://mystore1.ru/price_items/search?utf8=%E2%9C%93&amp;oem=3732LGNL2FD","3732LGNL2FD")</f>
        <v>3732LGNL2FD</v>
      </c>
      <c r="B1717" s="1" t="s">
        <v>3349</v>
      </c>
      <c r="C1717" s="9" t="s">
        <v>3339</v>
      </c>
      <c r="D1717" s="14" t="s">
        <v>3350</v>
      </c>
      <c r="E1717" s="9" t="s">
        <v>11</v>
      </c>
    </row>
    <row r="1718" spans="1:5" ht="15" customHeight="1" outlineLevel="2" x14ac:dyDescent="0.25">
      <c r="A1718" s="3" t="str">
        <f>HYPERLINK("http://mystore1.ru/price_items/search?utf8=%E2%9C%93&amp;oem=3732LGNL2FV","3732LGNL2FV")</f>
        <v>3732LGNL2FV</v>
      </c>
      <c r="B1718" s="1" t="s">
        <v>3351</v>
      </c>
      <c r="C1718" s="9" t="s">
        <v>3339</v>
      </c>
      <c r="D1718" s="14" t="s">
        <v>3352</v>
      </c>
      <c r="E1718" s="9" t="s">
        <v>11</v>
      </c>
    </row>
    <row r="1719" spans="1:5" ht="15" customHeight="1" outlineLevel="2" x14ac:dyDescent="0.25">
      <c r="A1719" s="3" t="str">
        <f>HYPERLINK("http://mystore1.ru/price_items/search?utf8=%E2%9C%93&amp;oem=3732RCLL2FD","3732RCLL2FD")</f>
        <v>3732RCLL2FD</v>
      </c>
      <c r="B1719" s="1" t="s">
        <v>3353</v>
      </c>
      <c r="C1719" s="9" t="s">
        <v>3339</v>
      </c>
      <c r="D1719" s="14" t="s">
        <v>3354</v>
      </c>
      <c r="E1719" s="9" t="s">
        <v>11</v>
      </c>
    </row>
    <row r="1720" spans="1:5" ht="15" customHeight="1" outlineLevel="2" x14ac:dyDescent="0.25">
      <c r="A1720" s="3" t="str">
        <f>HYPERLINK("http://mystore1.ru/price_items/search?utf8=%E2%9C%93&amp;oem=3732RCLL2FV","3732RCLL2FV")</f>
        <v>3732RCLL2FV</v>
      </c>
      <c r="B1720" s="1" t="s">
        <v>3355</v>
      </c>
      <c r="C1720" s="9" t="s">
        <v>3339</v>
      </c>
      <c r="D1720" s="14" t="s">
        <v>3356</v>
      </c>
      <c r="E1720" s="9" t="s">
        <v>11</v>
      </c>
    </row>
    <row r="1721" spans="1:5" ht="15" customHeight="1" outlineLevel="2" x14ac:dyDescent="0.25">
      <c r="A1721" s="3" t="str">
        <f>HYPERLINK("http://mystore1.ru/price_items/search?utf8=%E2%9C%93&amp;oem=3732RGNL2FD","3732RGNL2FD")</f>
        <v>3732RGNL2FD</v>
      </c>
      <c r="B1721" s="1" t="s">
        <v>3357</v>
      </c>
      <c r="C1721" s="9" t="s">
        <v>3339</v>
      </c>
      <c r="D1721" s="14" t="s">
        <v>3358</v>
      </c>
      <c r="E1721" s="9" t="s">
        <v>11</v>
      </c>
    </row>
    <row r="1722" spans="1:5" ht="15" customHeight="1" outlineLevel="2" x14ac:dyDescent="0.25">
      <c r="A1722" s="3" t="str">
        <f>HYPERLINK("http://mystore1.ru/price_items/search?utf8=%E2%9C%93&amp;oem=3732RGNL2FV","3732RGNL2FV")</f>
        <v>3732RGNL2FV</v>
      </c>
      <c r="B1722" s="1" t="s">
        <v>3359</v>
      </c>
      <c r="C1722" s="9" t="s">
        <v>3339</v>
      </c>
      <c r="D1722" s="14" t="s">
        <v>3360</v>
      </c>
      <c r="E1722" s="9" t="s">
        <v>11</v>
      </c>
    </row>
    <row r="1723" spans="1:5" outlineLevel="1" x14ac:dyDescent="0.25">
      <c r="A1723" s="2"/>
      <c r="B1723" s="6" t="s">
        <v>3361</v>
      </c>
      <c r="C1723" s="7"/>
      <c r="D1723" s="8"/>
      <c r="E1723" s="8"/>
    </row>
    <row r="1724" spans="1:5" outlineLevel="2" x14ac:dyDescent="0.25">
      <c r="A1724" s="3" t="str">
        <f>HYPERLINK("http://mystore1.ru/price_items/search?utf8=%E2%9C%93&amp;oem=3721ABZ","3721ABZ")</f>
        <v>3721ABZ</v>
      </c>
      <c r="B1724" s="1" t="s">
        <v>3362</v>
      </c>
      <c r="C1724" s="9" t="s">
        <v>3363</v>
      </c>
      <c r="D1724" s="14" t="s">
        <v>3364</v>
      </c>
      <c r="E1724" s="9" t="s">
        <v>8</v>
      </c>
    </row>
    <row r="1725" spans="1:5" outlineLevel="2" x14ac:dyDescent="0.25">
      <c r="A1725" s="3" t="str">
        <f>HYPERLINK("http://mystore1.ru/price_items/search?utf8=%E2%9C%93&amp;oem=3721ACL","3721ACL")</f>
        <v>3721ACL</v>
      </c>
      <c r="B1725" s="1" t="s">
        <v>3365</v>
      </c>
      <c r="C1725" s="9" t="s">
        <v>3363</v>
      </c>
      <c r="D1725" s="14" t="s">
        <v>3366</v>
      </c>
      <c r="E1725" s="9" t="s">
        <v>8</v>
      </c>
    </row>
    <row r="1726" spans="1:5" x14ac:dyDescent="0.25">
      <c r="A1726" s="61" t="s">
        <v>3367</v>
      </c>
      <c r="B1726" s="61"/>
      <c r="C1726" s="61"/>
      <c r="D1726" s="61"/>
      <c r="E1726" s="61"/>
    </row>
    <row r="1727" spans="1:5" outlineLevel="1" x14ac:dyDescent="0.25">
      <c r="A1727" s="2"/>
      <c r="B1727" s="6" t="s">
        <v>3368</v>
      </c>
      <c r="C1727" s="8"/>
      <c r="D1727" s="8"/>
      <c r="E1727" s="8"/>
    </row>
    <row r="1728" spans="1:5" ht="15" customHeight="1" outlineLevel="2" x14ac:dyDescent="0.25">
      <c r="A1728" s="3" t="str">
        <f>HYPERLINK("http://mystore1.ru/price_items/search?utf8=%E2%9C%93&amp;oem=3741AGN","3741AGN")</f>
        <v>3741AGN</v>
      </c>
      <c r="B1728" s="1" t="s">
        <v>3369</v>
      </c>
      <c r="C1728" s="9" t="s">
        <v>956</v>
      </c>
      <c r="D1728" s="14" t="s">
        <v>3370</v>
      </c>
      <c r="E1728" s="9" t="s">
        <v>8</v>
      </c>
    </row>
    <row r="1729" spans="1:5" ht="15" customHeight="1" outlineLevel="2" x14ac:dyDescent="0.25">
      <c r="A1729" s="3" t="str">
        <f>HYPERLINK("http://mystore1.ru/price_items/search?utf8=%E2%9C%93&amp;oem=3741AGN1B","3741AGN1B")</f>
        <v>3741AGN1B</v>
      </c>
      <c r="B1729" s="1" t="s">
        <v>3371</v>
      </c>
      <c r="C1729" s="9" t="s">
        <v>956</v>
      </c>
      <c r="D1729" s="14" t="s">
        <v>3372</v>
      </c>
      <c r="E1729" s="9" t="s">
        <v>8</v>
      </c>
    </row>
    <row r="1730" spans="1:5" ht="15" customHeight="1" outlineLevel="2" x14ac:dyDescent="0.25">
      <c r="A1730" s="3" t="str">
        <f>HYPERLINK("http://mystore1.ru/price_items/search?utf8=%E2%9C%93&amp;oem=3741AGNGN","3741AGNGN")</f>
        <v>3741AGNGN</v>
      </c>
      <c r="B1730" s="1" t="s">
        <v>3373</v>
      </c>
      <c r="C1730" s="9" t="s">
        <v>956</v>
      </c>
      <c r="D1730" s="14" t="s">
        <v>3374</v>
      </c>
      <c r="E1730" s="9" t="s">
        <v>8</v>
      </c>
    </row>
    <row r="1731" spans="1:5" ht="15" customHeight="1" outlineLevel="2" x14ac:dyDescent="0.25">
      <c r="A1731" s="3" t="str">
        <f>HYPERLINK("http://mystore1.ru/price_items/search?utf8=%E2%9C%93&amp;oem=3741AGNGN1B","3741AGNGN1B")</f>
        <v>3741AGNGN1B</v>
      </c>
      <c r="B1731" s="1" t="s">
        <v>3375</v>
      </c>
      <c r="C1731" s="9" t="s">
        <v>956</v>
      </c>
      <c r="D1731" s="14" t="s">
        <v>3374</v>
      </c>
      <c r="E1731" s="9" t="s">
        <v>8</v>
      </c>
    </row>
    <row r="1732" spans="1:5" ht="15" customHeight="1" outlineLevel="2" x14ac:dyDescent="0.25">
      <c r="A1732" s="3" t="str">
        <f>HYPERLINK("http://mystore1.ru/price_items/search?utf8=%E2%9C%93&amp;oem=3741AGNH","3741AGNH")</f>
        <v>3741AGNH</v>
      </c>
      <c r="B1732" s="1" t="s">
        <v>3376</v>
      </c>
      <c r="C1732" s="9" t="s">
        <v>956</v>
      </c>
      <c r="D1732" s="14" t="s">
        <v>3377</v>
      </c>
      <c r="E1732" s="9" t="s">
        <v>8</v>
      </c>
    </row>
    <row r="1733" spans="1:5" ht="15" customHeight="1" outlineLevel="2" x14ac:dyDescent="0.25">
      <c r="A1733" s="3" t="str">
        <f>HYPERLINK("http://mystore1.ru/price_items/search?utf8=%E2%9C%93&amp;oem=3741ASMV","3741ASMV")</f>
        <v>3741ASMV</v>
      </c>
      <c r="B1733" s="1" t="s">
        <v>3378</v>
      </c>
      <c r="C1733" s="9" t="s">
        <v>25</v>
      </c>
      <c r="D1733" s="14" t="s">
        <v>3379</v>
      </c>
      <c r="E1733" s="9" t="s">
        <v>27</v>
      </c>
    </row>
    <row r="1734" spans="1:5" ht="15" customHeight="1" outlineLevel="2" x14ac:dyDescent="0.25">
      <c r="A1734" s="3" t="str">
        <f>HYPERLINK("http://mystore1.ru/price_items/search?utf8=%E2%9C%93&amp;oem=3741BGSPU","3741BGSPU")</f>
        <v>3741BGSPU</v>
      </c>
      <c r="B1734" s="1" t="s">
        <v>3380</v>
      </c>
      <c r="C1734" s="9" t="s">
        <v>956</v>
      </c>
      <c r="D1734" s="14" t="s">
        <v>3381</v>
      </c>
      <c r="E1734" s="9" t="s">
        <v>30</v>
      </c>
    </row>
    <row r="1735" spans="1:5" ht="15" customHeight="1" outlineLevel="2" x14ac:dyDescent="0.25">
      <c r="A1735" s="3" t="str">
        <f>HYPERLINK("http://mystore1.ru/price_items/search?utf8=%E2%9C%93&amp;oem=3741BGSVLW","3741BGSVLW")</f>
        <v>3741BGSVLW</v>
      </c>
      <c r="B1735" s="1" t="s">
        <v>3382</v>
      </c>
      <c r="C1735" s="9" t="s">
        <v>956</v>
      </c>
      <c r="D1735" s="14" t="s">
        <v>3383</v>
      </c>
      <c r="E1735" s="9" t="s">
        <v>30</v>
      </c>
    </row>
    <row r="1736" spans="1:5" ht="15" customHeight="1" outlineLevel="2" x14ac:dyDescent="0.25">
      <c r="A1736" s="3" t="str">
        <f>HYPERLINK("http://mystore1.ru/price_items/search?utf8=%E2%9C%93&amp;oem=3741BGSVRW","3741BGSVRW")</f>
        <v>3741BGSVRW</v>
      </c>
      <c r="B1736" s="1" t="s">
        <v>3384</v>
      </c>
      <c r="C1736" s="9" t="s">
        <v>956</v>
      </c>
      <c r="D1736" s="14" t="s">
        <v>3385</v>
      </c>
      <c r="E1736" s="9" t="s">
        <v>30</v>
      </c>
    </row>
    <row r="1737" spans="1:5" ht="15" customHeight="1" outlineLevel="2" x14ac:dyDescent="0.25">
      <c r="A1737" s="3" t="str">
        <f>HYPERLINK("http://mystore1.ru/price_items/search?utf8=%E2%9C%93&amp;oem=3741LGSV4FDW","3741LGSV4FDW")</f>
        <v>3741LGSV4FDW</v>
      </c>
      <c r="B1737" s="1" t="s">
        <v>3386</v>
      </c>
      <c r="C1737" s="9" t="s">
        <v>956</v>
      </c>
      <c r="D1737" s="14" t="s">
        <v>3387</v>
      </c>
      <c r="E1737" s="9" t="s">
        <v>11</v>
      </c>
    </row>
    <row r="1738" spans="1:5" ht="15" customHeight="1" outlineLevel="2" x14ac:dyDescent="0.25">
      <c r="A1738" s="3" t="str">
        <f>HYPERLINK("http://mystore1.ru/price_items/search?utf8=%E2%9C%93&amp;oem=3741LGSV4FV","3741LGSV4FV")</f>
        <v>3741LGSV4FV</v>
      </c>
      <c r="B1738" s="1" t="s">
        <v>3388</v>
      </c>
      <c r="C1738" s="9" t="s">
        <v>956</v>
      </c>
      <c r="D1738" s="14" t="s">
        <v>3389</v>
      </c>
      <c r="E1738" s="9" t="s">
        <v>11</v>
      </c>
    </row>
    <row r="1739" spans="1:5" ht="15" customHeight="1" outlineLevel="2" x14ac:dyDescent="0.25">
      <c r="A1739" s="3" t="str">
        <f>HYPERLINK("http://mystore1.ru/price_items/search?utf8=%E2%9C%93&amp;oem=3741RGSV4FDW","3741RGSV4FDW")</f>
        <v>3741RGSV4FDW</v>
      </c>
      <c r="B1739" s="1" t="s">
        <v>3390</v>
      </c>
      <c r="C1739" s="9" t="s">
        <v>956</v>
      </c>
      <c r="D1739" s="14" t="s">
        <v>3391</v>
      </c>
      <c r="E1739" s="9" t="s">
        <v>11</v>
      </c>
    </row>
    <row r="1740" spans="1:5" ht="15" customHeight="1" outlineLevel="2" x14ac:dyDescent="0.25">
      <c r="A1740" s="3" t="str">
        <f>HYPERLINK("http://mystore1.ru/price_items/search?utf8=%E2%9C%93&amp;oem=3741RGSV4FV","3741RGSV4FV")</f>
        <v>3741RGSV4FV</v>
      </c>
      <c r="B1740" s="1" t="s">
        <v>3392</v>
      </c>
      <c r="C1740" s="9" t="s">
        <v>956</v>
      </c>
      <c r="D1740" s="14" t="s">
        <v>3393</v>
      </c>
      <c r="E1740" s="9" t="s">
        <v>11</v>
      </c>
    </row>
    <row r="1741" spans="1:5" outlineLevel="1" x14ac:dyDescent="0.25">
      <c r="A1741" s="2"/>
      <c r="B1741" s="6" t="s">
        <v>3394</v>
      </c>
      <c r="C1741" s="7"/>
      <c r="D1741" s="47"/>
      <c r="E1741" s="8"/>
    </row>
    <row r="1742" spans="1:5" ht="15" customHeight="1" outlineLevel="2" x14ac:dyDescent="0.25">
      <c r="A1742" s="3" t="str">
        <f>HYPERLINK("http://mystore1.ru/price_items/search?utf8=%E2%9C%93&amp;oem=3734ACL","3734ACL")</f>
        <v>3734ACL</v>
      </c>
      <c r="B1742" s="1" t="s">
        <v>3395</v>
      </c>
      <c r="C1742" s="9" t="s">
        <v>3396</v>
      </c>
      <c r="D1742" s="14" t="s">
        <v>3397</v>
      </c>
      <c r="E1742" s="9" t="s">
        <v>8</v>
      </c>
    </row>
    <row r="1743" spans="1:5" ht="15" customHeight="1" outlineLevel="2" x14ac:dyDescent="0.25">
      <c r="A1743" s="3" t="str">
        <f>HYPERLINK("http://mystore1.ru/price_items/search?utf8=%E2%9C%93&amp;oem=3734AGN","3734AGN")</f>
        <v>3734AGN</v>
      </c>
      <c r="B1743" s="1" t="s">
        <v>3398</v>
      </c>
      <c r="C1743" s="9" t="s">
        <v>3396</v>
      </c>
      <c r="D1743" s="14" t="s">
        <v>3399</v>
      </c>
      <c r="E1743" s="9" t="s">
        <v>8</v>
      </c>
    </row>
    <row r="1744" spans="1:5" ht="15" customHeight="1" outlineLevel="2" x14ac:dyDescent="0.25">
      <c r="A1744" s="3" t="str">
        <f>HYPERLINK("http://mystore1.ru/price_items/search?utf8=%E2%9C%93&amp;oem=3734ASRL","3734ASRL")</f>
        <v>3734ASRL</v>
      </c>
      <c r="B1744" s="1" t="s">
        <v>3400</v>
      </c>
      <c r="C1744" s="9" t="s">
        <v>25</v>
      </c>
      <c r="D1744" s="14" t="s">
        <v>3401</v>
      </c>
      <c r="E1744" s="9" t="s">
        <v>27</v>
      </c>
    </row>
    <row r="1745" spans="1:5" ht="15" customHeight="1" outlineLevel="2" x14ac:dyDescent="0.25">
      <c r="A1745" s="3" t="str">
        <f>HYPERLINK("http://mystore1.ru/price_items/search?utf8=%E2%9C%93&amp;oem=3734LCLL2FD","3734LCLL2FD")</f>
        <v>3734LCLL2FD</v>
      </c>
      <c r="B1745" s="1" t="s">
        <v>3402</v>
      </c>
      <c r="C1745" s="9" t="s">
        <v>3403</v>
      </c>
      <c r="D1745" s="14" t="s">
        <v>3404</v>
      </c>
      <c r="E1745" s="9" t="s">
        <v>11</v>
      </c>
    </row>
    <row r="1746" spans="1:5" ht="15" customHeight="1" outlineLevel="2" x14ac:dyDescent="0.25">
      <c r="A1746" s="3" t="str">
        <f>HYPERLINK("http://mystore1.ru/price_items/search?utf8=%E2%9C%93&amp;oem=3734RCLL2FD","3734RCLL2FD")</f>
        <v>3734RCLL2FD</v>
      </c>
      <c r="B1746" s="1" t="s">
        <v>3405</v>
      </c>
      <c r="C1746" s="9" t="s">
        <v>3403</v>
      </c>
      <c r="D1746" s="14" t="s">
        <v>3406</v>
      </c>
      <c r="E1746" s="9" t="s">
        <v>11</v>
      </c>
    </row>
    <row r="1747" spans="1:5" ht="15" customHeight="1" outlineLevel="2" x14ac:dyDescent="0.25">
      <c r="A1747" s="3" t="str">
        <f>HYPERLINK("http://mystore1.ru/price_items/search?utf8=%E2%9C%93&amp;oem=3734RCLL2FV","3734RCLL2FV")</f>
        <v>3734RCLL2FV</v>
      </c>
      <c r="B1747" s="1" t="s">
        <v>3407</v>
      </c>
      <c r="C1747" s="9" t="s">
        <v>1979</v>
      </c>
      <c r="D1747" s="14" t="s">
        <v>3408</v>
      </c>
      <c r="E1747" s="9" t="s">
        <v>11</v>
      </c>
    </row>
    <row r="1748" spans="1:5" outlineLevel="1" x14ac:dyDescent="0.25">
      <c r="A1748" s="2"/>
      <c r="B1748" s="6" t="s">
        <v>3409</v>
      </c>
      <c r="C1748" s="8"/>
      <c r="D1748" s="8"/>
      <c r="E1748" s="8"/>
    </row>
    <row r="1749" spans="1:5" ht="15" customHeight="1" outlineLevel="2" x14ac:dyDescent="0.25">
      <c r="A1749" s="3" t="str">
        <f>HYPERLINK("http://mystore1.ru/price_items/search?utf8=%E2%9C%93&amp;oem=3744ACLW","3744ACLW")</f>
        <v>3744ACLW</v>
      </c>
      <c r="B1749" s="1" t="s">
        <v>3410</v>
      </c>
      <c r="C1749" s="9" t="s">
        <v>1362</v>
      </c>
      <c r="D1749" s="14" t="s">
        <v>3411</v>
      </c>
      <c r="E1749" s="9" t="s">
        <v>8</v>
      </c>
    </row>
    <row r="1750" spans="1:5" ht="15" customHeight="1" outlineLevel="2" x14ac:dyDescent="0.25">
      <c r="A1750" s="3" t="str">
        <f>HYPERLINK("http://mystore1.ru/price_items/search?utf8=%E2%9C%93&amp;oem=3744AGN","3744AGN")</f>
        <v>3744AGN</v>
      </c>
      <c r="B1750" s="1" t="s">
        <v>3412</v>
      </c>
      <c r="C1750" s="9" t="s">
        <v>1362</v>
      </c>
      <c r="D1750" s="14" t="s">
        <v>3413</v>
      </c>
      <c r="E1750" s="9" t="s">
        <v>8</v>
      </c>
    </row>
    <row r="1751" spans="1:5" ht="15" customHeight="1" outlineLevel="2" x14ac:dyDescent="0.25">
      <c r="A1751" s="3" t="str">
        <f>HYPERLINK("http://mystore1.ru/price_items/search?utf8=%E2%9C%93&amp;oem=3744AGNW","3744AGNW")</f>
        <v>3744AGNW</v>
      </c>
      <c r="B1751" s="1" t="s">
        <v>3414</v>
      </c>
      <c r="C1751" s="9" t="s">
        <v>1362</v>
      </c>
      <c r="D1751" s="14" t="s">
        <v>3415</v>
      </c>
      <c r="E1751" s="9" t="s">
        <v>8</v>
      </c>
    </row>
    <row r="1752" spans="1:5" ht="15" customHeight="1" outlineLevel="2" x14ac:dyDescent="0.25">
      <c r="A1752" s="3" t="str">
        <f>HYPERLINK("http://mystore1.ru/price_items/search?utf8=%E2%9C%93&amp;oem=3744ASMLT","3744ASMLT")</f>
        <v>3744ASMLT</v>
      </c>
      <c r="B1752" s="1" t="s">
        <v>3416</v>
      </c>
      <c r="C1752" s="9" t="s">
        <v>25</v>
      </c>
      <c r="D1752" s="14" t="s">
        <v>3417</v>
      </c>
      <c r="E1752" s="9" t="s">
        <v>27</v>
      </c>
    </row>
    <row r="1753" spans="1:5" outlineLevel="1" x14ac:dyDescent="0.25">
      <c r="A1753" s="2"/>
      <c r="B1753" s="6" t="s">
        <v>3418</v>
      </c>
      <c r="C1753" s="7"/>
      <c r="D1753" s="8"/>
      <c r="E1753" s="8"/>
    </row>
    <row r="1754" spans="1:5" outlineLevel="2" x14ac:dyDescent="0.25">
      <c r="A1754" s="3" t="str">
        <f>HYPERLINK("http://mystore1.ru/price_items/search?utf8=%E2%9C%93&amp;oem=3733AGN","3733AGN")</f>
        <v>3733AGN</v>
      </c>
      <c r="B1754" s="1" t="s">
        <v>3419</v>
      </c>
      <c r="C1754" s="9" t="s">
        <v>3420</v>
      </c>
      <c r="D1754" s="14" t="s">
        <v>3421</v>
      </c>
      <c r="E1754" s="9" t="s">
        <v>8</v>
      </c>
    </row>
    <row r="1755" spans="1:5" outlineLevel="2" x14ac:dyDescent="0.25">
      <c r="A1755" s="3" t="str">
        <f>HYPERLINK("http://mystore1.ru/price_items/search?utf8=%E2%9C%93&amp;oem=3733ASRL","3733ASRL")</f>
        <v>3733ASRL</v>
      </c>
      <c r="B1755" s="1" t="s">
        <v>3422</v>
      </c>
      <c r="C1755" s="9" t="s">
        <v>25</v>
      </c>
      <c r="D1755" s="14" t="s">
        <v>3423</v>
      </c>
      <c r="E1755" s="9" t="s">
        <v>27</v>
      </c>
    </row>
    <row r="1756" spans="1:5" outlineLevel="2" x14ac:dyDescent="0.25">
      <c r="A1756" s="3" t="str">
        <f>HYPERLINK("http://mystore1.ru/price_items/search?utf8=%E2%9C%93&amp;oem=3733LGNL2FD","3733LGNL2FD")</f>
        <v>3733LGNL2FD</v>
      </c>
      <c r="B1756" s="1" t="s">
        <v>3424</v>
      </c>
      <c r="C1756" s="9" t="s">
        <v>3420</v>
      </c>
      <c r="D1756" s="14" t="s">
        <v>3425</v>
      </c>
      <c r="E1756" s="9" t="s">
        <v>11</v>
      </c>
    </row>
    <row r="1757" spans="1:5" outlineLevel="2" x14ac:dyDescent="0.25">
      <c r="A1757" s="3" t="str">
        <f>HYPERLINK("http://mystore1.ru/price_items/search?utf8=%E2%9C%93&amp;oem=3733RGNL2FD","3733RGNL2FD")</f>
        <v>3733RGNL2FD</v>
      </c>
      <c r="B1757" s="1" t="s">
        <v>3426</v>
      </c>
      <c r="C1757" s="9" t="s">
        <v>3420</v>
      </c>
      <c r="D1757" s="14" t="s">
        <v>3427</v>
      </c>
      <c r="E1757" s="9" t="s">
        <v>11</v>
      </c>
    </row>
    <row r="1758" spans="1:5" x14ac:dyDescent="0.25">
      <c r="A1758" s="61" t="s">
        <v>3428</v>
      </c>
      <c r="B1758" s="61"/>
      <c r="C1758" s="61"/>
      <c r="D1758" s="61"/>
      <c r="E1758" s="61"/>
    </row>
    <row r="1759" spans="1:5" outlineLevel="1" x14ac:dyDescent="0.25">
      <c r="A1759" s="2"/>
      <c r="B1759" s="6" t="s">
        <v>3429</v>
      </c>
      <c r="C1759" s="7"/>
      <c r="D1759" s="8"/>
      <c r="E1759" s="8"/>
    </row>
    <row r="1760" spans="1:5" ht="15" customHeight="1" outlineLevel="2" x14ac:dyDescent="0.25">
      <c r="A1760" s="3" t="str">
        <f>HYPERLINK("http://mystore1.ru/price_items/search?utf8=%E2%9C%93&amp;oem=4629ACL","4629ACL")</f>
        <v>4629ACL</v>
      </c>
      <c r="B1760" s="1" t="s">
        <v>3430</v>
      </c>
      <c r="C1760" s="9" t="s">
        <v>1804</v>
      </c>
      <c r="D1760" s="14" t="s">
        <v>3431</v>
      </c>
      <c r="E1760" s="9" t="s">
        <v>8</v>
      </c>
    </row>
    <row r="1761" spans="1:5" ht="15" customHeight="1" outlineLevel="2" x14ac:dyDescent="0.25">
      <c r="A1761" s="3" t="str">
        <f>HYPERLINK("http://mystore1.ru/price_items/search?utf8=%E2%9C%93&amp;oem=4629LCLV2FD","4629LCLV2FD")</f>
        <v>4629LCLV2FD</v>
      </c>
      <c r="B1761" s="1" t="s">
        <v>3432</v>
      </c>
      <c r="C1761" s="9" t="s">
        <v>1804</v>
      </c>
      <c r="D1761" s="14" t="s">
        <v>3433</v>
      </c>
      <c r="E1761" s="9" t="s">
        <v>11</v>
      </c>
    </row>
    <row r="1762" spans="1:5" ht="15" customHeight="1" outlineLevel="2" x14ac:dyDescent="0.25">
      <c r="A1762" s="3" t="str">
        <f>HYPERLINK("http://mystore1.ru/price_items/search?utf8=%E2%9C%93&amp;oem=4629LCLV2FV","4629LCLV2FV")</f>
        <v>4629LCLV2FV</v>
      </c>
      <c r="B1762" s="1" t="s">
        <v>3434</v>
      </c>
      <c r="C1762" s="9" t="s">
        <v>1804</v>
      </c>
      <c r="D1762" s="14" t="s">
        <v>3435</v>
      </c>
      <c r="E1762" s="9" t="s">
        <v>11</v>
      </c>
    </row>
    <row r="1763" spans="1:5" ht="15" customHeight="1" outlineLevel="2" x14ac:dyDescent="0.25">
      <c r="A1763" s="3" t="str">
        <f>HYPERLINK("http://mystore1.ru/price_items/search?utf8=%E2%9C%93&amp;oem=4629RCLV2FD","4629RCLV2FD")</f>
        <v>4629RCLV2FD</v>
      </c>
      <c r="B1763" s="1" t="s">
        <v>3436</v>
      </c>
      <c r="C1763" s="9" t="s">
        <v>1804</v>
      </c>
      <c r="D1763" s="14" t="s">
        <v>3437</v>
      </c>
      <c r="E1763" s="9" t="s">
        <v>11</v>
      </c>
    </row>
    <row r="1764" spans="1:5" ht="15" customHeight="1" outlineLevel="2" x14ac:dyDescent="0.25">
      <c r="A1764" s="3" t="str">
        <f>HYPERLINK("http://mystore1.ru/price_items/search?utf8=%E2%9C%93&amp;oem=4629RCLV2FV","4629RCLV2FV")</f>
        <v>4629RCLV2FV</v>
      </c>
      <c r="B1764" s="1" t="s">
        <v>3438</v>
      </c>
      <c r="C1764" s="9" t="s">
        <v>1804</v>
      </c>
      <c r="D1764" s="14" t="s">
        <v>3439</v>
      </c>
      <c r="E1764" s="9" t="s">
        <v>11</v>
      </c>
    </row>
    <row r="1765" spans="1:5" outlineLevel="1" x14ac:dyDescent="0.25">
      <c r="A1765" s="2"/>
      <c r="B1765" s="6" t="s">
        <v>3440</v>
      </c>
      <c r="C1765" s="7"/>
      <c r="D1765" s="8"/>
      <c r="E1765" s="8"/>
    </row>
    <row r="1766" spans="1:5" outlineLevel="2" x14ac:dyDescent="0.25">
      <c r="A1766" s="3" t="str">
        <f>HYPERLINK("http://mystore1.ru/price_items/search?utf8=%E2%9C%93&amp;oem=4628ACL","4628ACL")</f>
        <v>4628ACL</v>
      </c>
      <c r="B1766" s="1" t="s">
        <v>3441</v>
      </c>
      <c r="C1766" s="9" t="s">
        <v>1804</v>
      </c>
      <c r="D1766" s="14" t="s">
        <v>3442</v>
      </c>
      <c r="E1766" s="9" t="s">
        <v>8</v>
      </c>
    </row>
    <row r="1767" spans="1:5" outlineLevel="2" x14ac:dyDescent="0.25">
      <c r="A1767" s="3" t="str">
        <f>HYPERLINK("http://mystore1.ru/price_items/search?utf8=%E2%9C%93&amp;oem=4628ACL1C","4628ACL1C")</f>
        <v>4628ACL1C</v>
      </c>
      <c r="B1767" s="1" t="s">
        <v>3443</v>
      </c>
      <c r="C1767" s="9" t="s">
        <v>1804</v>
      </c>
      <c r="D1767" s="14" t="s">
        <v>3444</v>
      </c>
      <c r="E1767" s="9" t="s">
        <v>8</v>
      </c>
    </row>
    <row r="1768" spans="1:5" outlineLevel="2" x14ac:dyDescent="0.25">
      <c r="A1768" s="3" t="str">
        <f>HYPERLINK("http://mystore1.ru/price_items/search?utf8=%E2%9C%93&amp;oem=4628LCLV2FD","4628LCLV2FD")</f>
        <v>4628LCLV2FD</v>
      </c>
      <c r="B1768" s="1" t="s">
        <v>3445</v>
      </c>
      <c r="C1768" s="9" t="s">
        <v>1804</v>
      </c>
      <c r="D1768" s="14" t="s">
        <v>3446</v>
      </c>
      <c r="E1768" s="9" t="s">
        <v>11</v>
      </c>
    </row>
    <row r="1769" spans="1:5" outlineLevel="2" x14ac:dyDescent="0.25">
      <c r="A1769" s="3" t="str">
        <f>HYPERLINK("http://mystore1.ru/price_items/search?utf8=%E2%9C%93&amp;oem=4628LCLV2FV","4628LCLV2FV")</f>
        <v>4628LCLV2FV</v>
      </c>
      <c r="B1769" s="1" t="s">
        <v>3447</v>
      </c>
      <c r="C1769" s="9" t="s">
        <v>1804</v>
      </c>
      <c r="D1769" s="14" t="s">
        <v>3448</v>
      </c>
      <c r="E1769" s="9" t="s">
        <v>11</v>
      </c>
    </row>
    <row r="1770" spans="1:5" outlineLevel="2" x14ac:dyDescent="0.25">
      <c r="A1770" s="3" t="str">
        <f>HYPERLINK("http://mystore1.ru/price_items/search?utf8=%E2%9C%93&amp;oem=4628RCLV2FD","4628RCLV2FD")</f>
        <v>4628RCLV2FD</v>
      </c>
      <c r="B1770" s="1" t="s">
        <v>3449</v>
      </c>
      <c r="C1770" s="9" t="s">
        <v>1804</v>
      </c>
      <c r="D1770" s="14" t="s">
        <v>3450</v>
      </c>
      <c r="E1770" s="9" t="s">
        <v>11</v>
      </c>
    </row>
    <row r="1771" spans="1:5" outlineLevel="2" x14ac:dyDescent="0.25">
      <c r="A1771" s="3" t="str">
        <f>HYPERLINK("http://mystore1.ru/price_items/search?utf8=%E2%9C%93&amp;oem=4628RCLV2FV","4628RCLV2FV")</f>
        <v>4628RCLV2FV</v>
      </c>
      <c r="B1771" s="1" t="s">
        <v>3451</v>
      </c>
      <c r="C1771" s="9" t="s">
        <v>1804</v>
      </c>
      <c r="D1771" s="14" t="s">
        <v>3452</v>
      </c>
      <c r="E1771" s="9" t="s">
        <v>11</v>
      </c>
    </row>
    <row r="1772" spans="1:5" x14ac:dyDescent="0.25">
      <c r="A1772" s="61" t="s">
        <v>3453</v>
      </c>
      <c r="B1772" s="61"/>
      <c r="C1772" s="61"/>
      <c r="D1772" s="61"/>
      <c r="E1772" s="61"/>
    </row>
    <row r="1773" spans="1:5" outlineLevel="1" x14ac:dyDescent="0.25">
      <c r="A1773" s="2"/>
      <c r="B1773" s="6" t="s">
        <v>3454</v>
      </c>
      <c r="C1773" s="7"/>
      <c r="D1773" s="8"/>
      <c r="E1773" s="8"/>
    </row>
    <row r="1774" spans="1:5" ht="15" customHeight="1" outlineLevel="2" x14ac:dyDescent="0.25">
      <c r="A1774" s="3" t="str">
        <f>HYPERLINK("http://mystore1.ru/price_items/search?utf8=%E2%9C%93&amp;oem=4621ACL","4621ACL")</f>
        <v>4621ACL</v>
      </c>
      <c r="B1774" s="1" t="s">
        <v>3455</v>
      </c>
      <c r="C1774" s="9" t="s">
        <v>3456</v>
      </c>
      <c r="D1774" s="14" t="s">
        <v>3457</v>
      </c>
      <c r="E1774" s="9" t="s">
        <v>8</v>
      </c>
    </row>
    <row r="1775" spans="1:5" outlineLevel="1" x14ac:dyDescent="0.25">
      <c r="A1775" s="2"/>
      <c r="B1775" s="6" t="s">
        <v>3458</v>
      </c>
      <c r="C1775" s="7"/>
      <c r="D1775" s="8"/>
      <c r="E1775" s="8"/>
    </row>
    <row r="1776" spans="1:5" ht="15" customHeight="1" outlineLevel="2" x14ac:dyDescent="0.25">
      <c r="A1776" s="3" t="str">
        <f>HYPERLINK("http://mystore1.ru/price_items/search?utf8=%E2%9C%93&amp;oem=4615ACL","4615ACL")</f>
        <v>4615ACL</v>
      </c>
      <c r="B1776" s="1" t="s">
        <v>3459</v>
      </c>
      <c r="C1776" s="9" t="s">
        <v>3460</v>
      </c>
      <c r="D1776" s="14" t="s">
        <v>3461</v>
      </c>
      <c r="E1776" s="9" t="s">
        <v>8</v>
      </c>
    </row>
    <row r="1777" spans="1:5" outlineLevel="1" x14ac:dyDescent="0.25">
      <c r="A1777" s="2"/>
      <c r="B1777" s="6" t="s">
        <v>3462</v>
      </c>
      <c r="C1777" s="7"/>
      <c r="D1777" s="8"/>
      <c r="E1777" s="8"/>
    </row>
    <row r="1778" spans="1:5" ht="15" customHeight="1" outlineLevel="2" x14ac:dyDescent="0.25">
      <c r="A1778" s="3" t="str">
        <f>HYPERLINK("http://mystore1.ru/price_items/search?utf8=%E2%9C%93&amp;oem=4622ACL","4622ACL")</f>
        <v>4622ACL</v>
      </c>
      <c r="B1778" s="1" t="s">
        <v>3463</v>
      </c>
      <c r="C1778" s="9" t="s">
        <v>3464</v>
      </c>
      <c r="D1778" s="14" t="s">
        <v>3465</v>
      </c>
      <c r="E1778" s="9" t="s">
        <v>8</v>
      </c>
    </row>
    <row r="1779" spans="1:5" outlineLevel="1" x14ac:dyDescent="0.25">
      <c r="A1779" s="2"/>
      <c r="B1779" s="6" t="s">
        <v>3466</v>
      </c>
      <c r="C1779" s="7"/>
      <c r="D1779" s="8"/>
      <c r="E1779" s="8"/>
    </row>
    <row r="1780" spans="1:5" outlineLevel="2" x14ac:dyDescent="0.25">
      <c r="A1780" s="3" t="str">
        <f>HYPERLINK("http://mystore1.ru/price_items/search?utf8=%E2%9C%93&amp;oem=4620ACL","4620ACL")</f>
        <v>4620ACL</v>
      </c>
      <c r="B1780" s="1" t="s">
        <v>3467</v>
      </c>
      <c r="C1780" s="9" t="s">
        <v>3468</v>
      </c>
      <c r="D1780" s="14" t="s">
        <v>3469</v>
      </c>
      <c r="E1780" s="9" t="s">
        <v>8</v>
      </c>
    </row>
    <row r="1781" spans="1:5" x14ac:dyDescent="0.25">
      <c r="A1781" s="61" t="s">
        <v>3470</v>
      </c>
      <c r="B1781" s="61"/>
      <c r="C1781" s="61"/>
      <c r="D1781" s="61"/>
      <c r="E1781" s="61"/>
    </row>
    <row r="1782" spans="1:5" outlineLevel="1" x14ac:dyDescent="0.25">
      <c r="A1782" s="2"/>
      <c r="B1782" s="6" t="s">
        <v>3471</v>
      </c>
      <c r="C1782" s="8"/>
      <c r="D1782" s="8"/>
      <c r="E1782" s="8"/>
    </row>
    <row r="1783" spans="1:5" ht="15" customHeight="1" outlineLevel="2" x14ac:dyDescent="0.25">
      <c r="A1783" s="3" t="str">
        <f>HYPERLINK("http://mystore1.ru/price_items/search?utf8=%E2%9C%93&amp;oem=2915ABL","2915ABL")</f>
        <v>2915ABL</v>
      </c>
      <c r="B1783" s="1" t="s">
        <v>3472</v>
      </c>
      <c r="C1783" s="9" t="s">
        <v>2875</v>
      </c>
      <c r="D1783" s="14" t="s">
        <v>3473</v>
      </c>
      <c r="E1783" s="9" t="s">
        <v>8</v>
      </c>
    </row>
    <row r="1784" spans="1:5" outlineLevel="1" x14ac:dyDescent="0.25">
      <c r="A1784" s="2"/>
      <c r="B1784" s="6" t="s">
        <v>3474</v>
      </c>
      <c r="C1784" s="8"/>
      <c r="D1784" s="8"/>
      <c r="E1784" s="8"/>
    </row>
    <row r="1785" spans="1:5" ht="15" customHeight="1" outlineLevel="2" x14ac:dyDescent="0.25">
      <c r="A1785" s="3" t="str">
        <f>HYPERLINK("http://mystore1.ru/price_items/search?utf8=%E2%9C%93&amp;oem=2907ABL","2907ABL")</f>
        <v>2907ABL</v>
      </c>
      <c r="B1785" s="1" t="s">
        <v>3475</v>
      </c>
      <c r="C1785" s="9" t="s">
        <v>3476</v>
      </c>
      <c r="D1785" s="14" t="s">
        <v>3477</v>
      </c>
      <c r="E1785" s="9" t="s">
        <v>8</v>
      </c>
    </row>
    <row r="1786" spans="1:5" outlineLevel="1" x14ac:dyDescent="0.25">
      <c r="A1786" s="2"/>
      <c r="B1786" s="6" t="s">
        <v>3478</v>
      </c>
      <c r="C1786" s="8"/>
      <c r="D1786" s="8"/>
      <c r="E1786" s="8"/>
    </row>
    <row r="1787" spans="1:5" ht="15" customHeight="1" outlineLevel="2" x14ac:dyDescent="0.25">
      <c r="A1787" s="3" t="str">
        <f>HYPERLINK("http://mystore1.ru/price_items/search?utf8=%E2%9C%93&amp;oem=2913ABL","2913ABL")</f>
        <v>2913ABL</v>
      </c>
      <c r="B1787" s="1" t="s">
        <v>3479</v>
      </c>
      <c r="C1787" s="9" t="s">
        <v>859</v>
      </c>
      <c r="D1787" s="14" t="s">
        <v>3480</v>
      </c>
      <c r="E1787" s="9" t="s">
        <v>8</v>
      </c>
    </row>
    <row r="1788" spans="1:5" ht="15" customHeight="1" outlineLevel="2" x14ac:dyDescent="0.25">
      <c r="A1788" s="3" t="str">
        <f>HYPERLINK("http://mystore1.ru/price_items/search?utf8=%E2%9C%93&amp;oem=2913ACL","2913ACL")</f>
        <v>2913ACL</v>
      </c>
      <c r="B1788" s="1" t="s">
        <v>3481</v>
      </c>
      <c r="C1788" s="9" t="s">
        <v>859</v>
      </c>
      <c r="D1788" s="14" t="s">
        <v>3482</v>
      </c>
      <c r="E1788" s="9" t="s">
        <v>8</v>
      </c>
    </row>
    <row r="1789" spans="1:5" ht="15" customHeight="1" outlineLevel="2" x14ac:dyDescent="0.25">
      <c r="A1789" s="3" t="str">
        <f>HYPERLINK("http://mystore1.ru/price_items/search?utf8=%E2%9C%93&amp;oem=2913AKMH","2913AKMH")</f>
        <v>2913AKMH</v>
      </c>
      <c r="B1789" s="1" t="s">
        <v>3483</v>
      </c>
      <c r="C1789" s="9" t="s">
        <v>25</v>
      </c>
      <c r="D1789" s="14" t="s">
        <v>3484</v>
      </c>
      <c r="E1789" s="9" t="s">
        <v>27</v>
      </c>
    </row>
    <row r="1790" spans="1:5" ht="15" customHeight="1" outlineLevel="2" x14ac:dyDescent="0.25">
      <c r="A1790" s="3" t="str">
        <f>HYPERLINK("http://mystore1.ru/price_items/search?utf8=%E2%9C%93&amp;oem=2913LBLH3FD","2913LBLH3FD")</f>
        <v>2913LBLH3FD</v>
      </c>
      <c r="B1790" s="1" t="s">
        <v>3485</v>
      </c>
      <c r="C1790" s="9" t="s">
        <v>859</v>
      </c>
      <c r="D1790" s="14" t="s">
        <v>3486</v>
      </c>
      <c r="E1790" s="9" t="s">
        <v>11</v>
      </c>
    </row>
    <row r="1791" spans="1:5" ht="15" customHeight="1" outlineLevel="2" x14ac:dyDescent="0.25">
      <c r="A1791" s="3" t="str">
        <f>HYPERLINK("http://mystore1.ru/price_items/search?utf8=%E2%9C%93&amp;oem=2913RBLH3FD","2913RBLH3FD")</f>
        <v>2913RBLH3FD</v>
      </c>
      <c r="B1791" s="1" t="s">
        <v>3487</v>
      </c>
      <c r="C1791" s="9" t="s">
        <v>859</v>
      </c>
      <c r="D1791" s="14" t="s">
        <v>3488</v>
      </c>
      <c r="E1791" s="9" t="s">
        <v>11</v>
      </c>
    </row>
    <row r="1792" spans="1:5" outlineLevel="1" x14ac:dyDescent="0.25">
      <c r="A1792" s="2"/>
      <c r="B1792" s="6" t="s">
        <v>3489</v>
      </c>
      <c r="C1792" s="8"/>
      <c r="D1792" s="8"/>
      <c r="E1792" s="8"/>
    </row>
    <row r="1793" spans="1:5" ht="15" customHeight="1" outlineLevel="2" x14ac:dyDescent="0.25">
      <c r="A1793" s="3" t="str">
        <f>HYPERLINK("http://mystore1.ru/price_items/search?utf8=%E2%9C%93&amp;oem=2918ABL","2918ABL")</f>
        <v>2918ABL</v>
      </c>
      <c r="B1793" s="1" t="s">
        <v>3490</v>
      </c>
      <c r="C1793" s="9" t="s">
        <v>2846</v>
      </c>
      <c r="D1793" s="14" t="s">
        <v>3491</v>
      </c>
      <c r="E1793" s="9" t="s">
        <v>8</v>
      </c>
    </row>
    <row r="1794" spans="1:5" ht="15" customHeight="1" outlineLevel="2" x14ac:dyDescent="0.25">
      <c r="A1794" s="3" t="str">
        <f>HYPERLINK("http://mystore1.ru/price_items/search?utf8=%E2%9C%93&amp;oem=2918ACL","2918ACL")</f>
        <v>2918ACL</v>
      </c>
      <c r="B1794" s="1" t="s">
        <v>3492</v>
      </c>
      <c r="C1794" s="9" t="s">
        <v>2846</v>
      </c>
      <c r="D1794" s="14" t="s">
        <v>3493</v>
      </c>
      <c r="E1794" s="9" t="s">
        <v>8</v>
      </c>
    </row>
    <row r="1795" spans="1:5" ht="15" customHeight="1" outlineLevel="2" x14ac:dyDescent="0.25">
      <c r="A1795" s="3" t="str">
        <f>HYPERLINK("http://mystore1.ru/price_items/search?utf8=%E2%9C%93&amp;oem=2918AGN","2918AGN")</f>
        <v>2918AGN</v>
      </c>
      <c r="B1795" s="1" t="s">
        <v>3494</v>
      </c>
      <c r="C1795" s="9" t="s">
        <v>2846</v>
      </c>
      <c r="D1795" s="14" t="s">
        <v>3495</v>
      </c>
      <c r="E1795" s="9" t="s">
        <v>8</v>
      </c>
    </row>
    <row r="1796" spans="1:5" ht="15" customHeight="1" outlineLevel="2" x14ac:dyDescent="0.25">
      <c r="A1796" s="3" t="str">
        <f>HYPERLINK("http://mystore1.ru/price_items/search?utf8=%E2%9C%93&amp;oem=2918RBLH5FDW","2918RBLH5FDW")</f>
        <v>2918RBLH5FDW</v>
      </c>
      <c r="B1796" s="1" t="s">
        <v>3496</v>
      </c>
      <c r="C1796" s="9" t="s">
        <v>2846</v>
      </c>
      <c r="D1796" s="14" t="s">
        <v>3497</v>
      </c>
      <c r="E1796" s="9" t="s">
        <v>11</v>
      </c>
    </row>
    <row r="1797" spans="1:5" ht="15" customHeight="1" outlineLevel="2" x14ac:dyDescent="0.25">
      <c r="A1797" s="3" t="str">
        <f>HYPERLINK("http://mystore1.ru/price_items/search?utf8=%E2%9C%93&amp;oem=2918RBLS4RDW","2918RBLS4RDW")</f>
        <v>2918RBLS4RDW</v>
      </c>
      <c r="B1797" s="1" t="s">
        <v>3498</v>
      </c>
      <c r="C1797" s="9" t="s">
        <v>2846</v>
      </c>
      <c r="D1797" s="14" t="s">
        <v>3499</v>
      </c>
      <c r="E1797" s="9" t="s">
        <v>11</v>
      </c>
    </row>
    <row r="1798" spans="1:5" outlineLevel="1" x14ac:dyDescent="0.25">
      <c r="A1798" s="2"/>
      <c r="B1798" s="6" t="s">
        <v>3500</v>
      </c>
      <c r="C1798" s="8"/>
      <c r="D1798" s="8"/>
      <c r="E1798" s="8"/>
    </row>
    <row r="1799" spans="1:5" ht="15" customHeight="1" outlineLevel="2" x14ac:dyDescent="0.25">
      <c r="A1799" s="3" t="str">
        <f>HYPERLINK("http://mystore1.ru/price_items/search?utf8=%E2%9C%93&amp;oem=2927AGN","2927AGN")</f>
        <v>2927AGN</v>
      </c>
      <c r="B1799" s="1" t="s">
        <v>3501</v>
      </c>
      <c r="C1799" s="9" t="s">
        <v>1408</v>
      </c>
      <c r="D1799" s="14" t="s">
        <v>3502</v>
      </c>
      <c r="E1799" s="9" t="s">
        <v>8</v>
      </c>
    </row>
    <row r="1800" spans="1:5" outlineLevel="1" x14ac:dyDescent="0.25">
      <c r="A1800" s="2"/>
      <c r="B1800" s="6" t="s">
        <v>3503</v>
      </c>
      <c r="C1800" s="8"/>
      <c r="D1800" s="8"/>
      <c r="E1800" s="8"/>
    </row>
    <row r="1801" spans="1:5" ht="15" customHeight="1" outlineLevel="2" x14ac:dyDescent="0.25">
      <c r="A1801" s="3" t="str">
        <f>HYPERLINK("http://mystore1.ru/price_items/search?utf8=%E2%9C%93&amp;oem=2934AGN","2934AGN")</f>
        <v>2934AGN</v>
      </c>
      <c r="B1801" s="1" t="s">
        <v>3504</v>
      </c>
      <c r="C1801" s="9" t="s">
        <v>642</v>
      </c>
      <c r="D1801" s="14" t="s">
        <v>3505</v>
      </c>
      <c r="E1801" s="9" t="s">
        <v>8</v>
      </c>
    </row>
    <row r="1802" spans="1:5" outlineLevel="1" x14ac:dyDescent="0.25">
      <c r="A1802" s="2"/>
      <c r="B1802" s="6" t="s">
        <v>3506</v>
      </c>
      <c r="C1802" s="8"/>
      <c r="D1802" s="8"/>
      <c r="E1802" s="8"/>
    </row>
    <row r="1803" spans="1:5" ht="15" customHeight="1" outlineLevel="2" x14ac:dyDescent="0.25">
      <c r="A1803" s="3" t="str">
        <f>HYPERLINK("http://mystore1.ru/price_items/search?utf8=%E2%9C%93&amp;oem=2919AGN","2919AGN")</f>
        <v>2919AGN</v>
      </c>
      <c r="B1803" s="1" t="s">
        <v>3507</v>
      </c>
      <c r="C1803" s="9" t="s">
        <v>926</v>
      </c>
      <c r="D1803" s="14" t="s">
        <v>3508</v>
      </c>
      <c r="E1803" s="9" t="s">
        <v>8</v>
      </c>
    </row>
    <row r="1804" spans="1:5" ht="15" customHeight="1" outlineLevel="2" x14ac:dyDescent="0.25">
      <c r="A1804" s="3" t="str">
        <f>HYPERLINK("http://mystore1.ru/price_items/search?utf8=%E2%9C%93&amp;oem=2919ASRH","2919ASRH")</f>
        <v>2919ASRH</v>
      </c>
      <c r="B1804" s="1" t="s">
        <v>3509</v>
      </c>
      <c r="C1804" s="9" t="s">
        <v>25</v>
      </c>
      <c r="D1804" s="14" t="s">
        <v>3510</v>
      </c>
      <c r="E1804" s="9" t="s">
        <v>27</v>
      </c>
    </row>
    <row r="1805" spans="1:5" outlineLevel="1" x14ac:dyDescent="0.25">
      <c r="A1805" s="2"/>
      <c r="B1805" s="6" t="s">
        <v>3511</v>
      </c>
      <c r="C1805" s="8"/>
      <c r="D1805" s="8"/>
      <c r="E1805" s="8"/>
    </row>
    <row r="1806" spans="1:5" ht="15" customHeight="1" outlineLevel="2" x14ac:dyDescent="0.25">
      <c r="A1806" s="3" t="str">
        <f>HYPERLINK("http://mystore1.ru/price_items/search?utf8=%E2%9C%93&amp;oem=2924AGN","2924AGN")</f>
        <v>2924AGN</v>
      </c>
      <c r="B1806" s="1" t="s">
        <v>3512</v>
      </c>
      <c r="C1806" s="9" t="s">
        <v>439</v>
      </c>
      <c r="D1806" s="14" t="s">
        <v>3513</v>
      </c>
      <c r="E1806" s="9" t="s">
        <v>8</v>
      </c>
    </row>
    <row r="1807" spans="1:5" ht="15" customHeight="1" outlineLevel="2" x14ac:dyDescent="0.25">
      <c r="A1807" s="3" t="str">
        <f>HYPERLINK("http://mystore1.ru/price_items/search?utf8=%E2%9C%93&amp;oem=2922ASMR","2922ASMR")</f>
        <v>2922ASMR</v>
      </c>
      <c r="B1807" s="1" t="s">
        <v>3514</v>
      </c>
      <c r="C1807" s="9" t="s">
        <v>25</v>
      </c>
      <c r="D1807" s="14" t="s">
        <v>3515</v>
      </c>
      <c r="E1807" s="9" t="s">
        <v>27</v>
      </c>
    </row>
    <row r="1808" spans="1:5" outlineLevel="1" x14ac:dyDescent="0.25">
      <c r="A1808" s="2"/>
      <c r="B1808" s="6" t="s">
        <v>3516</v>
      </c>
      <c r="C1808" s="8"/>
      <c r="D1808" s="8"/>
      <c r="E1808" s="8"/>
    </row>
    <row r="1809" spans="1:5" ht="15" customHeight="1" outlineLevel="2" x14ac:dyDescent="0.25">
      <c r="A1809" s="3" t="str">
        <f>HYPERLINK("http://mystore1.ru/price_items/search?utf8=%E2%9C%93&amp;oem=2930AGN","2930AGN")</f>
        <v>2930AGN</v>
      </c>
      <c r="B1809" s="1" t="s">
        <v>3517</v>
      </c>
      <c r="C1809" s="9" t="s">
        <v>1607</v>
      </c>
      <c r="D1809" s="14" t="s">
        <v>3518</v>
      </c>
      <c r="E1809" s="9" t="s">
        <v>8</v>
      </c>
    </row>
    <row r="1810" spans="1:5" ht="15" customHeight="1" outlineLevel="2" x14ac:dyDescent="0.25">
      <c r="A1810" s="3" t="str">
        <f>HYPERLINK("http://mystore1.ru/price_items/search?utf8=%E2%9C%93&amp;oem=2930LGNH5FDW","2930LGNH5FDW")</f>
        <v>2930LGNH5FDW</v>
      </c>
      <c r="B1810" s="1" t="s">
        <v>3519</v>
      </c>
      <c r="C1810" s="9" t="s">
        <v>1607</v>
      </c>
      <c r="D1810" s="14" t="s">
        <v>3520</v>
      </c>
      <c r="E1810" s="9" t="s">
        <v>11</v>
      </c>
    </row>
    <row r="1811" spans="1:5" ht="15" customHeight="1" outlineLevel="2" x14ac:dyDescent="0.25">
      <c r="A1811" s="3" t="str">
        <f>HYPERLINK("http://mystore1.ru/price_items/search?utf8=%E2%9C%93&amp;oem=2930RGNH5FDW","2930RGNH5FDW")</f>
        <v>2930RGNH5FDW</v>
      </c>
      <c r="B1811" s="1" t="s">
        <v>3521</v>
      </c>
      <c r="C1811" s="9" t="s">
        <v>1607</v>
      </c>
      <c r="D1811" s="14" t="s">
        <v>3522</v>
      </c>
      <c r="E1811" s="9" t="s">
        <v>11</v>
      </c>
    </row>
    <row r="1812" spans="1:5" outlineLevel="1" x14ac:dyDescent="0.25">
      <c r="A1812" s="2"/>
      <c r="B1812" s="6" t="s">
        <v>3523</v>
      </c>
      <c r="C1812" s="8"/>
      <c r="D1812" s="8"/>
      <c r="E1812" s="8"/>
    </row>
    <row r="1813" spans="1:5" ht="15" customHeight="1" outlineLevel="2" x14ac:dyDescent="0.25">
      <c r="A1813" s="3" t="str">
        <f>HYPERLINK("http://mystore1.ru/price_items/search?utf8=%E2%9C%93&amp;oem=2931AGN","2931AGN")</f>
        <v>2931AGN</v>
      </c>
      <c r="B1813" s="1" t="s">
        <v>3524</v>
      </c>
      <c r="C1813" s="9" t="s">
        <v>687</v>
      </c>
      <c r="D1813" s="14" t="s">
        <v>3525</v>
      </c>
      <c r="E1813" s="9" t="s">
        <v>8</v>
      </c>
    </row>
    <row r="1814" spans="1:5" ht="15" customHeight="1" outlineLevel="2" x14ac:dyDescent="0.25">
      <c r="A1814" s="3" t="str">
        <f>HYPERLINK("http://mystore1.ru/price_items/search?utf8=%E2%9C%93&amp;oem=2931AGNH","2931AGNH")</f>
        <v>2931AGNH</v>
      </c>
      <c r="B1814" s="1" t="s">
        <v>3526</v>
      </c>
      <c r="C1814" s="9" t="s">
        <v>687</v>
      </c>
      <c r="D1814" s="14" t="s">
        <v>3527</v>
      </c>
      <c r="E1814" s="9" t="s">
        <v>8</v>
      </c>
    </row>
    <row r="1815" spans="1:5" outlineLevel="1" x14ac:dyDescent="0.25">
      <c r="A1815" s="2"/>
      <c r="B1815" s="6" t="s">
        <v>3528</v>
      </c>
      <c r="C1815" s="8"/>
      <c r="D1815" s="8"/>
      <c r="E1815" s="8"/>
    </row>
    <row r="1816" spans="1:5" ht="15" customHeight="1" outlineLevel="2" x14ac:dyDescent="0.25">
      <c r="A1816" s="3" t="str">
        <f>HYPERLINK("http://mystore1.ru/price_items/search?utf8=%E2%9C%93&amp;oem=2908ABL","2908ABL")</f>
        <v>2908ABL</v>
      </c>
      <c r="B1816" s="1" t="s">
        <v>3529</v>
      </c>
      <c r="C1816" s="9" t="s">
        <v>3530</v>
      </c>
      <c r="D1816" s="14" t="s">
        <v>3531</v>
      </c>
      <c r="E1816" s="9" t="s">
        <v>8</v>
      </c>
    </row>
    <row r="1817" spans="1:5" ht="15" customHeight="1" outlineLevel="2" x14ac:dyDescent="0.25">
      <c r="A1817" s="3" t="str">
        <f>HYPERLINK("http://mystore1.ru/price_items/search?utf8=%E2%9C%93&amp;oem=2908ACL","2908ACL")</f>
        <v>2908ACL</v>
      </c>
      <c r="B1817" s="1" t="s">
        <v>3532</v>
      </c>
      <c r="C1817" s="9" t="s">
        <v>3530</v>
      </c>
      <c r="D1817" s="14" t="s">
        <v>3533</v>
      </c>
      <c r="E1817" s="9" t="s">
        <v>8</v>
      </c>
    </row>
    <row r="1818" spans="1:5" ht="15" customHeight="1" outlineLevel="2" x14ac:dyDescent="0.25">
      <c r="A1818" s="3" t="str">
        <f>HYPERLINK("http://mystore1.ru/price_items/search?utf8=%E2%9C%93&amp;oem=2908AGNBL","2908AGNBL")</f>
        <v>2908AGNBL</v>
      </c>
      <c r="B1818" s="1" t="s">
        <v>3534</v>
      </c>
      <c r="C1818" s="9" t="s">
        <v>3530</v>
      </c>
      <c r="D1818" s="14" t="s">
        <v>3535</v>
      </c>
      <c r="E1818" s="9" t="s">
        <v>8</v>
      </c>
    </row>
    <row r="1819" spans="1:5" outlineLevel="1" x14ac:dyDescent="0.25">
      <c r="A1819" s="2"/>
      <c r="B1819" s="6" t="s">
        <v>3536</v>
      </c>
      <c r="C1819" s="8"/>
      <c r="D1819" s="8"/>
      <c r="E1819" s="8"/>
    </row>
    <row r="1820" spans="1:5" ht="15" customHeight="1" outlineLevel="2" x14ac:dyDescent="0.25">
      <c r="A1820" s="3" t="str">
        <f>HYPERLINK("http://mystore1.ru/price_items/search?utf8=%E2%9C%93&amp;oem=2921AGN","2921AGN")</f>
        <v>2921AGN</v>
      </c>
      <c r="B1820" s="1" t="s">
        <v>3537</v>
      </c>
      <c r="C1820" s="9" t="s">
        <v>1171</v>
      </c>
      <c r="D1820" s="14" t="s">
        <v>3538</v>
      </c>
      <c r="E1820" s="9" t="s">
        <v>8</v>
      </c>
    </row>
    <row r="1821" spans="1:5" ht="15" customHeight="1" outlineLevel="2" x14ac:dyDescent="0.25">
      <c r="A1821" s="3" t="str">
        <f>HYPERLINK("http://mystore1.ru/price_items/search?utf8=%E2%9C%93&amp;oem=2921ASMV","2921ASMV")</f>
        <v>2921ASMV</v>
      </c>
      <c r="B1821" s="1" t="s">
        <v>3539</v>
      </c>
      <c r="C1821" s="9" t="s">
        <v>25</v>
      </c>
      <c r="D1821" s="14" t="s">
        <v>3540</v>
      </c>
      <c r="E1821" s="9" t="s">
        <v>27</v>
      </c>
    </row>
    <row r="1822" spans="1:5" outlineLevel="1" x14ac:dyDescent="0.25">
      <c r="A1822" s="2"/>
      <c r="B1822" s="6" t="s">
        <v>3541</v>
      </c>
      <c r="C1822" s="8"/>
      <c r="D1822" s="8"/>
      <c r="E1822" s="8"/>
    </row>
    <row r="1823" spans="1:5" ht="15" customHeight="1" outlineLevel="2" x14ac:dyDescent="0.25">
      <c r="A1823" s="3" t="str">
        <f>HYPERLINK("http://mystore1.ru/price_items/search?utf8=%E2%9C%93&amp;oem=2920AGNGN","2920AGNGN")</f>
        <v>2920AGNGN</v>
      </c>
      <c r="B1823" s="1" t="s">
        <v>3542</v>
      </c>
      <c r="C1823" s="9" t="s">
        <v>3543</v>
      </c>
      <c r="D1823" s="14" t="s">
        <v>3544</v>
      </c>
      <c r="E1823" s="9" t="s">
        <v>8</v>
      </c>
    </row>
    <row r="1824" spans="1:5" ht="15" customHeight="1" outlineLevel="2" x14ac:dyDescent="0.25">
      <c r="A1824" s="3" t="str">
        <f>HYPERLINK("http://mystore1.ru/price_items/search?utf8=%E2%9C%93&amp;oem=2920ASRV","2920ASRV")</f>
        <v>2920ASRV</v>
      </c>
      <c r="B1824" s="1" t="s">
        <v>3545</v>
      </c>
      <c r="C1824" s="9" t="s">
        <v>25</v>
      </c>
      <c r="D1824" s="14" t="s">
        <v>3546</v>
      </c>
      <c r="E1824" s="9" t="s">
        <v>27</v>
      </c>
    </row>
    <row r="1825" spans="1:5" ht="15" customHeight="1" outlineLevel="2" x14ac:dyDescent="0.25">
      <c r="A1825" s="3" t="str">
        <f>HYPERLINK("http://mystore1.ru/price_items/search?utf8=%E2%9C%93&amp;oem=2920BGNV","2920BGNV")</f>
        <v>2920BGNV</v>
      </c>
      <c r="B1825" s="1" t="s">
        <v>3547</v>
      </c>
      <c r="C1825" s="9" t="s">
        <v>3543</v>
      </c>
      <c r="D1825" s="14" t="s">
        <v>3548</v>
      </c>
      <c r="E1825" s="9" t="s">
        <v>30</v>
      </c>
    </row>
    <row r="1826" spans="1:5" outlineLevel="1" x14ac:dyDescent="0.25">
      <c r="A1826" s="2"/>
      <c r="B1826" s="6" t="s">
        <v>3549</v>
      </c>
      <c r="C1826" s="8"/>
      <c r="D1826" s="8"/>
      <c r="E1826" s="8"/>
    </row>
    <row r="1827" spans="1:5" ht="15" customHeight="1" outlineLevel="2" x14ac:dyDescent="0.25">
      <c r="A1827" s="3" t="str">
        <f>HYPERLINK("http://mystore1.ru/price_items/search?utf8=%E2%9C%93&amp;oem=2925AGN","2925AGN")</f>
        <v>2925AGN</v>
      </c>
      <c r="B1827" s="1" t="s">
        <v>3550</v>
      </c>
      <c r="C1827" s="9" t="s">
        <v>3551</v>
      </c>
      <c r="D1827" s="14" t="s">
        <v>3552</v>
      </c>
      <c r="E1827" s="9" t="s">
        <v>8</v>
      </c>
    </row>
    <row r="1828" spans="1:5" ht="15" customHeight="1" outlineLevel="2" x14ac:dyDescent="0.25">
      <c r="A1828" s="3" t="str">
        <f>HYPERLINK("http://mystore1.ru/price_items/search?utf8=%E2%9C%93&amp;oem=2925ASMV","2925ASMV")</f>
        <v>2925ASMV</v>
      </c>
      <c r="B1828" s="1" t="s">
        <v>3553</v>
      </c>
      <c r="C1828" s="9" t="s">
        <v>25</v>
      </c>
      <c r="D1828" s="14" t="s">
        <v>3554</v>
      </c>
      <c r="E1828" s="9" t="s">
        <v>27</v>
      </c>
    </row>
    <row r="1829" spans="1:5" outlineLevel="1" x14ac:dyDescent="0.25">
      <c r="A1829" s="2"/>
      <c r="B1829" s="6" t="s">
        <v>3555</v>
      </c>
      <c r="C1829" s="8"/>
      <c r="D1829" s="8"/>
      <c r="E1829" s="8"/>
    </row>
    <row r="1830" spans="1:5" ht="15" customHeight="1" outlineLevel="2" x14ac:dyDescent="0.25">
      <c r="A1830" s="3" t="str">
        <f>HYPERLINK("http://mystore1.ru/price_items/search?utf8=%E2%9C%93&amp;oem=2923AGN","2923AGN")</f>
        <v>2923AGN</v>
      </c>
      <c r="B1830" s="1" t="s">
        <v>3556</v>
      </c>
      <c r="C1830" s="9" t="s">
        <v>2031</v>
      </c>
      <c r="D1830" s="14" t="s">
        <v>3557</v>
      </c>
      <c r="E1830" s="9" t="s">
        <v>8</v>
      </c>
    </row>
    <row r="1831" spans="1:5" ht="15" customHeight="1" outlineLevel="2" x14ac:dyDescent="0.25">
      <c r="A1831" s="3" t="str">
        <f>HYPERLINK("http://mystore1.ru/price_items/search?utf8=%E2%9C%93&amp;oem=2923AGNBL","2923AGNBL")</f>
        <v>2923AGNBL</v>
      </c>
      <c r="B1831" s="1" t="s">
        <v>3558</v>
      </c>
      <c r="C1831" s="9" t="s">
        <v>2031</v>
      </c>
      <c r="D1831" s="14" t="s">
        <v>3559</v>
      </c>
      <c r="E1831" s="9" t="s">
        <v>8</v>
      </c>
    </row>
    <row r="1832" spans="1:5" ht="15" customHeight="1" outlineLevel="2" x14ac:dyDescent="0.25">
      <c r="A1832" s="3" t="str">
        <f>HYPERLINK("http://mystore1.ru/price_items/search?utf8=%E2%9C%93&amp;oem=2923ASMH","2923ASMH")</f>
        <v>2923ASMH</v>
      </c>
      <c r="B1832" s="1" t="s">
        <v>3560</v>
      </c>
      <c r="C1832" s="9" t="s">
        <v>25</v>
      </c>
      <c r="D1832" s="14" t="s">
        <v>3561</v>
      </c>
      <c r="E1832" s="9" t="s">
        <v>27</v>
      </c>
    </row>
    <row r="1833" spans="1:5" ht="15" customHeight="1" outlineLevel="2" x14ac:dyDescent="0.25">
      <c r="A1833" s="3" t="str">
        <f>HYPERLINK("http://mystore1.ru/price_items/search?utf8=%E2%9C%93&amp;oem=2923LGNH5RDW","2923LGNH5RDW")</f>
        <v>2923LGNH5RDW</v>
      </c>
      <c r="B1833" s="1" t="s">
        <v>3562</v>
      </c>
      <c r="C1833" s="9" t="s">
        <v>2031</v>
      </c>
      <c r="D1833" s="14" t="s">
        <v>3563</v>
      </c>
      <c r="E1833" s="9" t="s">
        <v>11</v>
      </c>
    </row>
    <row r="1834" spans="1:5" ht="15" customHeight="1" outlineLevel="2" x14ac:dyDescent="0.25">
      <c r="A1834" s="3" t="str">
        <f>HYPERLINK("http://mystore1.ru/price_items/search?utf8=%E2%9C%93&amp;oem=2923RGNH5FDW","2923RGNH5FDW")</f>
        <v>2923RGNH5FDW</v>
      </c>
      <c r="B1834" s="1" t="s">
        <v>3564</v>
      </c>
      <c r="C1834" s="9" t="s">
        <v>2031</v>
      </c>
      <c r="D1834" s="14" t="s">
        <v>3565</v>
      </c>
      <c r="E1834" s="9" t="s">
        <v>11</v>
      </c>
    </row>
    <row r="1835" spans="1:5" ht="15" customHeight="1" outlineLevel="2" x14ac:dyDescent="0.25">
      <c r="A1835" s="3" t="str">
        <f>HYPERLINK("http://mystore1.ru/price_items/search?utf8=%E2%9C%93&amp;oem=2923RGNH5RDW","2923RGNH5RDW")</f>
        <v>2923RGNH5RDW</v>
      </c>
      <c r="B1835" s="1" t="s">
        <v>3566</v>
      </c>
      <c r="C1835" s="9" t="s">
        <v>2031</v>
      </c>
      <c r="D1835" s="14" t="s">
        <v>3567</v>
      </c>
      <c r="E1835" s="9" t="s">
        <v>11</v>
      </c>
    </row>
    <row r="1836" spans="1:5" outlineLevel="1" x14ac:dyDescent="0.25">
      <c r="A1836" s="2"/>
      <c r="B1836" s="6" t="s">
        <v>3568</v>
      </c>
      <c r="C1836" s="8"/>
      <c r="D1836" s="8"/>
      <c r="E1836" s="8"/>
    </row>
    <row r="1837" spans="1:5" ht="15" customHeight="1" outlineLevel="2" x14ac:dyDescent="0.25">
      <c r="A1837" s="3" t="str">
        <f>HYPERLINK("http://mystore1.ru/price_items/search?utf8=%E2%9C%93&amp;oem=2914ABL","2914ABL")</f>
        <v>2914ABL</v>
      </c>
      <c r="B1837" s="1" t="s">
        <v>3569</v>
      </c>
      <c r="C1837" s="9" t="s">
        <v>176</v>
      </c>
      <c r="D1837" s="14" t="s">
        <v>3570</v>
      </c>
      <c r="E1837" s="9" t="s">
        <v>8</v>
      </c>
    </row>
    <row r="1838" spans="1:5" ht="15" customHeight="1" outlineLevel="2" x14ac:dyDescent="0.25">
      <c r="A1838" s="3" t="str">
        <f>HYPERLINK("http://mystore1.ru/price_items/search?utf8=%E2%9C%93&amp;oem=2914ASRR","2914ASRR")</f>
        <v>2914ASRR</v>
      </c>
      <c r="B1838" s="1" t="s">
        <v>3571</v>
      </c>
      <c r="C1838" s="9" t="s">
        <v>25</v>
      </c>
      <c r="D1838" s="14" t="s">
        <v>3572</v>
      </c>
      <c r="E1838" s="9" t="s">
        <v>27</v>
      </c>
    </row>
    <row r="1839" spans="1:5" outlineLevel="1" x14ac:dyDescent="0.25">
      <c r="A1839" s="2"/>
      <c r="B1839" s="6" t="s">
        <v>3573</v>
      </c>
      <c r="C1839" s="8"/>
      <c r="D1839" s="8"/>
      <c r="E1839" s="8"/>
    </row>
    <row r="1840" spans="1:5" ht="15" customHeight="1" outlineLevel="2" x14ac:dyDescent="0.25">
      <c r="A1840" s="3" t="str">
        <f>HYPERLINK("http://mystore1.ru/price_items/search?utf8=%E2%9C%93&amp;oem=2922AGN","2922AGN")</f>
        <v>2922AGN</v>
      </c>
      <c r="B1840" s="1" t="s">
        <v>3574</v>
      </c>
      <c r="C1840" s="9" t="s">
        <v>3575</v>
      </c>
      <c r="D1840" s="14" t="s">
        <v>3576</v>
      </c>
      <c r="E1840" s="9" t="s">
        <v>8</v>
      </c>
    </row>
    <row r="1841" spans="1:5" ht="15" customHeight="1" outlineLevel="2" x14ac:dyDescent="0.25">
      <c r="A1841" s="3" t="str">
        <f>HYPERLINK("http://mystore1.ru/price_items/search?utf8=%E2%9C%93&amp;oem=2922AGNGN","2922AGNGN")</f>
        <v>2922AGNGN</v>
      </c>
      <c r="B1841" s="1" t="s">
        <v>3577</v>
      </c>
      <c r="C1841" s="9" t="s">
        <v>3575</v>
      </c>
      <c r="D1841" s="14" t="s">
        <v>3578</v>
      </c>
      <c r="E1841" s="9" t="s">
        <v>8</v>
      </c>
    </row>
    <row r="1842" spans="1:5" ht="15" customHeight="1" outlineLevel="2" x14ac:dyDescent="0.25">
      <c r="A1842" s="3" t="str">
        <f>HYPERLINK("http://mystore1.ru/price_items/search?utf8=%E2%9C%93&amp;oem=2922ASMR","2922ASMR")</f>
        <v>2922ASMR</v>
      </c>
      <c r="B1842" s="1" t="s">
        <v>3514</v>
      </c>
      <c r="C1842" s="9" t="s">
        <v>25</v>
      </c>
      <c r="D1842" s="14" t="s">
        <v>3579</v>
      </c>
      <c r="E1842" s="9" t="s">
        <v>27</v>
      </c>
    </row>
    <row r="1843" spans="1:5" ht="15" customHeight="1" outlineLevel="2" x14ac:dyDescent="0.25">
      <c r="A1843" s="3" t="str">
        <f>HYPERLINK("http://mystore1.ru/price_items/search?utf8=%E2%9C%93&amp;oem=2922LGNR5FDW","2922LGNR5FDW")</f>
        <v>2922LGNR5FDW</v>
      </c>
      <c r="B1843" s="1" t="s">
        <v>3580</v>
      </c>
      <c r="C1843" s="9" t="s">
        <v>3575</v>
      </c>
      <c r="D1843" s="14" t="s">
        <v>3581</v>
      </c>
      <c r="E1843" s="9" t="s">
        <v>11</v>
      </c>
    </row>
    <row r="1844" spans="1:5" ht="15" customHeight="1" outlineLevel="2" x14ac:dyDescent="0.25">
      <c r="A1844" s="3" t="str">
        <f>HYPERLINK("http://mystore1.ru/price_items/search?utf8=%E2%9C%93&amp;oem=2922RGNR5FDW","2922RGNR5FDW")</f>
        <v>2922RGNR5FDW</v>
      </c>
      <c r="B1844" s="1" t="s">
        <v>3582</v>
      </c>
      <c r="C1844" s="9" t="s">
        <v>3575</v>
      </c>
      <c r="D1844" s="14" t="s">
        <v>3583</v>
      </c>
      <c r="E1844" s="9" t="s">
        <v>11</v>
      </c>
    </row>
    <row r="1845" spans="1:5" ht="15" customHeight="1" outlineLevel="2" x14ac:dyDescent="0.25">
      <c r="A1845" s="3" t="str">
        <f>HYPERLINK("http://mystore1.ru/price_items/search?utf8=%E2%9C%93&amp;oem=2922RGNR5RDW","2922RGNR5RDW")</f>
        <v>2922RGNR5RDW</v>
      </c>
      <c r="B1845" s="1" t="s">
        <v>3584</v>
      </c>
      <c r="C1845" s="9" t="s">
        <v>3575</v>
      </c>
      <c r="D1845" s="14" t="s">
        <v>3585</v>
      </c>
      <c r="E1845" s="9" t="s">
        <v>11</v>
      </c>
    </row>
    <row r="1846" spans="1:5" outlineLevel="1" x14ac:dyDescent="0.25">
      <c r="A1846" s="2"/>
      <c r="B1846" s="6" t="s">
        <v>3586</v>
      </c>
      <c r="C1846" s="8"/>
      <c r="D1846" s="8"/>
      <c r="E1846" s="8"/>
    </row>
    <row r="1847" spans="1:5" outlineLevel="2" x14ac:dyDescent="0.25">
      <c r="A1847" s="3" t="str">
        <f>HYPERLINK("http://mystore1.ru/price_items/search?utf8=%E2%9C%93&amp;oem=2926AGN","2926AGN")</f>
        <v>2926AGN</v>
      </c>
      <c r="B1847" s="1" t="s">
        <v>3587</v>
      </c>
      <c r="C1847" s="9" t="s">
        <v>984</v>
      </c>
      <c r="D1847" s="14" t="s">
        <v>3588</v>
      </c>
      <c r="E1847" s="9" t="s">
        <v>8</v>
      </c>
    </row>
    <row r="1848" spans="1:5" x14ac:dyDescent="0.25">
      <c r="A1848" s="61" t="s">
        <v>3589</v>
      </c>
      <c r="B1848" s="61"/>
      <c r="C1848" s="61"/>
      <c r="D1848" s="61"/>
      <c r="E1848" s="61"/>
    </row>
    <row r="1849" spans="1:5" outlineLevel="1" x14ac:dyDescent="0.25">
      <c r="A1849" s="2"/>
      <c r="B1849" s="6" t="s">
        <v>3590</v>
      </c>
      <c r="C1849" s="8"/>
      <c r="D1849" s="8"/>
      <c r="E1849" s="8"/>
    </row>
    <row r="1850" spans="1:5" ht="15" customHeight="1" outlineLevel="2" x14ac:dyDescent="0.25">
      <c r="A1850" s="3" t="str">
        <f>HYPERLINK("http://mystore1.ru/price_items/search?utf8=%E2%9C%93&amp;oem=AD49AGNV","AD49AGNV")</f>
        <v>AD49AGNV</v>
      </c>
      <c r="B1850" s="1" t="s">
        <v>3591</v>
      </c>
      <c r="C1850" s="9" t="s">
        <v>511</v>
      </c>
      <c r="D1850" s="14" t="s">
        <v>3592</v>
      </c>
      <c r="E1850" s="9" t="s">
        <v>8</v>
      </c>
    </row>
    <row r="1851" spans="1:5" outlineLevel="1" x14ac:dyDescent="0.25">
      <c r="A1851" s="2"/>
      <c r="B1851" s="6" t="s">
        <v>3593</v>
      </c>
      <c r="C1851" s="8"/>
      <c r="D1851" s="8"/>
      <c r="E1851" s="8"/>
    </row>
    <row r="1852" spans="1:5" ht="15" customHeight="1" outlineLevel="2" x14ac:dyDescent="0.25">
      <c r="A1852" s="3" t="str">
        <f>HYPERLINK("http://mystore1.ru/price_items/search?utf8=%E2%9C%93&amp;oem=AD47AGN","AD47AGN")</f>
        <v>AD47AGN</v>
      </c>
      <c r="B1852" s="1" t="s">
        <v>3594</v>
      </c>
      <c r="C1852" s="9" t="s">
        <v>511</v>
      </c>
      <c r="D1852" s="14" t="s">
        <v>3595</v>
      </c>
      <c r="E1852" s="9" t="s">
        <v>8</v>
      </c>
    </row>
    <row r="1853" spans="1:5" ht="15" customHeight="1" outlineLevel="2" x14ac:dyDescent="0.25">
      <c r="A1853" s="3" t="str">
        <f>HYPERLINK("http://mystore1.ru/price_items/search?utf8=%E2%9C%93&amp;oem=AD47BGNM","AD47BGNM")</f>
        <v>AD47BGNM</v>
      </c>
      <c r="B1853" s="1" t="s">
        <v>3596</v>
      </c>
      <c r="C1853" s="9" t="s">
        <v>511</v>
      </c>
      <c r="D1853" s="14" t="s">
        <v>3597</v>
      </c>
      <c r="E1853" s="9" t="s">
        <v>30</v>
      </c>
    </row>
    <row r="1854" spans="1:5" ht="15" customHeight="1" outlineLevel="2" x14ac:dyDescent="0.25">
      <c r="A1854" s="3" t="str">
        <f>HYPERLINK("http://mystore1.ru/price_items/search?utf8=%E2%9C%93&amp;oem=AD47LGNM5FD","AD47LGNM5FD")</f>
        <v>AD47LGNM5FD</v>
      </c>
      <c r="B1854" s="1" t="s">
        <v>3598</v>
      </c>
      <c r="C1854" s="9" t="s">
        <v>511</v>
      </c>
      <c r="D1854" s="14" t="s">
        <v>3599</v>
      </c>
      <c r="E1854" s="9" t="s">
        <v>11</v>
      </c>
    </row>
    <row r="1855" spans="1:5" ht="15" customHeight="1" outlineLevel="2" x14ac:dyDescent="0.25">
      <c r="A1855" s="3" t="str">
        <f>HYPERLINK("http://mystore1.ru/price_items/search?utf8=%E2%9C%93&amp;oem=AD47LGNM5RD","AD47LGNM5RD")</f>
        <v>AD47LGNM5RD</v>
      </c>
      <c r="B1855" s="1" t="s">
        <v>3600</v>
      </c>
      <c r="C1855" s="9" t="s">
        <v>511</v>
      </c>
      <c r="D1855" s="14" t="s">
        <v>3601</v>
      </c>
      <c r="E1855" s="9" t="s">
        <v>11</v>
      </c>
    </row>
    <row r="1856" spans="1:5" ht="15" customHeight="1" outlineLevel="2" x14ac:dyDescent="0.25">
      <c r="A1856" s="3" t="str">
        <f>HYPERLINK("http://mystore1.ru/price_items/search?utf8=%E2%9C%93&amp;oem=AD47RGNM5FD","AD47RGNM5FD")</f>
        <v>AD47RGNM5FD</v>
      </c>
      <c r="B1856" s="1" t="s">
        <v>3602</v>
      </c>
      <c r="C1856" s="9" t="s">
        <v>511</v>
      </c>
      <c r="D1856" s="14" t="s">
        <v>3603</v>
      </c>
      <c r="E1856" s="9" t="s">
        <v>11</v>
      </c>
    </row>
    <row r="1857" spans="1:5" ht="15" customHeight="1" outlineLevel="2" x14ac:dyDescent="0.25">
      <c r="A1857" s="3" t="str">
        <f>HYPERLINK("http://mystore1.ru/price_items/search?utf8=%E2%9C%93&amp;oem=AD47RGNM5RD","AD47RGNM5RD")</f>
        <v>AD47RGNM5RD</v>
      </c>
      <c r="B1857" s="1" t="s">
        <v>3604</v>
      </c>
      <c r="C1857" s="9" t="s">
        <v>511</v>
      </c>
      <c r="D1857" s="14" t="s">
        <v>3605</v>
      </c>
      <c r="E1857" s="9" t="s">
        <v>11</v>
      </c>
    </row>
    <row r="1858" spans="1:5" outlineLevel="1" x14ac:dyDescent="0.25">
      <c r="A1858" s="2"/>
      <c r="B1858" s="6" t="s">
        <v>3606</v>
      </c>
      <c r="C1858" s="8"/>
      <c r="D1858" s="8"/>
      <c r="E1858" s="8"/>
    </row>
    <row r="1859" spans="1:5" ht="15" customHeight="1" outlineLevel="2" x14ac:dyDescent="0.25">
      <c r="A1859" s="3" t="str">
        <f>HYPERLINK("http://mystore1.ru/price_items/search?utf8=%E2%9C%93&amp;oem=AD46AGSV","AD46AGSV")</f>
        <v>AD46AGSV</v>
      </c>
      <c r="B1859" s="1" t="s">
        <v>3607</v>
      </c>
      <c r="C1859" s="9" t="s">
        <v>642</v>
      </c>
      <c r="D1859" s="14" t="s">
        <v>3608</v>
      </c>
      <c r="E1859" s="9" t="s">
        <v>8</v>
      </c>
    </row>
    <row r="1860" spans="1:5" outlineLevel="1" x14ac:dyDescent="0.25">
      <c r="A1860" s="2"/>
      <c r="B1860" s="6" t="s">
        <v>3609</v>
      </c>
      <c r="C1860" s="8"/>
      <c r="D1860" s="8"/>
      <c r="E1860" s="8"/>
    </row>
    <row r="1861" spans="1:5" outlineLevel="2" x14ac:dyDescent="0.25">
      <c r="A1861" s="3" t="str">
        <f>HYPERLINK("http://mystore1.ru/price_items/search?utf8=%E2%9C%93&amp;oem=AD48AGSV","AD48AGSV")</f>
        <v>AD48AGSV</v>
      </c>
      <c r="B1861" s="1" t="s">
        <v>3610</v>
      </c>
      <c r="C1861" s="9" t="s">
        <v>511</v>
      </c>
      <c r="D1861" s="14" t="s">
        <v>3611</v>
      </c>
      <c r="E1861" s="9" t="s">
        <v>8</v>
      </c>
    </row>
    <row r="1862" spans="1:5" outlineLevel="2" x14ac:dyDescent="0.25">
      <c r="A1862" s="3" t="str">
        <f>HYPERLINK("http://mystore1.ru/price_items/search?utf8=%E2%9C%93&amp;oem=AD48LGSR5FD","AD48LGSR5FD")</f>
        <v>AD48LGSR5FD</v>
      </c>
      <c r="B1862" s="1" t="s">
        <v>3612</v>
      </c>
      <c r="C1862" s="9" t="s">
        <v>511</v>
      </c>
      <c r="D1862" s="14" t="s">
        <v>3613</v>
      </c>
      <c r="E1862" s="9" t="s">
        <v>11</v>
      </c>
    </row>
    <row r="1863" spans="1:5" outlineLevel="2" x14ac:dyDescent="0.25">
      <c r="A1863" s="3" t="str">
        <f>HYPERLINK("http://mystore1.ru/price_items/search?utf8=%E2%9C%93&amp;oem=AD48RGSR5FD","AD48RGSR5FD")</f>
        <v>AD48RGSR5FD</v>
      </c>
      <c r="B1863" s="1" t="s">
        <v>3614</v>
      </c>
      <c r="C1863" s="9" t="s">
        <v>511</v>
      </c>
      <c r="D1863" s="14" t="s">
        <v>3615</v>
      </c>
      <c r="E1863" s="9" t="s">
        <v>11</v>
      </c>
    </row>
    <row r="1864" spans="1:5" x14ac:dyDescent="0.25">
      <c r="A1864" s="61" t="s">
        <v>3616</v>
      </c>
      <c r="B1864" s="61"/>
      <c r="C1864" s="61"/>
      <c r="D1864" s="61"/>
      <c r="E1864" s="61"/>
    </row>
    <row r="1865" spans="1:5" outlineLevel="1" x14ac:dyDescent="0.25">
      <c r="A1865" s="2"/>
      <c r="B1865" s="6" t="s">
        <v>3617</v>
      </c>
      <c r="C1865" s="8"/>
      <c r="D1865" s="8"/>
      <c r="E1865" s="8"/>
    </row>
    <row r="1866" spans="1:5" outlineLevel="2" x14ac:dyDescent="0.25">
      <c r="A1866" s="3" t="str">
        <f>HYPERLINK("http://mystore1.ru/price_items/search?utf8=%E2%9C%93&amp;oem=9251ACL","9251ACL")</f>
        <v>9251ACL</v>
      </c>
      <c r="B1866" s="1" t="s">
        <v>3618</v>
      </c>
      <c r="C1866" s="9" t="s">
        <v>742</v>
      </c>
      <c r="D1866" s="14" t="s">
        <v>3619</v>
      </c>
      <c r="E1866" s="9" t="s">
        <v>8</v>
      </c>
    </row>
    <row r="1867" spans="1:5" x14ac:dyDescent="0.25">
      <c r="A1867" s="61" t="s">
        <v>3620</v>
      </c>
      <c r="B1867" s="61"/>
      <c r="C1867" s="61"/>
      <c r="D1867" s="61"/>
      <c r="E1867" s="61"/>
    </row>
    <row r="1868" spans="1:5" outlineLevel="1" x14ac:dyDescent="0.25">
      <c r="A1868" s="2"/>
      <c r="B1868" s="6" t="s">
        <v>3621</v>
      </c>
      <c r="C1868" s="8"/>
      <c r="D1868" s="8"/>
      <c r="E1868" s="8"/>
    </row>
    <row r="1869" spans="1:5" outlineLevel="2" x14ac:dyDescent="0.25">
      <c r="A1869" s="3" t="str">
        <f>HYPERLINK("http://mystore1.ru/price_items/search?utf8=%E2%9C%93&amp;oem=3131AGSMVZ","3131AGSMVZ")</f>
        <v>3131AGSMVZ</v>
      </c>
      <c r="B1869" s="1" t="s">
        <v>3622</v>
      </c>
      <c r="C1869" s="9" t="s">
        <v>1607</v>
      </c>
      <c r="D1869" s="14" t="s">
        <v>3623</v>
      </c>
      <c r="E1869" s="9" t="s">
        <v>8</v>
      </c>
    </row>
    <row r="1870" spans="1:5" x14ac:dyDescent="0.25">
      <c r="A1870" s="61" t="s">
        <v>3293</v>
      </c>
      <c r="B1870" s="61"/>
      <c r="C1870" s="61"/>
      <c r="D1870" s="61"/>
      <c r="E1870" s="61"/>
    </row>
    <row r="1871" spans="1:5" outlineLevel="1" x14ac:dyDescent="0.25">
      <c r="A1871" s="2"/>
      <c r="B1871" s="6" t="s">
        <v>3624</v>
      </c>
      <c r="C1871" s="8"/>
      <c r="D1871" s="8"/>
      <c r="E1871" s="8"/>
    </row>
    <row r="1872" spans="1:5" ht="15" customHeight="1" outlineLevel="2" x14ac:dyDescent="0.25">
      <c r="A1872" s="3" t="str">
        <f>HYPERLINK("http://mystore1.ru/price_items/search?utf8=%E2%9C%93&amp;oem=3328ACL","3328ACL")</f>
        <v>3328ACL</v>
      </c>
      <c r="B1872" s="1" t="s">
        <v>3625</v>
      </c>
      <c r="C1872" s="9" t="s">
        <v>3626</v>
      </c>
      <c r="D1872" s="14" t="s">
        <v>3627</v>
      </c>
      <c r="E1872" s="9" t="s">
        <v>8</v>
      </c>
    </row>
    <row r="1873" spans="1:5" outlineLevel="1" x14ac:dyDescent="0.25">
      <c r="A1873" s="2"/>
      <c r="B1873" s="6" t="s">
        <v>3628</v>
      </c>
      <c r="C1873" s="8"/>
      <c r="D1873" s="8"/>
      <c r="E1873" s="8"/>
    </row>
    <row r="1874" spans="1:5" ht="15" customHeight="1" outlineLevel="2" x14ac:dyDescent="0.25">
      <c r="A1874" s="3" t="str">
        <f>HYPERLINK("http://mystore1.ru/price_items/search?utf8=%E2%9C%93&amp;oem=3324ACL","3324ACL")</f>
        <v>3324ACL</v>
      </c>
      <c r="B1874" s="1" t="s">
        <v>3629</v>
      </c>
      <c r="C1874" s="9" t="s">
        <v>3630</v>
      </c>
      <c r="D1874" s="14" t="s">
        <v>3631</v>
      </c>
      <c r="E1874" s="9" t="s">
        <v>8</v>
      </c>
    </row>
    <row r="1875" spans="1:5" outlineLevel="1" x14ac:dyDescent="0.25">
      <c r="A1875" s="2"/>
      <c r="B1875" s="6" t="s">
        <v>3632</v>
      </c>
      <c r="C1875" s="8"/>
      <c r="D1875" s="8"/>
      <c r="E1875" s="8"/>
    </row>
    <row r="1876" spans="1:5" ht="15" customHeight="1" outlineLevel="2" x14ac:dyDescent="0.25">
      <c r="A1876" s="3" t="str">
        <f>HYPERLINK("http://mystore1.ru/price_items/search?utf8=%E2%9C%93&amp;oem=3366AGSZ","3366AGSZ")</f>
        <v>3366AGSZ</v>
      </c>
      <c r="B1876" s="1" t="s">
        <v>3633</v>
      </c>
      <c r="C1876" s="9" t="s">
        <v>511</v>
      </c>
      <c r="D1876" s="14" t="s">
        <v>3634</v>
      </c>
      <c r="E1876" s="9" t="s">
        <v>8</v>
      </c>
    </row>
    <row r="1877" spans="1:5" ht="15" customHeight="1" outlineLevel="2" x14ac:dyDescent="0.25">
      <c r="A1877" s="3" t="str">
        <f>HYPERLINK("http://mystore1.ru/price_items/search?utf8=%E2%9C%93&amp;oem=3366AGSZ1V","3366AGSZ1V")</f>
        <v>3366AGSZ1V</v>
      </c>
      <c r="B1877" s="1" t="s">
        <v>3635</v>
      </c>
      <c r="C1877" s="9" t="s">
        <v>511</v>
      </c>
      <c r="D1877" s="14" t="s">
        <v>3636</v>
      </c>
      <c r="E1877" s="9" t="s">
        <v>8</v>
      </c>
    </row>
    <row r="1878" spans="1:5" ht="15" customHeight="1" outlineLevel="2" x14ac:dyDescent="0.25">
      <c r="A1878" s="3" t="str">
        <f>HYPERLINK("http://mystore1.ru/price_items/search?utf8=%E2%9C%93&amp;oem=3366BGSHB","3366BGSHB")</f>
        <v>3366BGSHB</v>
      </c>
      <c r="B1878" s="1" t="s">
        <v>3637</v>
      </c>
      <c r="C1878" s="9" t="s">
        <v>511</v>
      </c>
      <c r="D1878" s="14" t="s">
        <v>3638</v>
      </c>
      <c r="E1878" s="9" t="s">
        <v>30</v>
      </c>
    </row>
    <row r="1879" spans="1:5" ht="15" customHeight="1" outlineLevel="2" x14ac:dyDescent="0.25">
      <c r="A1879" s="3" t="str">
        <f>HYPERLINK("http://mystore1.ru/price_items/search?utf8=%E2%9C%93&amp;oem=3366LGSH3FDW","3366LGSH3FDW")</f>
        <v>3366LGSH3FDW</v>
      </c>
      <c r="B1879" s="1" t="s">
        <v>3639</v>
      </c>
      <c r="C1879" s="9" t="s">
        <v>511</v>
      </c>
      <c r="D1879" s="14" t="s">
        <v>3640</v>
      </c>
      <c r="E1879" s="9" t="s">
        <v>11</v>
      </c>
    </row>
    <row r="1880" spans="1:5" ht="15" customHeight="1" outlineLevel="2" x14ac:dyDescent="0.25">
      <c r="A1880" s="3" t="str">
        <f>HYPERLINK("http://mystore1.ru/price_items/search?utf8=%E2%9C%93&amp;oem=3366RGSH3FDW","3366RGSH3FDW")</f>
        <v>3366RGSH3FDW</v>
      </c>
      <c r="B1880" s="1" t="s">
        <v>3641</v>
      </c>
      <c r="C1880" s="9" t="s">
        <v>511</v>
      </c>
      <c r="D1880" s="14" t="s">
        <v>3642</v>
      </c>
      <c r="E1880" s="9" t="s">
        <v>11</v>
      </c>
    </row>
    <row r="1881" spans="1:5" outlineLevel="1" x14ac:dyDescent="0.25">
      <c r="A1881" s="2"/>
      <c r="B1881" s="6" t="s">
        <v>3643</v>
      </c>
      <c r="C1881" s="8"/>
      <c r="D1881" s="8"/>
      <c r="E1881" s="8"/>
    </row>
    <row r="1882" spans="1:5" ht="15" customHeight="1" outlineLevel="2" x14ac:dyDescent="0.25">
      <c r="A1882" s="3" t="str">
        <f>HYPERLINK("http://mystore1.ru/price_items/search?utf8=%E2%9C%93&amp;oem=3349AGN6Z","3349AGN6Z")</f>
        <v>3349AGN6Z</v>
      </c>
      <c r="B1882" s="1" t="s">
        <v>3644</v>
      </c>
      <c r="C1882" s="9" t="s">
        <v>1408</v>
      </c>
      <c r="D1882" s="14" t="s">
        <v>3645</v>
      </c>
      <c r="E1882" s="9" t="s">
        <v>8</v>
      </c>
    </row>
    <row r="1883" spans="1:5" ht="15" customHeight="1" outlineLevel="2" x14ac:dyDescent="0.25">
      <c r="A1883" s="3" t="str">
        <f>HYPERLINK("http://mystore1.ru/price_items/search?utf8=%E2%9C%93&amp;oem=3349AGSBL","3349AGSBL")</f>
        <v>3349AGSBL</v>
      </c>
      <c r="B1883" s="1" t="s">
        <v>3646</v>
      </c>
      <c r="C1883" s="9" t="s">
        <v>1408</v>
      </c>
      <c r="D1883" s="14" t="s">
        <v>3647</v>
      </c>
      <c r="E1883" s="9" t="s">
        <v>8</v>
      </c>
    </row>
    <row r="1884" spans="1:5" ht="15" customHeight="1" outlineLevel="2" x14ac:dyDescent="0.25">
      <c r="A1884" s="3" t="str">
        <f>HYPERLINK("http://mystore1.ru/price_items/search?utf8=%E2%9C%93&amp;oem=3349ASME","3349ASME")</f>
        <v>3349ASME</v>
      </c>
      <c r="B1884" s="1" t="s">
        <v>3648</v>
      </c>
      <c r="C1884" s="9" t="s">
        <v>25</v>
      </c>
      <c r="D1884" s="14" t="s">
        <v>3649</v>
      </c>
      <c r="E1884" s="9" t="s">
        <v>27</v>
      </c>
    </row>
    <row r="1885" spans="1:5" ht="15" customHeight="1" outlineLevel="2" x14ac:dyDescent="0.25">
      <c r="A1885" s="3" t="str">
        <f>HYPERLINK("http://mystore1.ru/price_items/search?utf8=%E2%9C%93&amp;oem=3349RGSS4FD","3349RGSS4FD")</f>
        <v>3349RGSS4FD</v>
      </c>
      <c r="B1885" s="1" t="s">
        <v>3650</v>
      </c>
      <c r="C1885" s="9" t="s">
        <v>1408</v>
      </c>
      <c r="D1885" s="14" t="s">
        <v>3651</v>
      </c>
      <c r="E1885" s="9" t="s">
        <v>11</v>
      </c>
    </row>
    <row r="1886" spans="1:5" ht="15" customHeight="1" outlineLevel="2" x14ac:dyDescent="0.25">
      <c r="A1886" s="3" t="str">
        <f>HYPERLINK("http://mystore1.ru/price_items/search?utf8=%E2%9C%93&amp;oem=3349LGSS4FD","3349LGSS4FD")</f>
        <v>3349LGSS4FD</v>
      </c>
      <c r="B1886" s="1" t="s">
        <v>3652</v>
      </c>
      <c r="C1886" s="9" t="s">
        <v>1408</v>
      </c>
      <c r="D1886" s="14" t="s">
        <v>3653</v>
      </c>
      <c r="E1886" s="9" t="s">
        <v>11</v>
      </c>
    </row>
    <row r="1887" spans="1:5" ht="15" customHeight="1" outlineLevel="2" x14ac:dyDescent="0.25">
      <c r="A1887" s="3" t="str">
        <f>HYPERLINK("http://mystore1.ru/price_items/search?utf8=%E2%9C%93&amp;oem=3349RGSS4RD","3349RGSS4RD")</f>
        <v>3349RGSS4RD</v>
      </c>
      <c r="B1887" s="1" t="s">
        <v>3654</v>
      </c>
      <c r="C1887" s="9" t="s">
        <v>1408</v>
      </c>
      <c r="D1887" s="14" t="s">
        <v>3655</v>
      </c>
      <c r="E1887" s="9" t="s">
        <v>11</v>
      </c>
    </row>
    <row r="1888" spans="1:5" ht="15" customHeight="1" outlineLevel="2" x14ac:dyDescent="0.25">
      <c r="A1888" s="3" t="str">
        <f>HYPERLINK("http://mystore1.ru/price_items/search?utf8=%E2%9C%93&amp;oem=3349LGSS4RD","3349LGSS4RD")</f>
        <v>3349LGSS4RD</v>
      </c>
      <c r="B1888" s="1" t="s">
        <v>3656</v>
      </c>
      <c r="C1888" s="9" t="s">
        <v>1408</v>
      </c>
      <c r="D1888" s="14" t="s">
        <v>3657</v>
      </c>
      <c r="E1888" s="9" t="s">
        <v>11</v>
      </c>
    </row>
    <row r="1889" spans="1:5" ht="15" customHeight="1" outlineLevel="2" x14ac:dyDescent="0.25">
      <c r="A1889" s="3" t="str">
        <f>HYPERLINK("http://mystore1.ru/price_items/search?utf8=%E2%9C%93&amp;oem=3349BGNS1J","3349BGNS1J")</f>
        <v>3349BGNS1J</v>
      </c>
      <c r="B1889" s="1" t="s">
        <v>3658</v>
      </c>
      <c r="C1889" s="9" t="s">
        <v>1408</v>
      </c>
      <c r="D1889" s="14" t="s">
        <v>3659</v>
      </c>
      <c r="E1889" s="9" t="s">
        <v>30</v>
      </c>
    </row>
    <row r="1890" spans="1:5" outlineLevel="1" x14ac:dyDescent="0.25">
      <c r="A1890" s="2"/>
      <c r="B1890" s="6" t="s">
        <v>3660</v>
      </c>
      <c r="C1890" s="8"/>
      <c r="D1890" s="8"/>
      <c r="E1890" s="8"/>
    </row>
    <row r="1891" spans="1:5" ht="15" customHeight="1" outlineLevel="2" x14ac:dyDescent="0.25">
      <c r="A1891" s="3" t="str">
        <f>HYPERLINK("http://mystore1.ru/price_items/search?utf8=%E2%9C%93&amp;oem=3347AGS","3347AGS")</f>
        <v>3347AGS</v>
      </c>
      <c r="B1891" s="1" t="s">
        <v>3661</v>
      </c>
      <c r="C1891" s="9" t="s">
        <v>1625</v>
      </c>
      <c r="D1891" s="14" t="s">
        <v>3662</v>
      </c>
      <c r="E1891" s="9" t="s">
        <v>8</v>
      </c>
    </row>
    <row r="1892" spans="1:5" ht="15" customHeight="1" outlineLevel="2" x14ac:dyDescent="0.25">
      <c r="A1892" s="3" t="str">
        <f>HYPERLINK("http://mystore1.ru/price_items/search?utf8=%E2%9C%93&amp;oem=3347ASMT","3347ASMT")</f>
        <v>3347ASMT</v>
      </c>
      <c r="B1892" s="1" t="s">
        <v>3663</v>
      </c>
      <c r="C1892" s="9" t="s">
        <v>25</v>
      </c>
      <c r="D1892" s="14" t="s">
        <v>3664</v>
      </c>
      <c r="E1892" s="9" t="s">
        <v>27</v>
      </c>
    </row>
    <row r="1893" spans="1:5" ht="15" customHeight="1" outlineLevel="2" x14ac:dyDescent="0.25">
      <c r="A1893" s="3" t="str">
        <f>HYPERLINK("http://mystore1.ru/price_items/search?utf8=%E2%9C%93&amp;oem=3347LGST2FD","3347LGST2FD")</f>
        <v>3347LGST2FD</v>
      </c>
      <c r="B1893" s="1" t="s">
        <v>3665</v>
      </c>
      <c r="C1893" s="9" t="s">
        <v>1625</v>
      </c>
      <c r="D1893" s="14" t="s">
        <v>3666</v>
      </c>
      <c r="E1893" s="9" t="s">
        <v>11</v>
      </c>
    </row>
    <row r="1894" spans="1:5" ht="15" customHeight="1" outlineLevel="2" x14ac:dyDescent="0.25">
      <c r="A1894" s="3" t="str">
        <f>HYPERLINK("http://mystore1.ru/price_items/search?utf8=%E2%9C%93&amp;oem=3347RGST2FD","3347RGST2FD")</f>
        <v>3347RGST2FD</v>
      </c>
      <c r="B1894" s="1" t="s">
        <v>3667</v>
      </c>
      <c r="C1894" s="9" t="s">
        <v>1625</v>
      </c>
      <c r="D1894" s="14" t="s">
        <v>3668</v>
      </c>
      <c r="E1894" s="9" t="s">
        <v>11</v>
      </c>
    </row>
    <row r="1895" spans="1:5" outlineLevel="1" x14ac:dyDescent="0.25">
      <c r="A1895" s="2"/>
      <c r="B1895" s="6" t="s">
        <v>3669</v>
      </c>
      <c r="C1895" s="8"/>
      <c r="D1895" s="8"/>
      <c r="E1895" s="8"/>
    </row>
    <row r="1896" spans="1:5" ht="15" customHeight="1" outlineLevel="2" x14ac:dyDescent="0.25">
      <c r="A1896" s="3" t="str">
        <f>HYPERLINK("http://mystore1.ru/price_items/search?utf8=%E2%9C%93&amp;oem=3348AGNBL1B","3348AGNBL1B")</f>
        <v>3348AGNBL1B</v>
      </c>
      <c r="B1896" s="1" t="s">
        <v>3670</v>
      </c>
      <c r="C1896" s="9" t="s">
        <v>52</v>
      </c>
      <c r="D1896" s="14" t="s">
        <v>3671</v>
      </c>
      <c r="E1896" s="9" t="s">
        <v>8</v>
      </c>
    </row>
    <row r="1897" spans="1:5" ht="15" customHeight="1" outlineLevel="2" x14ac:dyDescent="0.25">
      <c r="A1897" s="3" t="str">
        <f>HYPERLINK("http://mystore1.ru/price_items/search?utf8=%E2%9C%93&amp;oem=3348AGNGN","3348AGNGN")</f>
        <v>3348AGNGN</v>
      </c>
      <c r="B1897" s="1" t="s">
        <v>3672</v>
      </c>
      <c r="C1897" s="9" t="s">
        <v>52</v>
      </c>
      <c r="D1897" s="14" t="s">
        <v>3673</v>
      </c>
      <c r="E1897" s="9" t="s">
        <v>8</v>
      </c>
    </row>
    <row r="1898" spans="1:5" ht="15" customHeight="1" outlineLevel="2" x14ac:dyDescent="0.25">
      <c r="A1898" s="3" t="str">
        <f>HYPERLINK("http://mystore1.ru/price_items/search?utf8=%E2%9C%93&amp;oem=3348AGS1B","3348AGS1B")</f>
        <v>3348AGS1B</v>
      </c>
      <c r="B1898" s="1" t="s">
        <v>3674</v>
      </c>
      <c r="C1898" s="9" t="s">
        <v>52</v>
      </c>
      <c r="D1898" s="14" t="s">
        <v>3675</v>
      </c>
      <c r="E1898" s="9" t="s">
        <v>8</v>
      </c>
    </row>
    <row r="1899" spans="1:5" ht="15" customHeight="1" outlineLevel="2" x14ac:dyDescent="0.25">
      <c r="A1899" s="3" t="str">
        <f>HYPERLINK("http://mystore1.ru/price_items/search?utf8=%E2%9C%93&amp;oem=3348ASMH","3348ASMH")</f>
        <v>3348ASMH</v>
      </c>
      <c r="B1899" s="1" t="s">
        <v>3676</v>
      </c>
      <c r="C1899" s="9" t="s">
        <v>25</v>
      </c>
      <c r="D1899" s="14" t="s">
        <v>3677</v>
      </c>
      <c r="E1899" s="9" t="s">
        <v>27</v>
      </c>
    </row>
    <row r="1900" spans="1:5" ht="15" customHeight="1" outlineLevel="2" x14ac:dyDescent="0.25">
      <c r="A1900" s="3" t="str">
        <f>HYPERLINK("http://mystore1.ru/price_items/search?utf8=%E2%9C%93&amp;oem=3348BGSEBW1J","3348BGSEBW1J")</f>
        <v>3348BGSEBW1J</v>
      </c>
      <c r="B1900" s="1" t="s">
        <v>3678</v>
      </c>
      <c r="C1900" s="9" t="s">
        <v>52</v>
      </c>
      <c r="D1900" s="14" t="s">
        <v>3679</v>
      </c>
      <c r="E1900" s="9" t="s">
        <v>30</v>
      </c>
    </row>
    <row r="1901" spans="1:5" ht="15" customHeight="1" outlineLevel="2" x14ac:dyDescent="0.25">
      <c r="A1901" s="3" t="str">
        <f>HYPERLINK("http://mystore1.ru/price_items/search?utf8=%E2%9C%93&amp;oem=3348BGSEBZ","3348BGSEBZ")</f>
        <v>3348BGSEBZ</v>
      </c>
      <c r="B1901" s="1" t="s">
        <v>3680</v>
      </c>
      <c r="C1901" s="9" t="s">
        <v>52</v>
      </c>
      <c r="D1901" s="14" t="s">
        <v>3681</v>
      </c>
      <c r="E1901" s="9" t="s">
        <v>30</v>
      </c>
    </row>
    <row r="1902" spans="1:5" ht="15" customHeight="1" outlineLevel="2" x14ac:dyDescent="0.25">
      <c r="A1902" s="3" t="str">
        <f>HYPERLINK("http://mystore1.ru/price_items/search?utf8=%E2%9C%93&amp;oem=3348BGSH1J","3348BGSH1J")</f>
        <v>3348BGSH1J</v>
      </c>
      <c r="B1902" s="1" t="s">
        <v>3682</v>
      </c>
      <c r="C1902" s="9" t="s">
        <v>52</v>
      </c>
      <c r="D1902" s="14" t="s">
        <v>3683</v>
      </c>
      <c r="E1902" s="9" t="s">
        <v>30</v>
      </c>
    </row>
    <row r="1903" spans="1:5" ht="15" customHeight="1" outlineLevel="2" x14ac:dyDescent="0.25">
      <c r="A1903" s="3" t="str">
        <f>HYPERLINK("http://mystore1.ru/price_items/search?utf8=%E2%9C%93&amp;oem=3348BGSHBZ","3348BGSHBZ")</f>
        <v>3348BGSHBZ</v>
      </c>
      <c r="B1903" s="1" t="s">
        <v>3684</v>
      </c>
      <c r="C1903" s="9" t="s">
        <v>52</v>
      </c>
      <c r="D1903" s="14" t="s">
        <v>3685</v>
      </c>
      <c r="E1903" s="9" t="s">
        <v>30</v>
      </c>
    </row>
    <row r="1904" spans="1:5" ht="15" customHeight="1" outlineLevel="2" x14ac:dyDescent="0.25">
      <c r="A1904" s="3" t="str">
        <f>HYPERLINK("http://mystore1.ru/price_items/search?utf8=%E2%9C%93&amp;oem=3348LGSE5RDW","3348LGSE5RDW")</f>
        <v>3348LGSE5RDW</v>
      </c>
      <c r="B1904" s="1" t="s">
        <v>3686</v>
      </c>
      <c r="C1904" s="9" t="s">
        <v>52</v>
      </c>
      <c r="D1904" s="14" t="s">
        <v>3687</v>
      </c>
      <c r="E1904" s="9" t="s">
        <v>11</v>
      </c>
    </row>
    <row r="1905" spans="1:5" ht="15" customHeight="1" outlineLevel="2" x14ac:dyDescent="0.25">
      <c r="A1905" s="3" t="str">
        <f>HYPERLINK("http://mystore1.ru/price_items/search?utf8=%E2%9C%93&amp;oem=3348LGSH3FDW","3348LGSH3FDW")</f>
        <v>3348LGSH3FDW</v>
      </c>
      <c r="B1905" s="1" t="s">
        <v>3688</v>
      </c>
      <c r="C1905" s="9" t="s">
        <v>52</v>
      </c>
      <c r="D1905" s="14" t="s">
        <v>3689</v>
      </c>
      <c r="E1905" s="9" t="s">
        <v>11</v>
      </c>
    </row>
    <row r="1906" spans="1:5" ht="15" customHeight="1" outlineLevel="2" x14ac:dyDescent="0.25">
      <c r="A1906" s="3" t="str">
        <f>HYPERLINK("http://mystore1.ru/price_items/search?utf8=%E2%9C%93&amp;oem=3348LGSH5FDW","3348LGSH5FDW")</f>
        <v>3348LGSH5FDW</v>
      </c>
      <c r="B1906" s="1" t="s">
        <v>3690</v>
      </c>
      <c r="C1906" s="9" t="s">
        <v>52</v>
      </c>
      <c r="D1906" s="14" t="s">
        <v>3691</v>
      </c>
      <c r="E1906" s="9" t="s">
        <v>11</v>
      </c>
    </row>
    <row r="1907" spans="1:5" ht="15" customHeight="1" outlineLevel="2" x14ac:dyDescent="0.25">
      <c r="A1907" s="3" t="str">
        <f>HYPERLINK("http://mystore1.ru/price_items/search?utf8=%E2%9C%93&amp;oem=3348LGSH5RDW","3348LGSH5RDW")</f>
        <v>3348LGSH5RDW</v>
      </c>
      <c r="B1907" s="1" t="s">
        <v>3692</v>
      </c>
      <c r="C1907" s="9" t="s">
        <v>52</v>
      </c>
      <c r="D1907" s="14" t="s">
        <v>3693</v>
      </c>
      <c r="E1907" s="9" t="s">
        <v>11</v>
      </c>
    </row>
    <row r="1908" spans="1:5" ht="15" customHeight="1" outlineLevel="2" x14ac:dyDescent="0.25">
      <c r="A1908" s="3" t="str">
        <f>HYPERLINK("http://mystore1.ru/price_items/search?utf8=%E2%9C%93&amp;oem=3348LGSS4RDW","3348LGSS4RDW")</f>
        <v>3348LGSS4RDW</v>
      </c>
      <c r="B1908" s="1" t="s">
        <v>3694</v>
      </c>
      <c r="C1908" s="9" t="s">
        <v>52</v>
      </c>
      <c r="D1908" s="14" t="s">
        <v>3695</v>
      </c>
      <c r="E1908" s="9" t="s">
        <v>11</v>
      </c>
    </row>
    <row r="1909" spans="1:5" ht="15" customHeight="1" outlineLevel="2" x14ac:dyDescent="0.25">
      <c r="A1909" s="3" t="str">
        <f>HYPERLINK("http://mystore1.ru/price_items/search?utf8=%E2%9C%93&amp;oem=3348LGSS4RV","3348LGSS4RV")</f>
        <v>3348LGSS4RV</v>
      </c>
      <c r="B1909" s="1" t="s">
        <v>3696</v>
      </c>
      <c r="C1909" s="9" t="s">
        <v>52</v>
      </c>
      <c r="D1909" s="14" t="s">
        <v>3697</v>
      </c>
      <c r="E1909" s="9" t="s">
        <v>11</v>
      </c>
    </row>
    <row r="1910" spans="1:5" ht="15" customHeight="1" outlineLevel="2" x14ac:dyDescent="0.25">
      <c r="A1910" s="3" t="str">
        <f>HYPERLINK("http://mystore1.ru/price_items/search?utf8=%E2%9C%93&amp;oem=3348RGSE5RDW","3348RGSE5RDW")</f>
        <v>3348RGSE5RDW</v>
      </c>
      <c r="B1910" s="1" t="s">
        <v>3698</v>
      </c>
      <c r="C1910" s="9" t="s">
        <v>52</v>
      </c>
      <c r="D1910" s="14" t="s">
        <v>3699</v>
      </c>
      <c r="E1910" s="9" t="s">
        <v>11</v>
      </c>
    </row>
    <row r="1911" spans="1:5" ht="15" customHeight="1" outlineLevel="2" x14ac:dyDescent="0.25">
      <c r="A1911" s="3" t="str">
        <f>HYPERLINK("http://mystore1.ru/price_items/search?utf8=%E2%9C%93&amp;oem=3348RGSH3FDW","3348RGSH3FDW")</f>
        <v>3348RGSH3FDW</v>
      </c>
      <c r="B1911" s="1" t="s">
        <v>3700</v>
      </c>
      <c r="C1911" s="9" t="s">
        <v>52</v>
      </c>
      <c r="D1911" s="14" t="s">
        <v>3701</v>
      </c>
      <c r="E1911" s="9" t="s">
        <v>11</v>
      </c>
    </row>
    <row r="1912" spans="1:5" ht="15" customHeight="1" outlineLevel="2" x14ac:dyDescent="0.25">
      <c r="A1912" s="3" t="str">
        <f>HYPERLINK("http://mystore1.ru/price_items/search?utf8=%E2%9C%93&amp;oem=3348RGSH5FDW","3348RGSH5FDW")</f>
        <v>3348RGSH5FDW</v>
      </c>
      <c r="B1912" s="1" t="s">
        <v>3702</v>
      </c>
      <c r="C1912" s="9" t="s">
        <v>52</v>
      </c>
      <c r="D1912" s="14" t="s">
        <v>3703</v>
      </c>
      <c r="E1912" s="9" t="s">
        <v>11</v>
      </c>
    </row>
    <row r="1913" spans="1:5" ht="15" customHeight="1" outlineLevel="2" x14ac:dyDescent="0.25">
      <c r="A1913" s="3" t="str">
        <f>HYPERLINK("http://mystore1.ru/price_items/search?utf8=%E2%9C%93&amp;oem=3348RGSH5RDW","3348RGSH5RDW")</f>
        <v>3348RGSH5RDW</v>
      </c>
      <c r="B1913" s="1" t="s">
        <v>3704</v>
      </c>
      <c r="C1913" s="9" t="s">
        <v>52</v>
      </c>
      <c r="D1913" s="14" t="s">
        <v>3705</v>
      </c>
      <c r="E1913" s="9" t="s">
        <v>11</v>
      </c>
    </row>
    <row r="1914" spans="1:5" ht="15" customHeight="1" outlineLevel="2" x14ac:dyDescent="0.25">
      <c r="A1914" s="3" t="str">
        <f>HYPERLINK("http://mystore1.ru/price_items/search?utf8=%E2%9C%93&amp;oem=3348RGSS4RDW","3348RGSS4RDW")</f>
        <v>3348RGSS4RDW</v>
      </c>
      <c r="B1914" s="1" t="s">
        <v>3706</v>
      </c>
      <c r="C1914" s="9" t="s">
        <v>52</v>
      </c>
      <c r="D1914" s="14" t="s">
        <v>3707</v>
      </c>
      <c r="E1914" s="9" t="s">
        <v>11</v>
      </c>
    </row>
    <row r="1915" spans="1:5" ht="15" customHeight="1" outlineLevel="2" x14ac:dyDescent="0.25">
      <c r="A1915" s="3" t="str">
        <f>HYPERLINK("http://mystore1.ru/price_items/search?utf8=%E2%9C%93&amp;oem=3348RGSS4RV","3348RGSS4RV")</f>
        <v>3348RGSS4RV</v>
      </c>
      <c r="B1915" s="1" t="s">
        <v>3708</v>
      </c>
      <c r="C1915" s="9" t="s">
        <v>52</v>
      </c>
      <c r="D1915" s="14" t="s">
        <v>3709</v>
      </c>
      <c r="E1915" s="9" t="s">
        <v>11</v>
      </c>
    </row>
    <row r="1916" spans="1:5" outlineLevel="1" x14ac:dyDescent="0.25">
      <c r="A1916" s="2"/>
      <c r="B1916" s="6" t="s">
        <v>3710</v>
      </c>
      <c r="C1916" s="8"/>
      <c r="D1916" s="8"/>
      <c r="E1916" s="8"/>
    </row>
    <row r="1917" spans="1:5" ht="15" customHeight="1" outlineLevel="2" x14ac:dyDescent="0.25">
      <c r="A1917" s="3" t="str">
        <f>HYPERLINK("http://mystore1.ru/price_items/search?utf8=%E2%9C%93&amp;oem=3365AGSMZ1B","3365AGSMZ1B")</f>
        <v>3365AGSMZ1B</v>
      </c>
      <c r="B1917" s="1" t="s">
        <v>3711</v>
      </c>
      <c r="C1917" s="9" t="s">
        <v>511</v>
      </c>
      <c r="D1917" s="14" t="s">
        <v>3712</v>
      </c>
      <c r="E1917" s="9" t="s">
        <v>8</v>
      </c>
    </row>
    <row r="1918" spans="1:5" ht="15" customHeight="1" outlineLevel="2" x14ac:dyDescent="0.25">
      <c r="A1918" s="3" t="str">
        <f>HYPERLINK("http://mystore1.ru/price_items/search?utf8=%E2%9C%93&amp;oem=3365AGSZ","3365AGSZ")</f>
        <v>3365AGSZ</v>
      </c>
      <c r="B1918" s="1" t="s">
        <v>3713</v>
      </c>
      <c r="C1918" s="9" t="s">
        <v>511</v>
      </c>
      <c r="D1918" s="14" t="s">
        <v>3714</v>
      </c>
      <c r="E1918" s="9" t="s">
        <v>8</v>
      </c>
    </row>
    <row r="1919" spans="1:5" ht="15" customHeight="1" outlineLevel="2" x14ac:dyDescent="0.25">
      <c r="A1919" s="3" t="str">
        <f>HYPERLINK("http://mystore1.ru/price_items/search?utf8=%E2%9C%93&amp;oem=3365BGSHZ","3365BGSHZ")</f>
        <v>3365BGSHZ</v>
      </c>
      <c r="B1919" s="1" t="s">
        <v>3715</v>
      </c>
      <c r="C1919" s="9" t="s">
        <v>511</v>
      </c>
      <c r="D1919" s="14" t="s">
        <v>3716</v>
      </c>
      <c r="E1919" s="9" t="s">
        <v>30</v>
      </c>
    </row>
    <row r="1920" spans="1:5" ht="15" customHeight="1" outlineLevel="2" x14ac:dyDescent="0.25">
      <c r="A1920" s="3" t="str">
        <f>HYPERLINK("http://mystore1.ru/price_items/search?utf8=%E2%9C%93&amp;oem=3365LGSH5FDW","3365LGSH5FDW")</f>
        <v>3365LGSH5FDW</v>
      </c>
      <c r="B1920" s="1" t="s">
        <v>3717</v>
      </c>
      <c r="C1920" s="9" t="s">
        <v>511</v>
      </c>
      <c r="D1920" s="14" t="s">
        <v>3718</v>
      </c>
      <c r="E1920" s="9" t="s">
        <v>11</v>
      </c>
    </row>
    <row r="1921" spans="1:5" ht="15" customHeight="1" outlineLevel="2" x14ac:dyDescent="0.25">
      <c r="A1921" s="3" t="str">
        <f>HYPERLINK("http://mystore1.ru/price_items/search?utf8=%E2%9C%93&amp;oem=3365LGSH5FDW1A","3365LGSH5FDW1A")</f>
        <v>3365LGSH5FDW1A</v>
      </c>
      <c r="B1921" s="1" t="s">
        <v>3719</v>
      </c>
      <c r="C1921" s="9" t="s">
        <v>511</v>
      </c>
      <c r="D1921" s="14" t="s">
        <v>3720</v>
      </c>
      <c r="E1921" s="9" t="s">
        <v>11</v>
      </c>
    </row>
    <row r="1922" spans="1:5" ht="15" customHeight="1" outlineLevel="2" x14ac:dyDescent="0.25">
      <c r="A1922" s="3" t="str">
        <f>HYPERLINK("http://mystore1.ru/price_items/search?utf8=%E2%9C%93&amp;oem=3365RGSH5FDW1A","3365RGSH5FDW1A")</f>
        <v>3365RGSH5FDW1A</v>
      </c>
      <c r="B1922" s="1" t="s">
        <v>3721</v>
      </c>
      <c r="C1922" s="9" t="s">
        <v>511</v>
      </c>
      <c r="D1922" s="14" t="s">
        <v>3722</v>
      </c>
      <c r="E1922" s="9" t="s">
        <v>11</v>
      </c>
    </row>
    <row r="1923" spans="1:5" ht="15" customHeight="1" outlineLevel="2" x14ac:dyDescent="0.25">
      <c r="A1923" s="3" t="str">
        <f>HYPERLINK("http://mystore1.ru/price_items/search?utf8=%E2%9C%93&amp;oem=3365RGSH5RDW","3365RGSH5RDW")</f>
        <v>3365RGSH5RDW</v>
      </c>
      <c r="B1923" s="1" t="s">
        <v>3723</v>
      </c>
      <c r="C1923" s="9" t="s">
        <v>511</v>
      </c>
      <c r="D1923" s="14" t="s">
        <v>3724</v>
      </c>
      <c r="E1923" s="9" t="s">
        <v>11</v>
      </c>
    </row>
    <row r="1924" spans="1:5" outlineLevel="1" x14ac:dyDescent="0.25">
      <c r="A1924" s="2"/>
      <c r="B1924" s="6" t="s">
        <v>3725</v>
      </c>
      <c r="C1924" s="7"/>
      <c r="D1924" s="8"/>
      <c r="E1924" s="8"/>
    </row>
    <row r="1925" spans="1:5" ht="15" customHeight="1" outlineLevel="2" x14ac:dyDescent="0.25">
      <c r="A1925" s="3" t="str">
        <f>HYPERLINK("http://mystore1.ru/price_items/search?utf8=%E2%9C%93&amp;oem=3340ACL","3340ACL")</f>
        <v>3340ACL</v>
      </c>
      <c r="B1925" s="1" t="s">
        <v>3726</v>
      </c>
      <c r="C1925" s="9" t="s">
        <v>94</v>
      </c>
      <c r="D1925" s="14" t="s">
        <v>3727</v>
      </c>
      <c r="E1925" s="9" t="s">
        <v>8</v>
      </c>
    </row>
    <row r="1926" spans="1:5" ht="15" customHeight="1" outlineLevel="2" x14ac:dyDescent="0.25">
      <c r="A1926" s="3" t="str">
        <f>HYPERLINK("http://mystore1.ru/price_items/search?utf8=%E2%9C%93&amp;oem=3340AGN","3340AGN")</f>
        <v>3340AGN</v>
      </c>
      <c r="B1926" s="1" t="s">
        <v>3728</v>
      </c>
      <c r="C1926" s="9" t="s">
        <v>94</v>
      </c>
      <c r="D1926" s="14" t="s">
        <v>3729</v>
      </c>
      <c r="E1926" s="9" t="s">
        <v>8</v>
      </c>
    </row>
    <row r="1927" spans="1:5" ht="15" customHeight="1" outlineLevel="2" x14ac:dyDescent="0.25">
      <c r="A1927" s="3" t="str">
        <f>HYPERLINK("http://mystore1.ru/price_items/search?utf8=%E2%9C%93&amp;oem=3340AGNGN","3340AGNGN")</f>
        <v>3340AGNGN</v>
      </c>
      <c r="B1927" s="1" t="s">
        <v>3730</v>
      </c>
      <c r="C1927" s="9" t="s">
        <v>94</v>
      </c>
      <c r="D1927" s="14" t="s">
        <v>3731</v>
      </c>
      <c r="E1927" s="9" t="s">
        <v>8</v>
      </c>
    </row>
    <row r="1928" spans="1:5" ht="15" customHeight="1" outlineLevel="2" x14ac:dyDescent="0.25">
      <c r="A1928" s="3" t="str">
        <f>HYPERLINK("http://mystore1.ru/price_items/search?utf8=%E2%9C%93&amp;oem=3340ASRH","3340ASRH")</f>
        <v>3340ASRH</v>
      </c>
      <c r="B1928" s="1" t="s">
        <v>3732</v>
      </c>
      <c r="C1928" s="9" t="s">
        <v>25</v>
      </c>
      <c r="D1928" s="14" t="s">
        <v>3733</v>
      </c>
      <c r="E1928" s="9" t="s">
        <v>27</v>
      </c>
    </row>
    <row r="1929" spans="1:5" ht="15" customHeight="1" outlineLevel="2" x14ac:dyDescent="0.25">
      <c r="A1929" s="3" t="str">
        <f>HYPERLINK("http://mystore1.ru/price_items/search?utf8=%E2%9C%93&amp;oem=3340BGNH","3340BGNH")</f>
        <v>3340BGNH</v>
      </c>
      <c r="B1929" s="1" t="s">
        <v>3734</v>
      </c>
      <c r="C1929" s="9" t="s">
        <v>94</v>
      </c>
      <c r="D1929" s="14" t="s">
        <v>3735</v>
      </c>
      <c r="E1929" s="9" t="s">
        <v>30</v>
      </c>
    </row>
    <row r="1930" spans="1:5" ht="15" customHeight="1" outlineLevel="2" x14ac:dyDescent="0.25">
      <c r="A1930" s="3" t="str">
        <f>HYPERLINK("http://mystore1.ru/price_items/search?utf8=%E2%9C%93&amp;oem=3340BSRH","3340BSRH")</f>
        <v>3340BSRH</v>
      </c>
      <c r="B1930" s="1" t="s">
        <v>3736</v>
      </c>
      <c r="C1930" s="9" t="s">
        <v>25</v>
      </c>
      <c r="D1930" s="14" t="s">
        <v>3737</v>
      </c>
      <c r="E1930" s="9" t="s">
        <v>27</v>
      </c>
    </row>
    <row r="1931" spans="1:5" ht="15" customHeight="1" outlineLevel="2" x14ac:dyDescent="0.25">
      <c r="A1931" s="3" t="str">
        <f>HYPERLINK("http://mystore1.ru/price_items/search?utf8=%E2%9C%93&amp;oem=3340LGNH3FD","3340LGNH3FD")</f>
        <v>3340LGNH3FD</v>
      </c>
      <c r="B1931" s="1" t="s">
        <v>3738</v>
      </c>
      <c r="C1931" s="9" t="s">
        <v>94</v>
      </c>
      <c r="D1931" s="14" t="s">
        <v>3739</v>
      </c>
      <c r="E1931" s="9" t="s">
        <v>11</v>
      </c>
    </row>
    <row r="1932" spans="1:5" ht="15" customHeight="1" outlineLevel="2" x14ac:dyDescent="0.25">
      <c r="A1932" s="3" t="str">
        <f>HYPERLINK("http://mystore1.ru/price_items/search?utf8=%E2%9C%93&amp;oem=3340LGNH3RQO","3340LGNH3RQO")</f>
        <v>3340LGNH3RQO</v>
      </c>
      <c r="B1932" s="1" t="s">
        <v>3740</v>
      </c>
      <c r="C1932" s="9" t="s">
        <v>94</v>
      </c>
      <c r="D1932" s="14" t="s">
        <v>3741</v>
      </c>
      <c r="E1932" s="9" t="s">
        <v>11</v>
      </c>
    </row>
    <row r="1933" spans="1:5" ht="15" customHeight="1" outlineLevel="2" x14ac:dyDescent="0.25">
      <c r="A1933" s="3" t="str">
        <f>HYPERLINK("http://mystore1.ru/price_items/search?utf8=%E2%9C%93&amp;oem=3340RGNH3FD","3340RGNH3FD")</f>
        <v>3340RGNH3FD</v>
      </c>
      <c r="B1933" s="1" t="s">
        <v>3742</v>
      </c>
      <c r="C1933" s="9" t="s">
        <v>94</v>
      </c>
      <c r="D1933" s="14" t="s">
        <v>3743</v>
      </c>
      <c r="E1933" s="9" t="s">
        <v>11</v>
      </c>
    </row>
    <row r="1934" spans="1:5" ht="15" customHeight="1" outlineLevel="2" x14ac:dyDescent="0.25">
      <c r="A1934" s="3" t="str">
        <f>HYPERLINK("http://mystore1.ru/price_items/search?utf8=%E2%9C%93&amp;oem=3340RGNH3RQO","3340RGNH3RQO")</f>
        <v>3340RGNH3RQO</v>
      </c>
      <c r="B1934" s="1" t="s">
        <v>3744</v>
      </c>
      <c r="C1934" s="9" t="s">
        <v>94</v>
      </c>
      <c r="D1934" s="14" t="s">
        <v>3745</v>
      </c>
      <c r="E1934" s="9" t="s">
        <v>11</v>
      </c>
    </row>
    <row r="1935" spans="1:5" outlineLevel="1" x14ac:dyDescent="0.25">
      <c r="A1935" s="2"/>
      <c r="B1935" s="6" t="s">
        <v>3746</v>
      </c>
      <c r="C1935" s="8"/>
      <c r="D1935" s="8"/>
      <c r="E1935" s="8"/>
    </row>
    <row r="1936" spans="1:5" ht="15" customHeight="1" outlineLevel="2" x14ac:dyDescent="0.25">
      <c r="A1936" s="3" t="str">
        <f>HYPERLINK("http://mystore1.ru/price_items/search?utf8=%E2%9C%93&amp;oem=3336ABS","3336ABS")</f>
        <v>3336ABS</v>
      </c>
      <c r="B1936" s="1" t="s">
        <v>3747</v>
      </c>
      <c r="C1936" s="9" t="s">
        <v>3748</v>
      </c>
      <c r="D1936" s="14" t="s">
        <v>3749</v>
      </c>
      <c r="E1936" s="9" t="s">
        <v>8</v>
      </c>
    </row>
    <row r="1937" spans="1:5" ht="15" customHeight="1" outlineLevel="2" x14ac:dyDescent="0.25">
      <c r="A1937" s="3" t="str">
        <f>HYPERLINK("http://mystore1.ru/price_items/search?utf8=%E2%9C%93&amp;oem=3336ABZ","3336ABZ")</f>
        <v>3336ABZ</v>
      </c>
      <c r="B1937" s="1" t="s">
        <v>3750</v>
      </c>
      <c r="C1937" s="9" t="s">
        <v>3748</v>
      </c>
      <c r="D1937" s="14" t="s">
        <v>3751</v>
      </c>
      <c r="E1937" s="9" t="s">
        <v>8</v>
      </c>
    </row>
    <row r="1938" spans="1:5" ht="15" customHeight="1" outlineLevel="2" x14ac:dyDescent="0.25">
      <c r="A1938" s="3" t="str">
        <f>HYPERLINK("http://mystore1.ru/price_items/search?utf8=%E2%9C%93&amp;oem=3336AGN","3336AGN")</f>
        <v>3336AGN</v>
      </c>
      <c r="B1938" s="1" t="s">
        <v>3752</v>
      </c>
      <c r="C1938" s="9" t="s">
        <v>3748</v>
      </c>
      <c r="D1938" s="14" t="s">
        <v>3753</v>
      </c>
      <c r="E1938" s="9" t="s">
        <v>8</v>
      </c>
    </row>
    <row r="1939" spans="1:5" ht="15" customHeight="1" outlineLevel="2" x14ac:dyDescent="0.25">
      <c r="A1939" s="3" t="str">
        <f>HYPERLINK("http://mystore1.ru/price_items/search?utf8=%E2%9C%93&amp;oem=3336ASMH","3336ASMH")</f>
        <v>3336ASMH</v>
      </c>
      <c r="B1939" s="1" t="s">
        <v>3754</v>
      </c>
      <c r="C1939" s="9" t="s">
        <v>25</v>
      </c>
      <c r="D1939" s="14" t="s">
        <v>3755</v>
      </c>
      <c r="E1939" s="9" t="s">
        <v>27</v>
      </c>
    </row>
    <row r="1940" spans="1:5" ht="15" customHeight="1" outlineLevel="2" x14ac:dyDescent="0.25">
      <c r="A1940" s="3" t="str">
        <f>HYPERLINK("http://mystore1.ru/price_items/search?utf8=%E2%9C%93&amp;oem=3336LBSH5RDW","3336LBSH5RDW")</f>
        <v>3336LBSH5RDW</v>
      </c>
      <c r="B1940" s="1" t="s">
        <v>3756</v>
      </c>
      <c r="C1940" s="9" t="s">
        <v>3748</v>
      </c>
      <c r="D1940" s="14" t="s">
        <v>3757</v>
      </c>
      <c r="E1940" s="9" t="s">
        <v>11</v>
      </c>
    </row>
    <row r="1941" spans="1:5" ht="15" customHeight="1" outlineLevel="2" x14ac:dyDescent="0.25">
      <c r="A1941" s="3" t="str">
        <f>HYPERLINK("http://mystore1.ru/price_items/search?utf8=%E2%9C%93&amp;oem=3336LGNH5FDW","3336LGNH5FDW")</f>
        <v>3336LGNH5FDW</v>
      </c>
      <c r="B1941" s="1" t="s">
        <v>3758</v>
      </c>
      <c r="C1941" s="9" t="s">
        <v>3748</v>
      </c>
      <c r="D1941" s="14" t="s">
        <v>3759</v>
      </c>
      <c r="E1941" s="9" t="s">
        <v>11</v>
      </c>
    </row>
    <row r="1942" spans="1:5" ht="15" customHeight="1" outlineLevel="2" x14ac:dyDescent="0.25">
      <c r="A1942" s="3" t="str">
        <f>HYPERLINK("http://mystore1.ru/price_items/search?utf8=%E2%9C%93&amp;oem=3336RBSH5RDW","3336RBSH5RDW")</f>
        <v>3336RBSH5RDW</v>
      </c>
      <c r="B1942" s="1" t="s">
        <v>3760</v>
      </c>
      <c r="C1942" s="9" t="s">
        <v>3748</v>
      </c>
      <c r="D1942" s="14" t="s">
        <v>3761</v>
      </c>
      <c r="E1942" s="9" t="s">
        <v>11</v>
      </c>
    </row>
    <row r="1943" spans="1:5" ht="15" customHeight="1" outlineLevel="2" x14ac:dyDescent="0.25">
      <c r="A1943" s="3" t="str">
        <f>HYPERLINK("http://mystore1.ru/price_items/search?utf8=%E2%9C%93&amp;oem=3336RGNH5FDW","3336RGNH5FDW")</f>
        <v>3336RGNH5FDW</v>
      </c>
      <c r="B1943" s="1" t="s">
        <v>3762</v>
      </c>
      <c r="C1943" s="9" t="s">
        <v>3748</v>
      </c>
      <c r="D1943" s="14" t="s">
        <v>3763</v>
      </c>
      <c r="E1943" s="9" t="s">
        <v>11</v>
      </c>
    </row>
    <row r="1944" spans="1:5" outlineLevel="1" x14ac:dyDescent="0.25">
      <c r="A1944" s="2"/>
      <c r="B1944" s="6" t="s">
        <v>3764</v>
      </c>
      <c r="C1944" s="8"/>
      <c r="D1944" s="8"/>
      <c r="E1944" s="8"/>
    </row>
    <row r="1945" spans="1:5" ht="15" customHeight="1" outlineLevel="2" x14ac:dyDescent="0.25">
      <c r="A1945" s="3" t="str">
        <f>HYPERLINK("http://mystore1.ru/price_items/search?utf8=%E2%9C%93&amp;oem=3361AGAMZ1R","3361AGAMZ1R")</f>
        <v>3361AGAMZ1R</v>
      </c>
      <c r="B1945" s="1" t="s">
        <v>3765</v>
      </c>
      <c r="C1945" s="9" t="s">
        <v>1042</v>
      </c>
      <c r="D1945" s="14" t="s">
        <v>3766</v>
      </c>
      <c r="E1945" s="9" t="s">
        <v>8</v>
      </c>
    </row>
    <row r="1946" spans="1:5" ht="15" customHeight="1" outlineLevel="2" x14ac:dyDescent="0.25">
      <c r="A1946" s="3" t="str">
        <f>HYPERLINK("http://mystore1.ru/price_items/search?utf8=%E2%9C%93&amp;oem=3361AGAZ1M","3361AGAZ1M")</f>
        <v>3361AGAZ1M</v>
      </c>
      <c r="B1946" s="1" t="s">
        <v>3767</v>
      </c>
      <c r="C1946" s="9" t="s">
        <v>1042</v>
      </c>
      <c r="D1946" s="14" t="s">
        <v>3768</v>
      </c>
      <c r="E1946" s="9" t="s">
        <v>8</v>
      </c>
    </row>
    <row r="1947" spans="1:5" ht="15" customHeight="1" outlineLevel="2" x14ac:dyDescent="0.25">
      <c r="A1947" s="3" t="str">
        <f>HYPERLINK("http://mystore1.ru/price_items/search?utf8=%E2%9C%93&amp;oem=3361BGDHBZ","3361BGDHBZ")</f>
        <v>3361BGDHBZ</v>
      </c>
      <c r="B1947" s="1" t="s">
        <v>3769</v>
      </c>
      <c r="C1947" s="9" t="s">
        <v>1042</v>
      </c>
      <c r="D1947" s="14" t="s">
        <v>3770</v>
      </c>
      <c r="E1947" s="9" t="s">
        <v>30</v>
      </c>
    </row>
    <row r="1948" spans="1:5" ht="15" customHeight="1" outlineLevel="2" x14ac:dyDescent="0.25">
      <c r="A1948" s="3" t="str">
        <f>HYPERLINK("http://mystore1.ru/price_items/search?utf8=%E2%9C%93&amp;oem=3361BGSHBZ","3361BGSHBZ")</f>
        <v>3361BGSHBZ</v>
      </c>
      <c r="B1948" s="1" t="s">
        <v>3771</v>
      </c>
      <c r="C1948" s="9" t="s">
        <v>1042</v>
      </c>
      <c r="D1948" s="14" t="s">
        <v>3770</v>
      </c>
      <c r="E1948" s="9" t="s">
        <v>30</v>
      </c>
    </row>
    <row r="1949" spans="1:5" ht="15" customHeight="1" outlineLevel="2" x14ac:dyDescent="0.25">
      <c r="A1949" s="3" t="str">
        <f>HYPERLINK("http://mystore1.ru/price_items/search?utf8=%E2%9C%93&amp;oem=3361LGPH5RDW","3361LGPH5RDW")</f>
        <v>3361LGPH5RDW</v>
      </c>
      <c r="B1949" s="1" t="s">
        <v>3772</v>
      </c>
      <c r="C1949" s="9" t="s">
        <v>1042</v>
      </c>
      <c r="D1949" s="14" t="s">
        <v>3773</v>
      </c>
      <c r="E1949" s="9" t="s">
        <v>11</v>
      </c>
    </row>
    <row r="1950" spans="1:5" ht="15" customHeight="1" outlineLevel="2" x14ac:dyDescent="0.25">
      <c r="A1950" s="3" t="str">
        <f>HYPERLINK("http://mystore1.ru/price_items/search?utf8=%E2%9C%93&amp;oem=3361LGSH5FD","3361LGSH5FD")</f>
        <v>3361LGSH5FD</v>
      </c>
      <c r="B1950" s="1" t="s">
        <v>3774</v>
      </c>
      <c r="C1950" s="9" t="s">
        <v>1042</v>
      </c>
      <c r="D1950" s="14" t="s">
        <v>3775</v>
      </c>
      <c r="E1950" s="9" t="s">
        <v>11</v>
      </c>
    </row>
    <row r="1951" spans="1:5" ht="15" customHeight="1" outlineLevel="2" x14ac:dyDescent="0.25">
      <c r="A1951" s="3" t="str">
        <f>HYPERLINK("http://mystore1.ru/price_items/search?utf8=%E2%9C%93&amp;oem=3361LGSH5RDW","3361LGSH5RDW")</f>
        <v>3361LGSH5RDW</v>
      </c>
      <c r="B1951" s="1" t="s">
        <v>3776</v>
      </c>
      <c r="C1951" s="9" t="s">
        <v>1042</v>
      </c>
      <c r="D1951" s="14" t="s">
        <v>3777</v>
      </c>
      <c r="E1951" s="9" t="s">
        <v>11</v>
      </c>
    </row>
    <row r="1952" spans="1:5" ht="15" customHeight="1" outlineLevel="2" x14ac:dyDescent="0.25">
      <c r="A1952" s="3" t="str">
        <f>HYPERLINK("http://mystore1.ru/price_items/search?utf8=%E2%9C%93&amp;oem=3361RGPH5RDW","3361RGPH5RDW")</f>
        <v>3361RGPH5RDW</v>
      </c>
      <c r="B1952" s="1" t="s">
        <v>3778</v>
      </c>
      <c r="C1952" s="9" t="s">
        <v>1042</v>
      </c>
      <c r="D1952" s="14" t="s">
        <v>3779</v>
      </c>
      <c r="E1952" s="9" t="s">
        <v>11</v>
      </c>
    </row>
    <row r="1953" spans="1:5" ht="15" customHeight="1" outlineLevel="2" x14ac:dyDescent="0.25">
      <c r="A1953" s="3" t="str">
        <f>HYPERLINK("http://mystore1.ru/price_items/search?utf8=%E2%9C%93&amp;oem=3361RGSH5FD","3361RGSH5FD")</f>
        <v>3361RGSH5FD</v>
      </c>
      <c r="B1953" s="1" t="s">
        <v>3780</v>
      </c>
      <c r="C1953" s="9" t="s">
        <v>1042</v>
      </c>
      <c r="D1953" s="14" t="s">
        <v>3781</v>
      </c>
      <c r="E1953" s="9" t="s">
        <v>11</v>
      </c>
    </row>
    <row r="1954" spans="1:5" ht="15" customHeight="1" outlineLevel="2" x14ac:dyDescent="0.25">
      <c r="A1954" s="3" t="str">
        <f>HYPERLINK("http://mystore1.ru/price_items/search?utf8=%E2%9C%93&amp;oem=3361RGSH5RDW","3361RGSH5RDW")</f>
        <v>3361RGSH5RDW</v>
      </c>
      <c r="B1954" s="1" t="s">
        <v>3782</v>
      </c>
      <c r="C1954" s="9" t="s">
        <v>1042</v>
      </c>
      <c r="D1954" s="14" t="s">
        <v>3783</v>
      </c>
      <c r="E1954" s="9" t="s">
        <v>11</v>
      </c>
    </row>
    <row r="1955" spans="1:5" outlineLevel="1" x14ac:dyDescent="0.25">
      <c r="A1955" s="2"/>
      <c r="B1955" s="6" t="s">
        <v>3784</v>
      </c>
      <c r="C1955" s="8"/>
      <c r="D1955" s="8"/>
      <c r="E1955" s="8"/>
    </row>
    <row r="1956" spans="1:5" ht="15" customHeight="1" outlineLevel="2" x14ac:dyDescent="0.25">
      <c r="A1956" s="3" t="str">
        <f>HYPERLINK("http://mystore1.ru/price_items/search?utf8=%E2%9C%93&amp;oem=3354AGS","3354AGS")</f>
        <v>3354AGS</v>
      </c>
      <c r="B1956" s="1" t="s">
        <v>3785</v>
      </c>
      <c r="C1956" s="9" t="s">
        <v>1423</v>
      </c>
      <c r="D1956" s="14" t="s">
        <v>3786</v>
      </c>
      <c r="E1956" s="9" t="s">
        <v>8</v>
      </c>
    </row>
    <row r="1957" spans="1:5" ht="15" customHeight="1" outlineLevel="2" x14ac:dyDescent="0.25">
      <c r="A1957" s="3" t="str">
        <f>HYPERLINK("http://mystore1.ru/price_items/search?utf8=%E2%9C%93&amp;oem=3354AGSBL","3354AGSBL")</f>
        <v>3354AGSBL</v>
      </c>
      <c r="B1957" s="1" t="s">
        <v>3787</v>
      </c>
      <c r="C1957" s="9" t="s">
        <v>1423</v>
      </c>
      <c r="D1957" s="14" t="s">
        <v>3788</v>
      </c>
      <c r="E1957" s="9" t="s">
        <v>8</v>
      </c>
    </row>
    <row r="1958" spans="1:5" ht="15" customHeight="1" outlineLevel="2" x14ac:dyDescent="0.25">
      <c r="A1958" s="3" t="str">
        <f>HYPERLINK("http://mystore1.ru/price_items/search?utf8=%E2%9C%93&amp;oem=3354AGNGN","3354AGNGN")</f>
        <v>3354AGNGN</v>
      </c>
      <c r="B1958" s="1" t="s">
        <v>3789</v>
      </c>
      <c r="C1958" s="9" t="s">
        <v>1423</v>
      </c>
      <c r="D1958" s="14" t="s">
        <v>3790</v>
      </c>
      <c r="E1958" s="9" t="s">
        <v>8</v>
      </c>
    </row>
    <row r="1959" spans="1:5" ht="15" customHeight="1" outlineLevel="2" x14ac:dyDescent="0.25">
      <c r="A1959" s="3" t="str">
        <f>HYPERLINK("http://mystore1.ru/price_items/search?utf8=%E2%9C%93&amp;oem=3354ASMVT","3354ASMVT")</f>
        <v>3354ASMVT</v>
      </c>
      <c r="B1959" s="1" t="s">
        <v>3791</v>
      </c>
      <c r="C1959" s="9" t="s">
        <v>25</v>
      </c>
      <c r="D1959" s="14" t="s">
        <v>3792</v>
      </c>
      <c r="E1959" s="9" t="s">
        <v>27</v>
      </c>
    </row>
    <row r="1960" spans="1:5" ht="15" customHeight="1" outlineLevel="2" x14ac:dyDescent="0.25">
      <c r="A1960" s="3" t="str">
        <f>HYPERLINK("http://mystore1.ru/price_items/search?utf8=%E2%9C%93&amp;oem=3354RGSV5RQO","3354RGSV5RQO")</f>
        <v>3354RGSV5RQO</v>
      </c>
      <c r="B1960" s="1" t="s">
        <v>3793</v>
      </c>
      <c r="C1960" s="9" t="s">
        <v>1423</v>
      </c>
      <c r="D1960" s="14" t="s">
        <v>3794</v>
      </c>
      <c r="E1960" s="9" t="s">
        <v>11</v>
      </c>
    </row>
    <row r="1961" spans="1:5" outlineLevel="1" x14ac:dyDescent="0.25">
      <c r="A1961" s="2"/>
      <c r="B1961" s="6" t="s">
        <v>3795</v>
      </c>
      <c r="C1961" s="8"/>
      <c r="D1961" s="8"/>
      <c r="E1961" s="8"/>
    </row>
    <row r="1962" spans="1:5" ht="15" customHeight="1" outlineLevel="2" x14ac:dyDescent="0.25">
      <c r="A1962" s="3" t="str">
        <f>HYPERLINK("http://mystore1.ru/price_items/search?utf8=%E2%9C%93&amp;oem=3369AGSV","3369AGSV")</f>
        <v>3369AGSV</v>
      </c>
      <c r="B1962" s="1" t="s">
        <v>3796</v>
      </c>
      <c r="C1962" s="9" t="s">
        <v>601</v>
      </c>
      <c r="D1962" s="14" t="s">
        <v>3797</v>
      </c>
      <c r="E1962" s="9" t="s">
        <v>8</v>
      </c>
    </row>
    <row r="1963" spans="1:5" outlineLevel="1" x14ac:dyDescent="0.25">
      <c r="A1963" s="2"/>
      <c r="B1963" s="6" t="s">
        <v>3798</v>
      </c>
      <c r="C1963" s="8"/>
      <c r="D1963" s="8"/>
      <c r="E1963" s="8"/>
    </row>
    <row r="1964" spans="1:5" ht="15" customHeight="1" outlineLevel="2" x14ac:dyDescent="0.25">
      <c r="A1964" s="3" t="str">
        <f>HYPERLINK("http://mystore1.ru/price_items/search?utf8=%E2%9C%93&amp;oem=3727ABZ","3727ABZ")</f>
        <v>3727ABZ</v>
      </c>
      <c r="B1964" s="1" t="s">
        <v>3799</v>
      </c>
      <c r="C1964" s="9" t="s">
        <v>2606</v>
      </c>
      <c r="D1964" s="14" t="s">
        <v>3800</v>
      </c>
      <c r="E1964" s="9" t="s">
        <v>8</v>
      </c>
    </row>
    <row r="1965" spans="1:5" ht="15" customHeight="1" outlineLevel="2" x14ac:dyDescent="0.25">
      <c r="A1965" s="3" t="str">
        <f>HYPERLINK("http://mystore1.ru/price_items/search?utf8=%E2%9C%93&amp;oem=3727ACL","3727ACL")</f>
        <v>3727ACL</v>
      </c>
      <c r="B1965" s="1" t="s">
        <v>3801</v>
      </c>
      <c r="C1965" s="9" t="s">
        <v>2606</v>
      </c>
      <c r="D1965" s="14" t="s">
        <v>3802</v>
      </c>
      <c r="E1965" s="9" t="s">
        <v>8</v>
      </c>
    </row>
    <row r="1966" spans="1:5" ht="15" customHeight="1" outlineLevel="2" x14ac:dyDescent="0.25">
      <c r="A1966" s="3" t="str">
        <f>HYPERLINK("http://mystore1.ru/price_items/search?utf8=%E2%9C%93&amp;oem=3727AGN","3727AGN")</f>
        <v>3727AGN</v>
      </c>
      <c r="B1966" s="1" t="s">
        <v>3803</v>
      </c>
      <c r="C1966" s="9" t="s">
        <v>2606</v>
      </c>
      <c r="D1966" s="14" t="s">
        <v>3804</v>
      </c>
      <c r="E1966" s="9" t="s">
        <v>8</v>
      </c>
    </row>
    <row r="1967" spans="1:5" ht="15" customHeight="1" outlineLevel="2" x14ac:dyDescent="0.25">
      <c r="A1967" s="3" t="str">
        <f>HYPERLINK("http://mystore1.ru/price_items/search?utf8=%E2%9C%93&amp;oem=3727AGNBL","3727AGNBL")</f>
        <v>3727AGNBL</v>
      </c>
      <c r="B1967" s="1" t="s">
        <v>3805</v>
      </c>
      <c r="C1967" s="9" t="s">
        <v>2606</v>
      </c>
      <c r="D1967" s="14" t="s">
        <v>3806</v>
      </c>
      <c r="E1967" s="9" t="s">
        <v>8</v>
      </c>
    </row>
    <row r="1968" spans="1:5" ht="15" customHeight="1" outlineLevel="2" x14ac:dyDescent="0.25">
      <c r="A1968" s="3" t="str">
        <f>HYPERLINK("http://mystore1.ru/price_items/search?utf8=%E2%9C%93&amp;oem=3727AGNGN","3727AGNGN")</f>
        <v>3727AGNGN</v>
      </c>
      <c r="B1968" s="1" t="s">
        <v>3807</v>
      </c>
      <c r="C1968" s="9" t="s">
        <v>2606</v>
      </c>
      <c r="D1968" s="14" t="s">
        <v>3808</v>
      </c>
      <c r="E1968" s="9" t="s">
        <v>8</v>
      </c>
    </row>
    <row r="1969" spans="1:5" ht="15" customHeight="1" outlineLevel="2" x14ac:dyDescent="0.25">
      <c r="A1969" s="3" t="str">
        <f>HYPERLINK("http://mystore1.ru/price_items/search?utf8=%E2%9C%93&amp;oem=3727ASRV","3727ASRV")</f>
        <v>3727ASRV</v>
      </c>
      <c r="B1969" s="1" t="s">
        <v>3809</v>
      </c>
      <c r="C1969" s="9" t="s">
        <v>25</v>
      </c>
      <c r="D1969" s="14" t="s">
        <v>3810</v>
      </c>
      <c r="E1969" s="9" t="s">
        <v>27</v>
      </c>
    </row>
    <row r="1970" spans="1:5" ht="15" customHeight="1" outlineLevel="2" x14ac:dyDescent="0.25">
      <c r="A1970" s="3" t="str">
        <f>HYPERLINK("http://mystore1.ru/price_items/search?utf8=%E2%9C%93&amp;oem=3727LCLV2FD","3727LCLV2FD")</f>
        <v>3727LCLV2FD</v>
      </c>
      <c r="B1970" s="1" t="s">
        <v>3811</v>
      </c>
      <c r="C1970" s="9" t="s">
        <v>2606</v>
      </c>
      <c r="D1970" s="14" t="s">
        <v>3812</v>
      </c>
      <c r="E1970" s="9" t="s">
        <v>11</v>
      </c>
    </row>
    <row r="1971" spans="1:5" ht="15" customHeight="1" outlineLevel="2" x14ac:dyDescent="0.25">
      <c r="A1971" s="3" t="str">
        <f>HYPERLINK("http://mystore1.ru/price_items/search?utf8=%E2%9C%93&amp;oem=3727RCLV2FD","3727RCLV2FD")</f>
        <v>3727RCLV2FD</v>
      </c>
      <c r="B1971" s="1" t="s">
        <v>3813</v>
      </c>
      <c r="C1971" s="9" t="s">
        <v>2606</v>
      </c>
      <c r="D1971" s="14" t="s">
        <v>3814</v>
      </c>
      <c r="E1971" s="9" t="s">
        <v>11</v>
      </c>
    </row>
    <row r="1972" spans="1:5" outlineLevel="1" x14ac:dyDescent="0.25">
      <c r="A1972" s="2"/>
      <c r="B1972" s="6" t="s">
        <v>3815</v>
      </c>
      <c r="C1972" s="8"/>
      <c r="D1972" s="8"/>
      <c r="E1972" s="8"/>
    </row>
    <row r="1973" spans="1:5" ht="15" customHeight="1" outlineLevel="2" x14ac:dyDescent="0.25">
      <c r="A1973" s="3" t="str">
        <f>HYPERLINK("http://mystore1.ru/price_items/search?utf8=%E2%9C%93&amp;oem=3735ACL1B","3735ACL1B")</f>
        <v>3735ACL1B</v>
      </c>
      <c r="B1973" s="1" t="s">
        <v>3816</v>
      </c>
      <c r="C1973" s="9" t="s">
        <v>2655</v>
      </c>
      <c r="D1973" s="14" t="s">
        <v>3817</v>
      </c>
      <c r="E1973" s="9" t="s">
        <v>8</v>
      </c>
    </row>
    <row r="1974" spans="1:5" ht="15" customHeight="1" outlineLevel="2" x14ac:dyDescent="0.25">
      <c r="A1974" s="3" t="str">
        <f>HYPERLINK("http://mystore1.ru/price_items/search?utf8=%E2%9C%93&amp;oem=3735AGN1B","3735AGN1B")</f>
        <v>3735AGN1B</v>
      </c>
      <c r="B1974" s="1" t="s">
        <v>3818</v>
      </c>
      <c r="C1974" s="9" t="s">
        <v>2655</v>
      </c>
      <c r="D1974" s="14" t="s">
        <v>3819</v>
      </c>
      <c r="E1974" s="9" t="s">
        <v>8</v>
      </c>
    </row>
    <row r="1975" spans="1:5" ht="15" customHeight="1" outlineLevel="2" x14ac:dyDescent="0.25">
      <c r="A1975" s="3" t="str">
        <f>HYPERLINK("http://mystore1.ru/price_items/search?utf8=%E2%9C%93&amp;oem=3735AGNBL1B","3735AGNBL1B")</f>
        <v>3735AGNBL1B</v>
      </c>
      <c r="B1975" s="1" t="s">
        <v>3820</v>
      </c>
      <c r="C1975" s="9" t="s">
        <v>2655</v>
      </c>
      <c r="D1975" s="14" t="s">
        <v>3821</v>
      </c>
      <c r="E1975" s="9" t="s">
        <v>8</v>
      </c>
    </row>
    <row r="1976" spans="1:5" ht="15" customHeight="1" outlineLevel="2" x14ac:dyDescent="0.25">
      <c r="A1976" s="3" t="str">
        <f>HYPERLINK("http://mystore1.ru/price_items/search?utf8=%E2%9C%93&amp;oem=3735AGNGN1B","3735AGNGN1B")</f>
        <v>3735AGNGN1B</v>
      </c>
      <c r="B1976" s="1" t="s">
        <v>3822</v>
      </c>
      <c r="C1976" s="9" t="s">
        <v>2655</v>
      </c>
      <c r="D1976" s="14" t="s">
        <v>3823</v>
      </c>
      <c r="E1976" s="9" t="s">
        <v>8</v>
      </c>
    </row>
    <row r="1977" spans="1:5" ht="15" customHeight="1" outlineLevel="2" x14ac:dyDescent="0.25">
      <c r="A1977" s="3" t="str">
        <f>HYPERLINK("http://mystore1.ru/price_items/search?utf8=%E2%9C%93&amp;oem=3735AGS1B","3735AGS1B")</f>
        <v>3735AGS1B</v>
      </c>
      <c r="B1977" s="1" t="s">
        <v>3824</v>
      </c>
      <c r="C1977" s="9" t="s">
        <v>2655</v>
      </c>
      <c r="D1977" s="14" t="s">
        <v>3825</v>
      </c>
      <c r="E1977" s="9" t="s">
        <v>8</v>
      </c>
    </row>
    <row r="1978" spans="1:5" ht="15" customHeight="1" outlineLevel="2" x14ac:dyDescent="0.25">
      <c r="A1978" s="3" t="str">
        <f>HYPERLINK("http://mystore1.ru/price_items/search?utf8=%E2%9C%93&amp;oem=3735ASMV","3735ASMV")</f>
        <v>3735ASMV</v>
      </c>
      <c r="B1978" s="1" t="s">
        <v>3826</v>
      </c>
      <c r="C1978" s="9" t="s">
        <v>25</v>
      </c>
      <c r="D1978" s="14" t="s">
        <v>3827</v>
      </c>
      <c r="E1978" s="9" t="s">
        <v>27</v>
      </c>
    </row>
    <row r="1979" spans="1:5" ht="15" customHeight="1" outlineLevel="2" x14ac:dyDescent="0.25">
      <c r="A1979" s="3" t="str">
        <f>HYPERLINK("http://mystore1.ru/price_items/search?utf8=%E2%9C%93&amp;oem=3735BGNVRU","3735BGNVRU")</f>
        <v>3735BGNVRU</v>
      </c>
      <c r="B1979" s="1" t="s">
        <v>3828</v>
      </c>
      <c r="C1979" s="9" t="s">
        <v>2655</v>
      </c>
      <c r="D1979" s="14" t="s">
        <v>3829</v>
      </c>
      <c r="E1979" s="9" t="s">
        <v>30</v>
      </c>
    </row>
    <row r="1980" spans="1:5" ht="15" customHeight="1" outlineLevel="2" x14ac:dyDescent="0.25">
      <c r="A1980" s="3" t="str">
        <f>HYPERLINK("http://mystore1.ru/price_items/search?utf8=%E2%9C%93&amp;oem=3735BGNVLU","3735BGNVLU")</f>
        <v>3735BGNVLU</v>
      </c>
      <c r="B1980" s="1" t="s">
        <v>3830</v>
      </c>
      <c r="C1980" s="9" t="s">
        <v>2655</v>
      </c>
      <c r="D1980" s="14" t="s">
        <v>3831</v>
      </c>
      <c r="E1980" s="9" t="s">
        <v>30</v>
      </c>
    </row>
    <row r="1981" spans="1:5" ht="15" customHeight="1" outlineLevel="2" x14ac:dyDescent="0.25">
      <c r="A1981" s="3" t="str">
        <f>HYPERLINK("http://mystore1.ru/price_items/search?utf8=%E2%9C%93&amp;oem=3735BCLVRU1J","3735BCLVRU1J")</f>
        <v>3735BCLVRU1J</v>
      </c>
      <c r="B1981" s="1" t="s">
        <v>3832</v>
      </c>
      <c r="C1981" s="9" t="s">
        <v>2655</v>
      </c>
      <c r="D1981" s="14" t="s">
        <v>3833</v>
      </c>
      <c r="E1981" s="9" t="s">
        <v>30</v>
      </c>
    </row>
    <row r="1982" spans="1:5" ht="15" customHeight="1" outlineLevel="2" x14ac:dyDescent="0.25">
      <c r="A1982" s="3" t="str">
        <f>HYPERLINK("http://mystore1.ru/price_items/search?utf8=%E2%9C%93&amp;oem=3735LCLV2FD","3735LCLV2FD")</f>
        <v>3735LCLV2FD</v>
      </c>
      <c r="B1982" s="1" t="s">
        <v>3834</v>
      </c>
      <c r="C1982" s="9" t="s">
        <v>2655</v>
      </c>
      <c r="D1982" s="14" t="s">
        <v>3835</v>
      </c>
      <c r="E1982" s="9" t="s">
        <v>11</v>
      </c>
    </row>
    <row r="1983" spans="1:5" ht="15" customHeight="1" outlineLevel="2" x14ac:dyDescent="0.25">
      <c r="A1983" s="3" t="str">
        <f>HYPERLINK("http://mystore1.ru/price_items/search?utf8=%E2%9C%93&amp;oem=3735LCLV2FV","3735LCLV2FV")</f>
        <v>3735LCLV2FV</v>
      </c>
      <c r="B1983" s="1" t="s">
        <v>3836</v>
      </c>
      <c r="C1983" s="9" t="s">
        <v>2655</v>
      </c>
      <c r="D1983" s="14" t="s">
        <v>3837</v>
      </c>
      <c r="E1983" s="9" t="s">
        <v>11</v>
      </c>
    </row>
    <row r="1984" spans="1:5" ht="15" customHeight="1" outlineLevel="2" x14ac:dyDescent="0.25">
      <c r="A1984" s="3" t="str">
        <f>HYPERLINK("http://mystore1.ru/price_items/search?utf8=%E2%9C%93&amp;oem=3735LGNV2FD","3735LGNV2FD")</f>
        <v>3735LGNV2FD</v>
      </c>
      <c r="B1984" s="1" t="s">
        <v>3838</v>
      </c>
      <c r="C1984" s="9" t="s">
        <v>2655</v>
      </c>
      <c r="D1984" s="14" t="s">
        <v>3839</v>
      </c>
      <c r="E1984" s="9" t="s">
        <v>11</v>
      </c>
    </row>
    <row r="1985" spans="1:5" ht="15" customHeight="1" outlineLevel="2" x14ac:dyDescent="0.25">
      <c r="A1985" s="3" t="str">
        <f>HYPERLINK("http://mystore1.ru/price_items/search?utf8=%E2%9C%93&amp;oem=3735RCLV2FD","3735RCLV2FD")</f>
        <v>3735RCLV2FD</v>
      </c>
      <c r="B1985" s="1" t="s">
        <v>3840</v>
      </c>
      <c r="C1985" s="9" t="s">
        <v>2655</v>
      </c>
      <c r="D1985" s="14" t="s">
        <v>3841</v>
      </c>
      <c r="E1985" s="9" t="s">
        <v>11</v>
      </c>
    </row>
    <row r="1986" spans="1:5" ht="15" customHeight="1" outlineLevel="2" x14ac:dyDescent="0.25">
      <c r="A1986" s="3" t="str">
        <f>HYPERLINK("http://mystore1.ru/price_items/search?utf8=%E2%9C%93&amp;oem=3735RGNV2FD","3735RGNV2FD")</f>
        <v>3735RGNV2FD</v>
      </c>
      <c r="B1986" s="1" t="s">
        <v>3842</v>
      </c>
      <c r="C1986" s="9" t="s">
        <v>2655</v>
      </c>
      <c r="D1986" s="14" t="s">
        <v>3843</v>
      </c>
      <c r="E1986" s="9" t="s">
        <v>11</v>
      </c>
    </row>
    <row r="1987" spans="1:5" ht="15" customHeight="1" outlineLevel="2" x14ac:dyDescent="0.25">
      <c r="A1987" s="3" t="str">
        <f>HYPERLINK("http://mystore1.ru/price_items/search?utf8=%E2%9C%93&amp;oem=3735LGSV3FD","3735LGSV3FD")</f>
        <v>3735LGSV3FD</v>
      </c>
      <c r="B1987" s="1" t="s">
        <v>3844</v>
      </c>
      <c r="C1987" s="9" t="s">
        <v>2655</v>
      </c>
      <c r="D1987" s="14" t="s">
        <v>3845</v>
      </c>
      <c r="E1987" s="9" t="s">
        <v>11</v>
      </c>
    </row>
    <row r="1988" spans="1:5" ht="15" customHeight="1" outlineLevel="2" x14ac:dyDescent="0.25">
      <c r="A1988" s="3" t="str">
        <f>HYPERLINK("http://mystore1.ru/price_items/search?utf8=%E2%9C%93&amp;oem=3735RGNV3FV","3735RGNV3FV")</f>
        <v>3735RGNV3FV</v>
      </c>
      <c r="B1988" s="1" t="s">
        <v>3846</v>
      </c>
      <c r="C1988" s="9" t="s">
        <v>2655</v>
      </c>
      <c r="D1988" s="14" t="s">
        <v>3847</v>
      </c>
      <c r="E1988" s="9" t="s">
        <v>11</v>
      </c>
    </row>
    <row r="1989" spans="1:5" ht="15" customHeight="1" outlineLevel="2" x14ac:dyDescent="0.25">
      <c r="A1989" s="3" t="str">
        <f>HYPERLINK("http://mystore1.ru/price_items/search?utf8=%E2%9C%93&amp;oem=3735RGSV3FD","3735RGSV3FD")</f>
        <v>3735RGSV3FD</v>
      </c>
      <c r="B1989" s="1" t="s">
        <v>3848</v>
      </c>
      <c r="C1989" s="9" t="s">
        <v>2655</v>
      </c>
      <c r="D1989" s="14" t="s">
        <v>3849</v>
      </c>
      <c r="E1989" s="9" t="s">
        <v>11</v>
      </c>
    </row>
    <row r="1990" spans="1:5" ht="15" customHeight="1" outlineLevel="2" x14ac:dyDescent="0.25">
      <c r="A1990" s="3" t="str">
        <f>HYPERLINK("http://mystore1.ru/price_items/search?utf8=%E2%9C%93&amp;oem=3735LGNV3FV","3735LGNV3FV")</f>
        <v>3735LGNV3FV</v>
      </c>
      <c r="B1990" s="1" t="s">
        <v>3850</v>
      </c>
      <c r="C1990" s="9" t="s">
        <v>2655</v>
      </c>
      <c r="D1990" s="14" t="s">
        <v>3851</v>
      </c>
      <c r="E1990" s="9" t="s">
        <v>11</v>
      </c>
    </row>
    <row r="1991" spans="1:5" outlineLevel="1" x14ac:dyDescent="0.25">
      <c r="A1991" s="2"/>
      <c r="B1991" s="6" t="s">
        <v>3852</v>
      </c>
      <c r="C1991" s="8"/>
      <c r="D1991" s="8"/>
      <c r="E1991" s="8"/>
    </row>
    <row r="1992" spans="1:5" ht="15" customHeight="1" outlineLevel="2" x14ac:dyDescent="0.25">
      <c r="A1992" s="3" t="str">
        <f>HYPERLINK("http://mystore1.ru/price_items/search?utf8=%E2%9C%93&amp;oem=3750ACCVZ","3750ACCVZ")</f>
        <v>3750ACCVZ</v>
      </c>
      <c r="B1992" s="1" t="s">
        <v>3853</v>
      </c>
      <c r="C1992" s="9" t="s">
        <v>687</v>
      </c>
      <c r="D1992" s="14" t="s">
        <v>3854</v>
      </c>
      <c r="E1992" s="9" t="s">
        <v>8</v>
      </c>
    </row>
    <row r="1993" spans="1:5" ht="15" customHeight="1" outlineLevel="2" x14ac:dyDescent="0.25">
      <c r="A1993" s="3" t="str">
        <f>HYPERLINK("http://mystore1.ru/price_items/search?utf8=%E2%9C%93&amp;oem=3750AGSMVZ1B","3750AGSMVZ1B")</f>
        <v>3750AGSMVZ1B</v>
      </c>
      <c r="B1993" s="1" t="s">
        <v>3855</v>
      </c>
      <c r="C1993" s="9" t="s">
        <v>687</v>
      </c>
      <c r="D1993" s="14" t="s">
        <v>3856</v>
      </c>
      <c r="E1993" s="9" t="s">
        <v>8</v>
      </c>
    </row>
    <row r="1994" spans="1:5" ht="15" customHeight="1" outlineLevel="2" x14ac:dyDescent="0.25">
      <c r="A1994" s="3" t="str">
        <f>HYPERLINK("http://mystore1.ru/price_items/search?utf8=%E2%9C%93&amp;oem=3750AGSVZ","3750AGSVZ")</f>
        <v>3750AGSVZ</v>
      </c>
      <c r="B1994" s="1" t="s">
        <v>3857</v>
      </c>
      <c r="C1994" s="9" t="s">
        <v>687</v>
      </c>
      <c r="D1994" s="14" t="s">
        <v>3858</v>
      </c>
      <c r="E1994" s="9" t="s">
        <v>8</v>
      </c>
    </row>
    <row r="1995" spans="1:5" outlineLevel="1" x14ac:dyDescent="0.25">
      <c r="A1995" s="2"/>
      <c r="B1995" s="6" t="s">
        <v>3859</v>
      </c>
      <c r="C1995" s="8"/>
      <c r="D1995" s="8"/>
      <c r="E1995" s="8"/>
    </row>
    <row r="1996" spans="1:5" ht="15" customHeight="1" outlineLevel="2" x14ac:dyDescent="0.25">
      <c r="A1996" s="3" t="str">
        <f>HYPERLINK("http://mystore1.ru/price_items/search?utf8=%E2%9C%93&amp;oem=3358AGS","3358AGS")</f>
        <v>3358AGS</v>
      </c>
      <c r="B1996" s="1" t="s">
        <v>3860</v>
      </c>
      <c r="C1996" s="9" t="s">
        <v>747</v>
      </c>
      <c r="D1996" s="14" t="s">
        <v>3861</v>
      </c>
      <c r="E1996" s="9" t="s">
        <v>8</v>
      </c>
    </row>
    <row r="1997" spans="1:5" ht="15" customHeight="1" outlineLevel="2" x14ac:dyDescent="0.25">
      <c r="A1997" s="3" t="str">
        <f>HYPERLINK("http://mystore1.ru/price_items/search?utf8=%E2%9C%93&amp;oem=3358AGSGN","3358AGSGN")</f>
        <v>3358AGSGN</v>
      </c>
      <c r="B1997" s="1" t="s">
        <v>3862</v>
      </c>
      <c r="C1997" s="9" t="s">
        <v>747</v>
      </c>
      <c r="D1997" s="14" t="s">
        <v>3863</v>
      </c>
      <c r="E1997" s="9" t="s">
        <v>8</v>
      </c>
    </row>
    <row r="1998" spans="1:5" ht="15" customHeight="1" outlineLevel="2" x14ac:dyDescent="0.25">
      <c r="A1998" s="3" t="str">
        <f>HYPERLINK("http://mystore1.ru/price_items/search?utf8=%E2%9C%93&amp;oem=3358AGSM1B","3358AGSM1B")</f>
        <v>3358AGSM1B</v>
      </c>
      <c r="B1998" s="1" t="s">
        <v>3864</v>
      </c>
      <c r="C1998" s="9" t="s">
        <v>747</v>
      </c>
      <c r="D1998" s="14" t="s">
        <v>3865</v>
      </c>
      <c r="E1998" s="9" t="s">
        <v>8</v>
      </c>
    </row>
    <row r="1999" spans="1:5" ht="15" customHeight="1" outlineLevel="2" x14ac:dyDescent="0.25">
      <c r="A1999" s="3" t="str">
        <f>HYPERLINK("http://mystore1.ru/price_items/search?utf8=%E2%9C%93&amp;oem=3358AGSV","3358AGSV")</f>
        <v>3358AGSV</v>
      </c>
      <c r="B1999" s="1" t="s">
        <v>3866</v>
      </c>
      <c r="C1999" s="9" t="s">
        <v>747</v>
      </c>
      <c r="D1999" s="14" t="s">
        <v>3867</v>
      </c>
      <c r="E1999" s="9" t="s">
        <v>8</v>
      </c>
    </row>
    <row r="2000" spans="1:5" ht="15" customHeight="1" outlineLevel="2" x14ac:dyDescent="0.25">
      <c r="A2000" s="3" t="str">
        <f>HYPERLINK("http://mystore1.ru/price_items/search?utf8=%E2%9C%93&amp;oem=3358BGDVB","3358BGDVB")</f>
        <v>3358BGDVB</v>
      </c>
      <c r="B2000" s="1" t="s">
        <v>3868</v>
      </c>
      <c r="C2000" s="9" t="s">
        <v>747</v>
      </c>
      <c r="D2000" s="14" t="s">
        <v>3869</v>
      </c>
      <c r="E2000" s="9" t="s">
        <v>30</v>
      </c>
    </row>
    <row r="2001" spans="1:5" ht="15" customHeight="1" outlineLevel="2" x14ac:dyDescent="0.25">
      <c r="A2001" s="3" t="str">
        <f>HYPERLINK("http://mystore1.ru/price_items/search?utf8=%E2%9C%93&amp;oem=3358BGSVB","3358BGSVB")</f>
        <v>3358BGSVB</v>
      </c>
      <c r="B2001" s="1" t="s">
        <v>3870</v>
      </c>
      <c r="C2001" s="9" t="s">
        <v>747</v>
      </c>
      <c r="D2001" s="14" t="s">
        <v>3871</v>
      </c>
      <c r="E2001" s="9" t="s">
        <v>30</v>
      </c>
    </row>
    <row r="2002" spans="1:5" ht="15" customHeight="1" outlineLevel="2" x14ac:dyDescent="0.25">
      <c r="A2002" s="3" t="str">
        <f>HYPERLINK("http://mystore1.ru/price_items/search?utf8=%E2%9C%93&amp;oem=3358LGDV5RDW","3358LGDV5RDW")</f>
        <v>3358LGDV5RDW</v>
      </c>
      <c r="B2002" s="1" t="s">
        <v>3872</v>
      </c>
      <c r="C2002" s="9" t="s">
        <v>747</v>
      </c>
      <c r="D2002" s="14" t="s">
        <v>3873</v>
      </c>
      <c r="E2002" s="9" t="s">
        <v>11</v>
      </c>
    </row>
    <row r="2003" spans="1:5" ht="15" customHeight="1" outlineLevel="2" x14ac:dyDescent="0.25">
      <c r="A2003" s="3" t="str">
        <f>HYPERLINK("http://mystore1.ru/price_items/search?utf8=%E2%9C%93&amp;oem=3358LGDV5RQZ","3358LGDV5RQZ")</f>
        <v>3358LGDV5RQZ</v>
      </c>
      <c r="B2003" s="1" t="s">
        <v>3874</v>
      </c>
      <c r="C2003" s="9" t="s">
        <v>747</v>
      </c>
      <c r="D2003" s="14" t="s">
        <v>3875</v>
      </c>
      <c r="E2003" s="9" t="s">
        <v>11</v>
      </c>
    </row>
    <row r="2004" spans="1:5" ht="15" customHeight="1" outlineLevel="2" x14ac:dyDescent="0.25">
      <c r="A2004" s="3" t="str">
        <f>HYPERLINK("http://mystore1.ru/price_items/search?utf8=%E2%9C%93&amp;oem=3358LGSV5FDW","3358LGSV5FDW")</f>
        <v>3358LGSV5FDW</v>
      </c>
      <c r="B2004" s="1" t="s">
        <v>3876</v>
      </c>
      <c r="C2004" s="9" t="s">
        <v>747</v>
      </c>
      <c r="D2004" s="14" t="s">
        <v>3877</v>
      </c>
      <c r="E2004" s="9" t="s">
        <v>11</v>
      </c>
    </row>
    <row r="2005" spans="1:5" ht="15" customHeight="1" outlineLevel="2" x14ac:dyDescent="0.25">
      <c r="A2005" s="3" t="str">
        <f>HYPERLINK("http://mystore1.ru/price_items/search?utf8=%E2%9C%93&amp;oem=3358LGSV5FQAW","3358LGSV5FQAW")</f>
        <v>3358LGSV5FQAW</v>
      </c>
      <c r="B2005" s="1" t="s">
        <v>3878</v>
      </c>
      <c r="C2005" s="9" t="s">
        <v>747</v>
      </c>
      <c r="D2005" s="14" t="s">
        <v>3879</v>
      </c>
      <c r="E2005" s="9" t="s">
        <v>11</v>
      </c>
    </row>
    <row r="2006" spans="1:5" ht="15" customHeight="1" outlineLevel="2" x14ac:dyDescent="0.25">
      <c r="A2006" s="3" t="str">
        <f>HYPERLINK("http://mystore1.ru/price_items/search?utf8=%E2%9C%93&amp;oem=3358LGSV5RDW","3358LGSV5RDW")</f>
        <v>3358LGSV5RDW</v>
      </c>
      <c r="B2006" s="1" t="s">
        <v>3880</v>
      </c>
      <c r="C2006" s="9" t="s">
        <v>747</v>
      </c>
      <c r="D2006" s="14" t="s">
        <v>3881</v>
      </c>
      <c r="E2006" s="9" t="s">
        <v>11</v>
      </c>
    </row>
    <row r="2007" spans="1:5" ht="15" customHeight="1" outlineLevel="2" x14ac:dyDescent="0.25">
      <c r="A2007" s="3" t="str">
        <f>HYPERLINK("http://mystore1.ru/price_items/search?utf8=%E2%9C%93&amp;oem=3358LGSV5RQZ","3358LGSV5RQZ")</f>
        <v>3358LGSV5RQZ</v>
      </c>
      <c r="B2007" s="1" t="s">
        <v>3882</v>
      </c>
      <c r="C2007" s="9" t="s">
        <v>747</v>
      </c>
      <c r="D2007" s="14" t="s">
        <v>3883</v>
      </c>
      <c r="E2007" s="9" t="s">
        <v>11</v>
      </c>
    </row>
    <row r="2008" spans="1:5" ht="15" customHeight="1" outlineLevel="2" x14ac:dyDescent="0.25">
      <c r="A2008" s="3" t="str">
        <f>HYPERLINK("http://mystore1.ru/price_items/search?utf8=%E2%9C%93&amp;oem=3358RGDV5RDW","3358RGDV5RDW")</f>
        <v>3358RGDV5RDW</v>
      </c>
      <c r="B2008" s="1" t="s">
        <v>3884</v>
      </c>
      <c r="C2008" s="9" t="s">
        <v>747</v>
      </c>
      <c r="D2008" s="14" t="s">
        <v>3885</v>
      </c>
      <c r="E2008" s="9" t="s">
        <v>11</v>
      </c>
    </row>
    <row r="2009" spans="1:5" ht="15" customHeight="1" outlineLevel="2" x14ac:dyDescent="0.25">
      <c r="A2009" s="3" t="str">
        <f>HYPERLINK("http://mystore1.ru/price_items/search?utf8=%E2%9C%93&amp;oem=3358RGDV5RQZ","3358RGDV5RQZ")</f>
        <v>3358RGDV5RQZ</v>
      </c>
      <c r="B2009" s="1" t="s">
        <v>3886</v>
      </c>
      <c r="C2009" s="9" t="s">
        <v>747</v>
      </c>
      <c r="D2009" s="14" t="s">
        <v>3887</v>
      </c>
      <c r="E2009" s="9" t="s">
        <v>11</v>
      </c>
    </row>
    <row r="2010" spans="1:5" ht="15" customHeight="1" outlineLevel="2" x14ac:dyDescent="0.25">
      <c r="A2010" s="3" t="str">
        <f>HYPERLINK("http://mystore1.ru/price_items/search?utf8=%E2%9C%93&amp;oem=3358RGSV5FDW","3358RGSV5FDW")</f>
        <v>3358RGSV5FDW</v>
      </c>
      <c r="B2010" s="1" t="s">
        <v>3888</v>
      </c>
      <c r="C2010" s="9" t="s">
        <v>747</v>
      </c>
      <c r="D2010" s="14" t="s">
        <v>3889</v>
      </c>
      <c r="E2010" s="9" t="s">
        <v>11</v>
      </c>
    </row>
    <row r="2011" spans="1:5" ht="15" customHeight="1" outlineLevel="2" x14ac:dyDescent="0.25">
      <c r="A2011" s="3" t="str">
        <f>HYPERLINK("http://mystore1.ru/price_items/search?utf8=%E2%9C%93&amp;oem=3358RGSV5FQW","3358RGSV5FQW")</f>
        <v>3358RGSV5FQW</v>
      </c>
      <c r="B2011" s="1" t="s">
        <v>3890</v>
      </c>
      <c r="C2011" s="9" t="s">
        <v>747</v>
      </c>
      <c r="D2011" s="14" t="s">
        <v>3891</v>
      </c>
      <c r="E2011" s="9" t="s">
        <v>11</v>
      </c>
    </row>
    <row r="2012" spans="1:5" ht="15" customHeight="1" outlineLevel="2" x14ac:dyDescent="0.25">
      <c r="A2012" s="3" t="str">
        <f>HYPERLINK("http://mystore1.ru/price_items/search?utf8=%E2%9C%93&amp;oem=3358RGSV5RDW","3358RGSV5RDW")</f>
        <v>3358RGSV5RDW</v>
      </c>
      <c r="B2012" s="1" t="s">
        <v>3892</v>
      </c>
      <c r="C2012" s="9" t="s">
        <v>747</v>
      </c>
      <c r="D2012" s="14" t="s">
        <v>3893</v>
      </c>
      <c r="E2012" s="9" t="s">
        <v>11</v>
      </c>
    </row>
    <row r="2013" spans="1:5" ht="15" customHeight="1" outlineLevel="2" x14ac:dyDescent="0.25">
      <c r="A2013" s="3" t="str">
        <f>HYPERLINK("http://mystore1.ru/price_items/search?utf8=%E2%9C%93&amp;oem=3358RGSV5RQZ","3358RGSV5RQZ")</f>
        <v>3358RGSV5RQZ</v>
      </c>
      <c r="B2013" s="1" t="s">
        <v>3894</v>
      </c>
      <c r="C2013" s="9" t="s">
        <v>747</v>
      </c>
      <c r="D2013" s="14" t="s">
        <v>3895</v>
      </c>
      <c r="E2013" s="9" t="s">
        <v>11</v>
      </c>
    </row>
    <row r="2014" spans="1:5" outlineLevel="1" x14ac:dyDescent="0.25">
      <c r="A2014" s="2"/>
      <c r="B2014" s="6" t="s">
        <v>3896</v>
      </c>
      <c r="C2014" s="8"/>
      <c r="D2014" s="8"/>
      <c r="E2014" s="8"/>
    </row>
    <row r="2015" spans="1:5" ht="15" customHeight="1" outlineLevel="2" x14ac:dyDescent="0.25">
      <c r="A2015" s="3" t="str">
        <f>HYPERLINK("http://mystore1.ru/price_items/search?utf8=%E2%9C%93&amp;oem=3360AGSV","3360AGSV")</f>
        <v>3360AGSV</v>
      </c>
      <c r="B2015" s="1" t="s">
        <v>3897</v>
      </c>
      <c r="C2015" s="9" t="s">
        <v>642</v>
      </c>
      <c r="D2015" s="14" t="s">
        <v>3898</v>
      </c>
      <c r="E2015" s="9" t="s">
        <v>8</v>
      </c>
    </row>
    <row r="2016" spans="1:5" outlineLevel="1" x14ac:dyDescent="0.25">
      <c r="A2016" s="2"/>
      <c r="B2016" s="6" t="s">
        <v>3899</v>
      </c>
      <c r="C2016" s="8"/>
      <c r="D2016" s="8"/>
      <c r="E2016" s="8"/>
    </row>
    <row r="2017" spans="1:5" ht="15" customHeight="1" outlineLevel="2" x14ac:dyDescent="0.25">
      <c r="A2017" s="3" t="str">
        <f>HYPERLINK("http://mystore1.ru/price_items/search?utf8=%E2%9C%93&amp;oem=3352ABS","3352ABS")</f>
        <v>3352ABS</v>
      </c>
      <c r="B2017" s="1" t="s">
        <v>3900</v>
      </c>
      <c r="C2017" s="9" t="s">
        <v>3901</v>
      </c>
      <c r="D2017" s="14" t="s">
        <v>3902</v>
      </c>
      <c r="E2017" s="9" t="s">
        <v>8</v>
      </c>
    </row>
    <row r="2018" spans="1:5" ht="15" customHeight="1" outlineLevel="2" x14ac:dyDescent="0.25">
      <c r="A2018" s="3" t="str">
        <f>HYPERLINK("http://mystore1.ru/price_items/search?utf8=%E2%9C%93&amp;oem=3352ABS6Z","3352ABS6Z")</f>
        <v>3352ABS6Z</v>
      </c>
      <c r="B2018" s="1" t="s">
        <v>3903</v>
      </c>
      <c r="C2018" s="9" t="s">
        <v>212</v>
      </c>
      <c r="D2018" s="14" t="s">
        <v>3904</v>
      </c>
      <c r="E2018" s="9" t="s">
        <v>8</v>
      </c>
    </row>
    <row r="2019" spans="1:5" ht="15" customHeight="1" outlineLevel="2" x14ac:dyDescent="0.25">
      <c r="A2019" s="3" t="str">
        <f>HYPERLINK("http://mystore1.ru/price_items/search?utf8=%E2%9C%93&amp;oem=3352ABSB","3352ABSB")</f>
        <v>3352ABSB</v>
      </c>
      <c r="B2019" s="1" t="s">
        <v>3905</v>
      </c>
      <c r="C2019" s="9" t="s">
        <v>3901</v>
      </c>
      <c r="D2019" s="14" t="s">
        <v>3906</v>
      </c>
      <c r="E2019" s="9" t="s">
        <v>8</v>
      </c>
    </row>
    <row r="2020" spans="1:5" ht="15" customHeight="1" outlineLevel="2" x14ac:dyDescent="0.25">
      <c r="A2020" s="3" t="str">
        <f>HYPERLINK("http://mystore1.ru/price_items/search?utf8=%E2%9C%93&amp;oem=3352AGS","3352AGS")</f>
        <v>3352AGS</v>
      </c>
      <c r="B2020" s="1" t="s">
        <v>3907</v>
      </c>
      <c r="C2020" s="9" t="s">
        <v>3901</v>
      </c>
      <c r="D2020" s="14" t="s">
        <v>3908</v>
      </c>
      <c r="E2020" s="9" t="s">
        <v>8</v>
      </c>
    </row>
    <row r="2021" spans="1:5" ht="15" customHeight="1" outlineLevel="2" x14ac:dyDescent="0.25">
      <c r="A2021" s="3" t="str">
        <f>HYPERLINK("http://mystore1.ru/price_items/search?utf8=%E2%9C%93&amp;oem=3352AGS6Z","3352AGS6Z")</f>
        <v>3352AGS6Z</v>
      </c>
      <c r="B2021" s="1" t="s">
        <v>3909</v>
      </c>
      <c r="C2021" s="9" t="s">
        <v>212</v>
      </c>
      <c r="D2021" s="14" t="s">
        <v>3910</v>
      </c>
      <c r="E2021" s="9" t="s">
        <v>8</v>
      </c>
    </row>
    <row r="2022" spans="1:5" ht="15" customHeight="1" outlineLevel="2" x14ac:dyDescent="0.25">
      <c r="A2022" s="3" t="str">
        <f>HYPERLINK("http://mystore1.ru/price_items/search?utf8=%E2%9C%93&amp;oem=3352AGSB","3352AGSB")</f>
        <v>3352AGSB</v>
      </c>
      <c r="B2022" s="1" t="s">
        <v>3911</v>
      </c>
      <c r="C2022" s="9" t="s">
        <v>3901</v>
      </c>
      <c r="D2022" s="14" t="s">
        <v>3912</v>
      </c>
      <c r="E2022" s="9" t="s">
        <v>8</v>
      </c>
    </row>
    <row r="2023" spans="1:5" ht="15" customHeight="1" outlineLevel="2" x14ac:dyDescent="0.25">
      <c r="A2023" s="3" t="str">
        <f>HYPERLINK("http://mystore1.ru/price_items/search?utf8=%E2%9C%93&amp;oem=3352AGSB6Z","3352AGSB6Z")</f>
        <v>3352AGSB6Z</v>
      </c>
      <c r="B2023" s="1" t="s">
        <v>3913</v>
      </c>
      <c r="C2023" s="9" t="s">
        <v>212</v>
      </c>
      <c r="D2023" s="14" t="s">
        <v>3914</v>
      </c>
      <c r="E2023" s="9" t="s">
        <v>8</v>
      </c>
    </row>
    <row r="2024" spans="1:5" ht="15" customHeight="1" outlineLevel="2" x14ac:dyDescent="0.25">
      <c r="A2024" s="3" t="str">
        <f>HYPERLINK("http://mystore1.ru/price_items/search?utf8=%E2%9C%93&amp;oem=3352ASMV","3352ASMV")</f>
        <v>3352ASMV</v>
      </c>
      <c r="B2024" s="1" t="s">
        <v>3915</v>
      </c>
      <c r="C2024" s="9" t="s">
        <v>25</v>
      </c>
      <c r="D2024" s="14" t="s">
        <v>3916</v>
      </c>
      <c r="E2024" s="9" t="s">
        <v>27</v>
      </c>
    </row>
    <row r="2025" spans="1:5" ht="15" customHeight="1" outlineLevel="2" x14ac:dyDescent="0.25">
      <c r="A2025" s="3" t="str">
        <f>HYPERLINK("http://mystore1.ru/price_items/search?utf8=%E2%9C%93&amp;oem=3352BBSVB","3352BBSVB")</f>
        <v>3352BBSVB</v>
      </c>
      <c r="B2025" s="1" t="s">
        <v>3917</v>
      </c>
      <c r="C2025" s="9" t="s">
        <v>3918</v>
      </c>
      <c r="D2025" s="14" t="s">
        <v>3919</v>
      </c>
      <c r="E2025" s="9" t="s">
        <v>30</v>
      </c>
    </row>
    <row r="2026" spans="1:5" ht="15" customHeight="1" outlineLevel="2" x14ac:dyDescent="0.25">
      <c r="A2026" s="3" t="str">
        <f>HYPERLINK("http://mystore1.ru/price_items/search?utf8=%E2%9C%93&amp;oem=3352BBDVB","3352BBDVB")</f>
        <v>3352BBDVB</v>
      </c>
      <c r="B2026" s="1" t="s">
        <v>3920</v>
      </c>
      <c r="C2026" s="9" t="s">
        <v>3918</v>
      </c>
      <c r="D2026" s="14" t="s">
        <v>3921</v>
      </c>
      <c r="E2026" s="9" t="s">
        <v>30</v>
      </c>
    </row>
    <row r="2027" spans="1:5" ht="15" customHeight="1" outlineLevel="2" x14ac:dyDescent="0.25">
      <c r="A2027" s="3" t="str">
        <f>HYPERLINK("http://mystore1.ru/price_items/search?utf8=%E2%9C%93&amp;oem=3352BGSVB","3352BGSVB")</f>
        <v>3352BGSVB</v>
      </c>
      <c r="B2027" s="1" t="s">
        <v>3922</v>
      </c>
      <c r="C2027" s="9" t="s">
        <v>3901</v>
      </c>
      <c r="D2027" s="14" t="s">
        <v>3923</v>
      </c>
      <c r="E2027" s="9" t="s">
        <v>30</v>
      </c>
    </row>
    <row r="2028" spans="1:5" ht="15" customHeight="1" outlineLevel="2" x14ac:dyDescent="0.25">
      <c r="A2028" s="3" t="str">
        <f>HYPERLINK("http://mystore1.ru/price_items/search?utf8=%E2%9C%93&amp;oem=3352LBDV5FDW","3352LBDV5FDW")</f>
        <v>3352LBDV5FDW</v>
      </c>
      <c r="B2028" s="1" t="s">
        <v>3924</v>
      </c>
      <c r="C2028" s="9" t="s">
        <v>3918</v>
      </c>
      <c r="D2028" s="14" t="s">
        <v>3925</v>
      </c>
      <c r="E2028" s="9" t="s">
        <v>11</v>
      </c>
    </row>
    <row r="2029" spans="1:5" ht="15" customHeight="1" outlineLevel="2" x14ac:dyDescent="0.25">
      <c r="A2029" s="3" t="str">
        <f>HYPERLINK("http://mystore1.ru/price_items/search?utf8=%E2%9C%93&amp;oem=3352LBDV5RDW","3352LBDV5RDW")</f>
        <v>3352LBDV5RDW</v>
      </c>
      <c r="B2029" s="1" t="s">
        <v>3926</v>
      </c>
      <c r="C2029" s="9" t="s">
        <v>3918</v>
      </c>
      <c r="D2029" s="14" t="s">
        <v>3927</v>
      </c>
      <c r="E2029" s="9" t="s">
        <v>11</v>
      </c>
    </row>
    <row r="2030" spans="1:5" ht="15" customHeight="1" outlineLevel="2" x14ac:dyDescent="0.25">
      <c r="A2030" s="3" t="str">
        <f>HYPERLINK("http://mystore1.ru/price_items/search?utf8=%E2%9C%93&amp;oem=3352LBDV5RQZ","3352LBDV5RQZ")</f>
        <v>3352LBDV5RQZ</v>
      </c>
      <c r="B2030" s="1" t="s">
        <v>3928</v>
      </c>
      <c r="C2030" s="9" t="s">
        <v>3918</v>
      </c>
      <c r="D2030" s="14" t="s">
        <v>3929</v>
      </c>
      <c r="E2030" s="9" t="s">
        <v>11</v>
      </c>
    </row>
    <row r="2031" spans="1:5" ht="15" customHeight="1" outlineLevel="2" x14ac:dyDescent="0.25">
      <c r="A2031" s="3" t="str">
        <f>HYPERLINK("http://mystore1.ru/price_items/search?utf8=%E2%9C%93&amp;oem=3352LBPV5RDW","3352LBPV5RDW")</f>
        <v>3352LBPV5RDW</v>
      </c>
      <c r="B2031" s="1" t="s">
        <v>3930</v>
      </c>
      <c r="C2031" s="9" t="s">
        <v>3918</v>
      </c>
      <c r="D2031" s="14" t="s">
        <v>3931</v>
      </c>
      <c r="E2031" s="9" t="s">
        <v>11</v>
      </c>
    </row>
    <row r="2032" spans="1:5" ht="15" customHeight="1" outlineLevel="2" x14ac:dyDescent="0.25">
      <c r="A2032" s="3" t="str">
        <f>HYPERLINK("http://mystore1.ru/price_items/search?utf8=%E2%9C%93&amp;oem=3352LBPV5RQZ","3352LBPV5RQZ")</f>
        <v>3352LBPV5RQZ</v>
      </c>
      <c r="B2032" s="1" t="s">
        <v>3932</v>
      </c>
      <c r="C2032" s="9" t="s">
        <v>3918</v>
      </c>
      <c r="D2032" s="14" t="s">
        <v>3929</v>
      </c>
      <c r="E2032" s="9" t="s">
        <v>11</v>
      </c>
    </row>
    <row r="2033" spans="1:5" ht="15" customHeight="1" outlineLevel="2" x14ac:dyDescent="0.25">
      <c r="A2033" s="3" t="str">
        <f>HYPERLINK("http://mystore1.ru/price_items/search?utf8=%E2%9C%93&amp;oem=3352LGSV5FDW","3352LGSV5FDW")</f>
        <v>3352LGSV5FDW</v>
      </c>
      <c r="B2033" s="1" t="s">
        <v>3933</v>
      </c>
      <c r="C2033" s="9" t="s">
        <v>3901</v>
      </c>
      <c r="D2033" s="14" t="s">
        <v>3934</v>
      </c>
      <c r="E2033" s="9" t="s">
        <v>11</v>
      </c>
    </row>
    <row r="2034" spans="1:5" ht="15" customHeight="1" outlineLevel="2" x14ac:dyDescent="0.25">
      <c r="A2034" s="3" t="str">
        <f>HYPERLINK("http://mystore1.ru/price_items/search?utf8=%E2%9C%93&amp;oem=3352LGSV5RDW","3352LGSV5RDW")</f>
        <v>3352LGSV5RDW</v>
      </c>
      <c r="B2034" s="1" t="s">
        <v>3935</v>
      </c>
      <c r="C2034" s="9" t="s">
        <v>3901</v>
      </c>
      <c r="D2034" s="14" t="s">
        <v>3936</v>
      </c>
      <c r="E2034" s="9" t="s">
        <v>11</v>
      </c>
    </row>
    <row r="2035" spans="1:5" ht="15" customHeight="1" outlineLevel="2" x14ac:dyDescent="0.25">
      <c r="A2035" s="3" t="str">
        <f>HYPERLINK("http://mystore1.ru/price_items/search?utf8=%E2%9C%93&amp;oem=3352LGSV5RQZ","3352LGSV5RQZ")</f>
        <v>3352LGSV5RQZ</v>
      </c>
      <c r="B2035" s="1" t="s">
        <v>3937</v>
      </c>
      <c r="C2035" s="9" t="s">
        <v>3901</v>
      </c>
      <c r="D2035" s="14" t="s">
        <v>3938</v>
      </c>
      <c r="E2035" s="9" t="s">
        <v>11</v>
      </c>
    </row>
    <row r="2036" spans="1:5" ht="15" customHeight="1" outlineLevel="2" x14ac:dyDescent="0.25">
      <c r="A2036" s="3" t="str">
        <f>HYPERLINK("http://mystore1.ru/price_items/search?utf8=%E2%9C%93&amp;oem=3352RBDV5FDW","3352RBDV5FDW")</f>
        <v>3352RBDV5FDW</v>
      </c>
      <c r="B2036" s="1" t="s">
        <v>3939</v>
      </c>
      <c r="C2036" s="9" t="s">
        <v>3918</v>
      </c>
      <c r="D2036" s="14" t="s">
        <v>3940</v>
      </c>
      <c r="E2036" s="9" t="s">
        <v>11</v>
      </c>
    </row>
    <row r="2037" spans="1:5" ht="15" customHeight="1" outlineLevel="2" x14ac:dyDescent="0.25">
      <c r="A2037" s="3" t="str">
        <f>HYPERLINK("http://mystore1.ru/price_items/search?utf8=%E2%9C%93&amp;oem=3352RBDV5RDW","3352RBDV5RDW")</f>
        <v>3352RBDV5RDW</v>
      </c>
      <c r="B2037" s="1" t="s">
        <v>3941</v>
      </c>
      <c r="C2037" s="9" t="s">
        <v>3918</v>
      </c>
      <c r="D2037" s="14" t="s">
        <v>3942</v>
      </c>
      <c r="E2037" s="9" t="s">
        <v>11</v>
      </c>
    </row>
    <row r="2038" spans="1:5" ht="15" customHeight="1" outlineLevel="2" x14ac:dyDescent="0.25">
      <c r="A2038" s="3" t="str">
        <f>HYPERLINK("http://mystore1.ru/price_items/search?utf8=%E2%9C%93&amp;oem=3352RBDV5RQZ","3352RBDV5RQZ")</f>
        <v>3352RBDV5RQZ</v>
      </c>
      <c r="B2038" s="1" t="s">
        <v>3943</v>
      </c>
      <c r="C2038" s="9" t="s">
        <v>3918</v>
      </c>
      <c r="D2038" s="14" t="s">
        <v>3944</v>
      </c>
      <c r="E2038" s="9" t="s">
        <v>11</v>
      </c>
    </row>
    <row r="2039" spans="1:5" ht="15" customHeight="1" outlineLevel="2" x14ac:dyDescent="0.25">
      <c r="A2039" s="3" t="str">
        <f>HYPERLINK("http://mystore1.ru/price_items/search?utf8=%E2%9C%93&amp;oem=3352RBPV5RDW","3352RBPV5RDW")</f>
        <v>3352RBPV5RDW</v>
      </c>
      <c r="B2039" s="1" t="s">
        <v>3945</v>
      </c>
      <c r="C2039" s="9" t="s">
        <v>3918</v>
      </c>
      <c r="D2039" s="14" t="s">
        <v>3942</v>
      </c>
      <c r="E2039" s="9" t="s">
        <v>11</v>
      </c>
    </row>
    <row r="2040" spans="1:5" ht="15" customHeight="1" outlineLevel="2" x14ac:dyDescent="0.25">
      <c r="A2040" s="3" t="str">
        <f>HYPERLINK("http://mystore1.ru/price_items/search?utf8=%E2%9C%93&amp;oem=3352RBPV5RQZ","3352RBPV5RQZ")</f>
        <v>3352RBPV5RQZ</v>
      </c>
      <c r="B2040" s="1" t="s">
        <v>3946</v>
      </c>
      <c r="C2040" s="9" t="s">
        <v>3918</v>
      </c>
      <c r="D2040" s="14" t="s">
        <v>3944</v>
      </c>
      <c r="E2040" s="9" t="s">
        <v>11</v>
      </c>
    </row>
    <row r="2041" spans="1:5" ht="15" customHeight="1" outlineLevel="2" x14ac:dyDescent="0.25">
      <c r="A2041" s="3" t="str">
        <f>HYPERLINK("http://mystore1.ru/price_items/search?utf8=%E2%9C%93&amp;oem=3352RGSV5FDW","3352RGSV5FDW")</f>
        <v>3352RGSV5FDW</v>
      </c>
      <c r="B2041" s="1" t="s">
        <v>3947</v>
      </c>
      <c r="C2041" s="9" t="s">
        <v>3901</v>
      </c>
      <c r="D2041" s="14" t="s">
        <v>3948</v>
      </c>
      <c r="E2041" s="9" t="s">
        <v>11</v>
      </c>
    </row>
    <row r="2042" spans="1:5" ht="15" customHeight="1" outlineLevel="2" x14ac:dyDescent="0.25">
      <c r="A2042" s="3" t="str">
        <f>HYPERLINK("http://mystore1.ru/price_items/search?utf8=%E2%9C%93&amp;oem=3352RGSV5RDW","3352RGSV5RDW")</f>
        <v>3352RGSV5RDW</v>
      </c>
      <c r="B2042" s="1" t="s">
        <v>3949</v>
      </c>
      <c r="C2042" s="9" t="s">
        <v>3901</v>
      </c>
      <c r="D2042" s="14" t="s">
        <v>3950</v>
      </c>
      <c r="E2042" s="9" t="s">
        <v>11</v>
      </c>
    </row>
    <row r="2043" spans="1:5" ht="15" customHeight="1" outlineLevel="2" x14ac:dyDescent="0.25">
      <c r="A2043" s="3" t="str">
        <f>HYPERLINK("http://mystore1.ru/price_items/search?utf8=%E2%9C%93&amp;oem=3352RGSV5RQZ","3352RGSV5RQZ")</f>
        <v>3352RGSV5RQZ</v>
      </c>
      <c r="B2043" s="1" t="s">
        <v>3951</v>
      </c>
      <c r="C2043" s="9" t="s">
        <v>3901</v>
      </c>
      <c r="D2043" s="14" t="s">
        <v>3952</v>
      </c>
      <c r="E2043" s="9" t="s">
        <v>11</v>
      </c>
    </row>
    <row r="2044" spans="1:5" outlineLevel="1" x14ac:dyDescent="0.25">
      <c r="A2044" s="2"/>
      <c r="B2044" s="6" t="s">
        <v>3953</v>
      </c>
      <c r="C2044" s="8"/>
      <c r="D2044" s="8"/>
      <c r="E2044" s="8"/>
    </row>
    <row r="2045" spans="1:5" ht="15" customHeight="1" outlineLevel="2" x14ac:dyDescent="0.25">
      <c r="A2045" s="3" t="str">
        <f>HYPERLINK("http://mystore1.ru/price_items/search?utf8=%E2%9C%93&amp;oem=3349AGS","3349AGS")</f>
        <v>3349AGS</v>
      </c>
      <c r="B2045" s="1" t="s">
        <v>3954</v>
      </c>
      <c r="C2045" s="9" t="s">
        <v>3106</v>
      </c>
      <c r="D2045" s="14" t="s">
        <v>3955</v>
      </c>
      <c r="E2045" s="9" t="s">
        <v>8</v>
      </c>
    </row>
    <row r="2046" spans="1:5" ht="15" customHeight="1" outlineLevel="2" x14ac:dyDescent="0.25">
      <c r="A2046" s="3" t="str">
        <f>HYPERLINK("http://mystore1.ru/price_items/search?utf8=%E2%9C%93&amp;oem=3349ASME","3349ASME")</f>
        <v>3349ASME</v>
      </c>
      <c r="B2046" s="1" t="s">
        <v>3648</v>
      </c>
      <c r="C2046" s="9" t="s">
        <v>25</v>
      </c>
      <c r="D2046" s="14" t="s">
        <v>3956</v>
      </c>
      <c r="E2046" s="9" t="s">
        <v>27</v>
      </c>
    </row>
    <row r="2047" spans="1:5" ht="15" customHeight="1" outlineLevel="2" x14ac:dyDescent="0.25">
      <c r="A2047" s="3" t="str">
        <f>HYPERLINK("http://mystore1.ru/price_items/search?utf8=%E2%9C%93&amp;oem=3349LGSE5FD","3349LGSE5FD")</f>
        <v>3349LGSE5FD</v>
      </c>
      <c r="B2047" s="1" t="s">
        <v>3957</v>
      </c>
      <c r="C2047" s="9" t="s">
        <v>3106</v>
      </c>
      <c r="D2047" s="14" t="s">
        <v>3958</v>
      </c>
      <c r="E2047" s="9" t="s">
        <v>11</v>
      </c>
    </row>
    <row r="2048" spans="1:5" ht="15" customHeight="1" outlineLevel="2" x14ac:dyDescent="0.25">
      <c r="A2048" s="3" t="str">
        <f>HYPERLINK("http://mystore1.ru/price_items/search?utf8=%E2%9C%93&amp;oem=3349RGSE5RD","3349RGSE5RD")</f>
        <v>3349RGSE5RD</v>
      </c>
      <c r="B2048" s="1" t="s">
        <v>3959</v>
      </c>
      <c r="C2048" s="9" t="s">
        <v>3106</v>
      </c>
      <c r="D2048" s="14" t="s">
        <v>3960</v>
      </c>
      <c r="E2048" s="9" t="s">
        <v>11</v>
      </c>
    </row>
    <row r="2049" spans="1:5" outlineLevel="1" x14ac:dyDescent="0.25">
      <c r="A2049" s="2"/>
      <c r="B2049" s="6" t="s">
        <v>3961</v>
      </c>
      <c r="C2049" s="8"/>
      <c r="D2049" s="8"/>
      <c r="E2049" s="8"/>
    </row>
    <row r="2050" spans="1:5" ht="15" customHeight="1" outlineLevel="2" x14ac:dyDescent="0.25">
      <c r="A2050" s="3" t="str">
        <f>HYPERLINK("http://mystore1.ru/price_items/search?utf8=%E2%9C%93&amp;oem=3333ACL","3333ACL")</f>
        <v>3333ACL</v>
      </c>
      <c r="B2050" s="1" t="s">
        <v>3962</v>
      </c>
      <c r="C2050" s="9" t="s">
        <v>3963</v>
      </c>
      <c r="D2050" s="14" t="s">
        <v>3964</v>
      </c>
      <c r="E2050" s="9" t="s">
        <v>8</v>
      </c>
    </row>
    <row r="2051" spans="1:5" ht="15" customHeight="1" outlineLevel="2" x14ac:dyDescent="0.25">
      <c r="A2051" s="3" t="str">
        <f>HYPERLINK("http://mystore1.ru/price_items/search?utf8=%E2%9C%93&amp;oem=3333AGN","3333AGN")</f>
        <v>3333AGN</v>
      </c>
      <c r="B2051" s="1" t="s">
        <v>3965</v>
      </c>
      <c r="C2051" s="9" t="s">
        <v>3963</v>
      </c>
      <c r="D2051" s="14" t="s">
        <v>3966</v>
      </c>
      <c r="E2051" s="9" t="s">
        <v>8</v>
      </c>
    </row>
    <row r="2052" spans="1:5" ht="15" customHeight="1" outlineLevel="2" x14ac:dyDescent="0.25">
      <c r="A2052" s="3" t="str">
        <f>HYPERLINK("http://mystore1.ru/price_items/search?utf8=%E2%9C%93&amp;oem=3333ASRH","3333ASRH")</f>
        <v>3333ASRH</v>
      </c>
      <c r="B2052" s="1" t="s">
        <v>3967</v>
      </c>
      <c r="C2052" s="9" t="s">
        <v>25</v>
      </c>
      <c r="D2052" s="14" t="s">
        <v>3968</v>
      </c>
      <c r="E2052" s="9" t="s">
        <v>27</v>
      </c>
    </row>
    <row r="2053" spans="1:5" ht="15" customHeight="1" outlineLevel="2" x14ac:dyDescent="0.25">
      <c r="A2053" s="3" t="str">
        <f>HYPERLINK("http://mystore1.ru/price_items/search?utf8=%E2%9C%93&amp;oem=3333BCLH","3333BCLH")</f>
        <v>3333BCLH</v>
      </c>
      <c r="B2053" s="1" t="s">
        <v>3969</v>
      </c>
      <c r="C2053" s="9" t="s">
        <v>3963</v>
      </c>
      <c r="D2053" s="14" t="s">
        <v>3970</v>
      </c>
      <c r="E2053" s="9" t="s">
        <v>30</v>
      </c>
    </row>
    <row r="2054" spans="1:5" ht="15" customHeight="1" outlineLevel="2" x14ac:dyDescent="0.25">
      <c r="A2054" s="3" t="str">
        <f>HYPERLINK("http://mystore1.ru/price_items/search?utf8=%E2%9C%93&amp;oem=3333BGNH","3333BGNH")</f>
        <v>3333BGNH</v>
      </c>
      <c r="B2054" s="1" t="s">
        <v>3971</v>
      </c>
      <c r="C2054" s="9" t="s">
        <v>3963</v>
      </c>
      <c r="D2054" s="14" t="s">
        <v>3972</v>
      </c>
      <c r="E2054" s="9" t="s">
        <v>30</v>
      </c>
    </row>
    <row r="2055" spans="1:5" ht="15" customHeight="1" outlineLevel="2" x14ac:dyDescent="0.25">
      <c r="A2055" s="3" t="str">
        <f>HYPERLINK("http://mystore1.ru/price_items/search?utf8=%E2%9C%93&amp;oem=3333FCLH3FD1J","3333FCLH3FD1J")</f>
        <v>3333FCLH3FD1J</v>
      </c>
      <c r="B2055" s="1" t="s">
        <v>3973</v>
      </c>
      <c r="C2055" s="9" t="s">
        <v>3963</v>
      </c>
      <c r="D2055" s="14" t="s">
        <v>3974</v>
      </c>
      <c r="E2055" s="9" t="s">
        <v>11</v>
      </c>
    </row>
    <row r="2056" spans="1:5" ht="15" customHeight="1" outlineLevel="2" x14ac:dyDescent="0.25">
      <c r="A2056" s="3" t="str">
        <f>HYPERLINK("http://mystore1.ru/price_items/search?utf8=%E2%9C%93&amp;oem=3333FCLH3RQO1H","3333FCLH3RQO1H")</f>
        <v>3333FCLH3RQO1H</v>
      </c>
      <c r="B2056" s="1" t="s">
        <v>3975</v>
      </c>
      <c r="C2056" s="9" t="s">
        <v>3976</v>
      </c>
      <c r="D2056" s="14" t="s">
        <v>3977</v>
      </c>
      <c r="E2056" s="9" t="s">
        <v>11</v>
      </c>
    </row>
    <row r="2057" spans="1:5" ht="15" customHeight="1" outlineLevel="2" x14ac:dyDescent="0.25">
      <c r="A2057" s="3" t="str">
        <f>HYPERLINK("http://mystore1.ru/price_items/search?utf8=%E2%9C%93&amp;oem=3333FGNH3FD1J","3333FGNH3FD1J")</f>
        <v>3333FGNH3FD1J</v>
      </c>
      <c r="B2057" s="1" t="s">
        <v>3978</v>
      </c>
      <c r="C2057" s="9" t="s">
        <v>3963</v>
      </c>
      <c r="D2057" s="14" t="s">
        <v>3979</v>
      </c>
      <c r="E2057" s="9" t="s">
        <v>11</v>
      </c>
    </row>
    <row r="2058" spans="1:5" ht="15" customHeight="1" outlineLevel="2" x14ac:dyDescent="0.25">
      <c r="A2058" s="3" t="str">
        <f>HYPERLINK("http://mystore1.ru/price_items/search?utf8=%E2%9C%93&amp;oem=3333FGNH3RQO1H","3333FGNH3RQO1H")</f>
        <v>3333FGNH3RQO1H</v>
      </c>
      <c r="B2058" s="1" t="s">
        <v>3980</v>
      </c>
      <c r="C2058" s="9" t="s">
        <v>3976</v>
      </c>
      <c r="D2058" s="14" t="s">
        <v>3981</v>
      </c>
      <c r="E2058" s="9" t="s">
        <v>11</v>
      </c>
    </row>
    <row r="2059" spans="1:5" outlineLevel="1" x14ac:dyDescent="0.25">
      <c r="A2059" s="2"/>
      <c r="B2059" s="6" t="s">
        <v>3982</v>
      </c>
      <c r="C2059" s="8"/>
      <c r="D2059" s="8"/>
      <c r="E2059" s="8"/>
    </row>
    <row r="2060" spans="1:5" ht="15" customHeight="1" outlineLevel="2" x14ac:dyDescent="0.25">
      <c r="A2060" s="3" t="str">
        <f>HYPERLINK("http://mystore1.ru/price_items/search?utf8=%E2%9C%93&amp;oem=3359AGS","3359AGS")</f>
        <v>3359AGS</v>
      </c>
      <c r="B2060" s="1" t="s">
        <v>3983</v>
      </c>
      <c r="C2060" s="9" t="s">
        <v>385</v>
      </c>
      <c r="D2060" s="14" t="s">
        <v>3984</v>
      </c>
      <c r="E2060" s="9" t="s">
        <v>8</v>
      </c>
    </row>
    <row r="2061" spans="1:5" ht="15" customHeight="1" outlineLevel="2" x14ac:dyDescent="0.25">
      <c r="A2061" s="3" t="str">
        <f>HYPERLINK("http://mystore1.ru/price_items/search?utf8=%E2%9C%93&amp;oem=3359ASMH","3359ASMH")</f>
        <v>3359ASMH</v>
      </c>
      <c r="B2061" s="1" t="s">
        <v>3985</v>
      </c>
      <c r="C2061" s="9" t="s">
        <v>25</v>
      </c>
      <c r="D2061" s="14" t="s">
        <v>3986</v>
      </c>
      <c r="E2061" s="9" t="s">
        <v>27</v>
      </c>
    </row>
    <row r="2062" spans="1:5" ht="15" customHeight="1" outlineLevel="2" x14ac:dyDescent="0.25">
      <c r="A2062" s="3" t="str">
        <f>HYPERLINK("http://mystore1.ru/price_items/search?utf8=%E2%9C%93&amp;oem=3359BGSHBW","3359BGSHBW")</f>
        <v>3359BGSHBW</v>
      </c>
      <c r="B2062" s="1" t="s">
        <v>3987</v>
      </c>
      <c r="C2062" s="9" t="s">
        <v>385</v>
      </c>
      <c r="D2062" s="14" t="s">
        <v>3988</v>
      </c>
      <c r="E2062" s="9" t="s">
        <v>30</v>
      </c>
    </row>
    <row r="2063" spans="1:5" ht="15" customHeight="1" outlineLevel="2" x14ac:dyDescent="0.25">
      <c r="A2063" s="3" t="str">
        <f>HYPERLINK("http://mystore1.ru/price_items/search?utf8=%E2%9C%93&amp;oem=3359LGSH5FDW","3359LGSH5FDW")</f>
        <v>3359LGSH5FDW</v>
      </c>
      <c r="B2063" s="1" t="s">
        <v>3989</v>
      </c>
      <c r="C2063" s="9" t="s">
        <v>385</v>
      </c>
      <c r="D2063" s="14" t="s">
        <v>3990</v>
      </c>
      <c r="E2063" s="9" t="s">
        <v>11</v>
      </c>
    </row>
    <row r="2064" spans="1:5" ht="15" customHeight="1" outlineLevel="2" x14ac:dyDescent="0.25">
      <c r="A2064" s="3" t="str">
        <f>HYPERLINK("http://mystore1.ru/price_items/search?utf8=%E2%9C%93&amp;oem=3359RGSH5FDW","3359RGSH5FDW")</f>
        <v>3359RGSH5FDW</v>
      </c>
      <c r="B2064" s="1" t="s">
        <v>3991</v>
      </c>
      <c r="C2064" s="9" t="s">
        <v>385</v>
      </c>
      <c r="D2064" s="14" t="s">
        <v>3992</v>
      </c>
      <c r="E2064" s="9" t="s">
        <v>11</v>
      </c>
    </row>
    <row r="2065" spans="1:5" ht="15" customHeight="1" outlineLevel="2" x14ac:dyDescent="0.25">
      <c r="A2065" s="3" t="str">
        <f>HYPERLINK("http://mystore1.ru/price_items/search?utf8=%E2%9C%93&amp;oem=3359RGSH5RDW","3359RGSH5RDW")</f>
        <v>3359RGSH5RDW</v>
      </c>
      <c r="B2065" s="1" t="s">
        <v>3993</v>
      </c>
      <c r="C2065" s="9" t="s">
        <v>385</v>
      </c>
      <c r="D2065" s="14" t="s">
        <v>3994</v>
      </c>
      <c r="E2065" s="9" t="s">
        <v>11</v>
      </c>
    </row>
    <row r="2066" spans="1:5" ht="15" customHeight="1" outlineLevel="2" x14ac:dyDescent="0.25">
      <c r="A2066" s="3" t="str">
        <f>HYPERLINK("http://mystore1.ru/price_items/search?utf8=%E2%9C%93&amp;oem=3359LGSH5RDW","3359LGSH5RDW")</f>
        <v>3359LGSH5RDW</v>
      </c>
      <c r="B2066" s="1" t="s">
        <v>3995</v>
      </c>
      <c r="C2066" s="9" t="s">
        <v>385</v>
      </c>
      <c r="D2066" s="14" t="s">
        <v>3996</v>
      </c>
      <c r="E2066" s="9" t="s">
        <v>11</v>
      </c>
    </row>
    <row r="2067" spans="1:5" outlineLevel="1" x14ac:dyDescent="0.25">
      <c r="A2067" s="2"/>
      <c r="B2067" s="6" t="s">
        <v>3997</v>
      </c>
      <c r="C2067" s="8"/>
      <c r="D2067" s="8"/>
      <c r="E2067" s="8"/>
    </row>
    <row r="2068" spans="1:5" ht="15" customHeight="1" outlineLevel="2" x14ac:dyDescent="0.25">
      <c r="A2068" s="3" t="str">
        <f>HYPERLINK("http://mystore1.ru/price_items/search?utf8=%E2%9C%93&amp;oem=9208ACL","9208ACL")</f>
        <v>9208ACL</v>
      </c>
      <c r="B2068" s="1" t="s">
        <v>3998</v>
      </c>
      <c r="C2068" s="9" t="s">
        <v>3999</v>
      </c>
      <c r="D2068" s="14" t="s">
        <v>4000</v>
      </c>
      <c r="E2068" s="9" t="s">
        <v>8</v>
      </c>
    </row>
    <row r="2069" spans="1:5" outlineLevel="1" x14ac:dyDescent="0.25">
      <c r="A2069" s="2"/>
      <c r="B2069" s="6" t="s">
        <v>4001</v>
      </c>
      <c r="C2069" s="8"/>
      <c r="D2069" s="8"/>
      <c r="E2069" s="8"/>
    </row>
    <row r="2070" spans="1:5" ht="15" customHeight="1" outlineLevel="2" x14ac:dyDescent="0.25">
      <c r="A2070" s="3" t="str">
        <f>HYPERLINK("http://mystore1.ru/price_items/search?utf8=%E2%9C%93&amp;oem=3346AGN","3346AGN")</f>
        <v>3346AGN</v>
      </c>
      <c r="B2070" s="1" t="s">
        <v>4002</v>
      </c>
      <c r="C2070" s="9" t="s">
        <v>883</v>
      </c>
      <c r="D2070" s="14" t="s">
        <v>4003</v>
      </c>
      <c r="E2070" s="9" t="s">
        <v>8</v>
      </c>
    </row>
    <row r="2071" spans="1:5" ht="15" customHeight="1" outlineLevel="2" x14ac:dyDescent="0.25">
      <c r="A2071" s="3" t="str">
        <f>HYPERLINK("http://mystore1.ru/price_items/search?utf8=%E2%9C%93&amp;oem=3346ASMT","3346ASMT")</f>
        <v>3346ASMT</v>
      </c>
      <c r="B2071" s="1" t="s">
        <v>4004</v>
      </c>
      <c r="C2071" s="9" t="s">
        <v>25</v>
      </c>
      <c r="D2071" s="14" t="s">
        <v>4005</v>
      </c>
      <c r="E2071" s="9" t="s">
        <v>27</v>
      </c>
    </row>
    <row r="2072" spans="1:5" ht="15" customHeight="1" outlineLevel="2" x14ac:dyDescent="0.25">
      <c r="A2072" s="3" t="str">
        <f>HYPERLINK("http://mystore1.ru/price_items/search?utf8=%E2%9C%93&amp;oem=3346RGNT2FV","3346RGNT2FV")</f>
        <v>3346RGNT2FV</v>
      </c>
      <c r="B2072" s="1" t="s">
        <v>4006</v>
      </c>
      <c r="C2072" s="9" t="s">
        <v>883</v>
      </c>
      <c r="D2072" s="14" t="s">
        <v>4007</v>
      </c>
      <c r="E2072" s="9" t="s">
        <v>11</v>
      </c>
    </row>
    <row r="2073" spans="1:5" outlineLevel="1" x14ac:dyDescent="0.25">
      <c r="A2073" s="2"/>
      <c r="B2073" s="6" t="s">
        <v>4008</v>
      </c>
      <c r="C2073" s="8"/>
      <c r="D2073" s="8"/>
      <c r="E2073" s="8"/>
    </row>
    <row r="2074" spans="1:5" ht="15" customHeight="1" outlineLevel="2" x14ac:dyDescent="0.25">
      <c r="A2074" s="3" t="str">
        <f>HYPERLINK("http://mystore1.ru/price_items/search?utf8=%E2%9C%93&amp;oem=3341AGS","3341AGS")</f>
        <v>3341AGS</v>
      </c>
      <c r="B2074" s="1" t="s">
        <v>4009</v>
      </c>
      <c r="C2074" s="9" t="s">
        <v>2015</v>
      </c>
      <c r="D2074" s="14" t="s">
        <v>4010</v>
      </c>
      <c r="E2074" s="9" t="s">
        <v>8</v>
      </c>
    </row>
    <row r="2075" spans="1:5" ht="15" customHeight="1" outlineLevel="2" x14ac:dyDescent="0.25">
      <c r="A2075" s="3" t="str">
        <f>HYPERLINK("http://mystore1.ru/price_items/search?utf8=%E2%9C%93&amp;oem=3341AGSBL","3341AGSBL")</f>
        <v>3341AGSBL</v>
      </c>
      <c r="B2075" s="1" t="s">
        <v>4011</v>
      </c>
      <c r="C2075" s="9" t="s">
        <v>2015</v>
      </c>
      <c r="D2075" s="14" t="s">
        <v>4012</v>
      </c>
      <c r="E2075" s="9" t="s">
        <v>8</v>
      </c>
    </row>
    <row r="2076" spans="1:5" ht="15" customHeight="1" outlineLevel="2" x14ac:dyDescent="0.25">
      <c r="A2076" s="3" t="str">
        <f>HYPERLINK("http://mystore1.ru/price_items/search?utf8=%E2%9C%93&amp;oem=3341AGSGN","3341AGSGN")</f>
        <v>3341AGSGN</v>
      </c>
      <c r="B2076" s="1" t="s">
        <v>4013</v>
      </c>
      <c r="C2076" s="9" t="s">
        <v>2015</v>
      </c>
      <c r="D2076" s="14" t="s">
        <v>4014</v>
      </c>
      <c r="E2076" s="9" t="s">
        <v>8</v>
      </c>
    </row>
    <row r="2077" spans="1:5" ht="15" customHeight="1" outlineLevel="2" x14ac:dyDescent="0.25">
      <c r="A2077" s="3" t="str">
        <f>HYPERLINK("http://mystore1.ru/price_items/search?utf8=%E2%9C%93&amp;oem=3341ASMH","3341ASMH")</f>
        <v>3341ASMH</v>
      </c>
      <c r="B2077" s="1" t="s">
        <v>4015</v>
      </c>
      <c r="C2077" s="9" t="s">
        <v>25</v>
      </c>
      <c r="D2077" s="14" t="s">
        <v>4016</v>
      </c>
      <c r="E2077" s="9" t="s">
        <v>27</v>
      </c>
    </row>
    <row r="2078" spans="1:5" ht="15" customHeight="1" outlineLevel="2" x14ac:dyDescent="0.25">
      <c r="A2078" s="3" t="str">
        <f>HYPERLINK("http://mystore1.ru/price_items/search?utf8=%E2%9C%93&amp;oem=3341BGSH","3341BGSH")</f>
        <v>3341BGSH</v>
      </c>
      <c r="B2078" s="1" t="s">
        <v>4017</v>
      </c>
      <c r="C2078" s="9" t="s">
        <v>2015</v>
      </c>
      <c r="D2078" s="14" t="s">
        <v>4018</v>
      </c>
      <c r="E2078" s="9" t="s">
        <v>30</v>
      </c>
    </row>
    <row r="2079" spans="1:5" ht="15" customHeight="1" outlineLevel="2" x14ac:dyDescent="0.25">
      <c r="A2079" s="3" t="str">
        <f>HYPERLINK("http://mystore1.ru/price_items/search?utf8=%E2%9C%93&amp;oem=3341BSMH","3341BSMH")</f>
        <v>3341BSMH</v>
      </c>
      <c r="B2079" s="1" t="s">
        <v>4019</v>
      </c>
      <c r="C2079" s="9" t="s">
        <v>25</v>
      </c>
      <c r="D2079" s="14" t="s">
        <v>4020</v>
      </c>
      <c r="E2079" s="9" t="s">
        <v>27</v>
      </c>
    </row>
    <row r="2080" spans="1:5" ht="15" customHeight="1" outlineLevel="2" x14ac:dyDescent="0.25">
      <c r="A2080" s="3" t="str">
        <f>HYPERLINK("http://mystore1.ru/price_items/search?utf8=%E2%9C%93&amp;oem=3341LGSH3FDW","3341LGSH3FDW")</f>
        <v>3341LGSH3FDW</v>
      </c>
      <c r="B2080" s="1" t="s">
        <v>4021</v>
      </c>
      <c r="C2080" s="9" t="s">
        <v>2015</v>
      </c>
      <c r="D2080" s="14" t="s">
        <v>4022</v>
      </c>
      <c r="E2080" s="9" t="s">
        <v>11</v>
      </c>
    </row>
    <row r="2081" spans="1:5" ht="15" customHeight="1" outlineLevel="2" x14ac:dyDescent="0.25">
      <c r="A2081" s="3" t="str">
        <f>HYPERLINK("http://mystore1.ru/price_items/search?utf8=%E2%9C%93&amp;oem=3341LGSH3RQOW","3341LGSH3RQOW")</f>
        <v>3341LGSH3RQOW</v>
      </c>
      <c r="B2081" s="1" t="s">
        <v>4023</v>
      </c>
      <c r="C2081" s="9" t="s">
        <v>2015</v>
      </c>
      <c r="D2081" s="14" t="s">
        <v>4024</v>
      </c>
      <c r="E2081" s="9" t="s">
        <v>11</v>
      </c>
    </row>
    <row r="2082" spans="1:5" ht="15" customHeight="1" outlineLevel="2" x14ac:dyDescent="0.25">
      <c r="A2082" s="3" t="str">
        <f>HYPERLINK("http://mystore1.ru/price_items/search?utf8=%E2%9C%93&amp;oem=3341LGSH5FDW","3341LGSH5FDW")</f>
        <v>3341LGSH5FDW</v>
      </c>
      <c r="B2082" s="1" t="s">
        <v>4025</v>
      </c>
      <c r="C2082" s="9" t="s">
        <v>2015</v>
      </c>
      <c r="D2082" s="14" t="s">
        <v>4026</v>
      </c>
      <c r="E2082" s="9" t="s">
        <v>11</v>
      </c>
    </row>
    <row r="2083" spans="1:5" ht="15" customHeight="1" outlineLevel="2" x14ac:dyDescent="0.25">
      <c r="A2083" s="3" t="str">
        <f>HYPERLINK("http://mystore1.ru/price_items/search?utf8=%E2%9C%93&amp;oem=3341LGSH5RDW","3341LGSH5RDW")</f>
        <v>3341LGSH5RDW</v>
      </c>
      <c r="B2083" s="1" t="s">
        <v>4027</v>
      </c>
      <c r="C2083" s="9" t="s">
        <v>2015</v>
      </c>
      <c r="D2083" s="14" t="s">
        <v>4028</v>
      </c>
      <c r="E2083" s="9" t="s">
        <v>11</v>
      </c>
    </row>
    <row r="2084" spans="1:5" ht="15" customHeight="1" outlineLevel="2" x14ac:dyDescent="0.25">
      <c r="A2084" s="3" t="str">
        <f>HYPERLINK("http://mystore1.ru/price_items/search?utf8=%E2%9C%93&amp;oem=3341LGSH5RQZ","3341LGSH5RQZ")</f>
        <v>3341LGSH5RQZ</v>
      </c>
      <c r="B2084" s="1" t="s">
        <v>4029</v>
      </c>
      <c r="C2084" s="9" t="s">
        <v>2015</v>
      </c>
      <c r="D2084" s="14" t="s">
        <v>4030</v>
      </c>
      <c r="E2084" s="9" t="s">
        <v>11</v>
      </c>
    </row>
    <row r="2085" spans="1:5" ht="15" customHeight="1" outlineLevel="2" x14ac:dyDescent="0.25">
      <c r="A2085" s="3" t="str">
        <f>HYPERLINK("http://mystore1.ru/price_items/search?utf8=%E2%9C%93&amp;oem=3341RGSH3FDW","3341RGSH3FDW")</f>
        <v>3341RGSH3FDW</v>
      </c>
      <c r="B2085" s="1" t="s">
        <v>4031</v>
      </c>
      <c r="C2085" s="9" t="s">
        <v>2015</v>
      </c>
      <c r="D2085" s="14" t="s">
        <v>4032</v>
      </c>
      <c r="E2085" s="9" t="s">
        <v>11</v>
      </c>
    </row>
    <row r="2086" spans="1:5" ht="15" customHeight="1" outlineLevel="2" x14ac:dyDescent="0.25">
      <c r="A2086" s="3" t="str">
        <f>HYPERLINK("http://mystore1.ru/price_items/search?utf8=%E2%9C%93&amp;oem=3341RGSH3RQOW","3341RGSH3RQOW")</f>
        <v>3341RGSH3RQOW</v>
      </c>
      <c r="B2086" s="1" t="s">
        <v>4033</v>
      </c>
      <c r="C2086" s="9" t="s">
        <v>2015</v>
      </c>
      <c r="D2086" s="14" t="s">
        <v>4034</v>
      </c>
      <c r="E2086" s="9" t="s">
        <v>11</v>
      </c>
    </row>
    <row r="2087" spans="1:5" ht="15" customHeight="1" outlineLevel="2" x14ac:dyDescent="0.25">
      <c r="A2087" s="3" t="str">
        <f>HYPERLINK("http://mystore1.ru/price_items/search?utf8=%E2%9C%93&amp;oem=3341RGSH5FDW","3341RGSH5FDW")</f>
        <v>3341RGSH5FDW</v>
      </c>
      <c r="B2087" s="1" t="s">
        <v>4035</v>
      </c>
      <c r="C2087" s="9" t="s">
        <v>2015</v>
      </c>
      <c r="D2087" s="14" t="s">
        <v>4036</v>
      </c>
      <c r="E2087" s="9" t="s">
        <v>11</v>
      </c>
    </row>
    <row r="2088" spans="1:5" ht="15" customHeight="1" outlineLevel="2" x14ac:dyDescent="0.25">
      <c r="A2088" s="3" t="str">
        <f>HYPERLINK("http://mystore1.ru/price_items/search?utf8=%E2%9C%93&amp;oem=3341RGSH5RDW","3341RGSH5RDW")</f>
        <v>3341RGSH5RDW</v>
      </c>
      <c r="B2088" s="1" t="s">
        <v>4037</v>
      </c>
      <c r="C2088" s="9" t="s">
        <v>2015</v>
      </c>
      <c r="D2088" s="14" t="s">
        <v>4038</v>
      </c>
      <c r="E2088" s="9" t="s">
        <v>11</v>
      </c>
    </row>
    <row r="2089" spans="1:5" ht="15" customHeight="1" outlineLevel="2" x14ac:dyDescent="0.25">
      <c r="A2089" s="3" t="str">
        <f>HYPERLINK("http://mystore1.ru/price_items/search?utf8=%E2%9C%93&amp;oem=3341RGSH5RQZ","3341RGSH5RQZ")</f>
        <v>3341RGSH5RQZ</v>
      </c>
      <c r="B2089" s="1" t="s">
        <v>4039</v>
      </c>
      <c r="C2089" s="9" t="s">
        <v>2015</v>
      </c>
      <c r="D2089" s="14" t="s">
        <v>4040</v>
      </c>
      <c r="E2089" s="9" t="s">
        <v>11</v>
      </c>
    </row>
    <row r="2090" spans="1:5" outlineLevel="1" x14ac:dyDescent="0.25">
      <c r="A2090" s="2"/>
      <c r="B2090" s="6" t="s">
        <v>4041</v>
      </c>
      <c r="C2090" s="8"/>
      <c r="D2090" s="8"/>
      <c r="E2090" s="8"/>
    </row>
    <row r="2091" spans="1:5" ht="15" customHeight="1" outlineLevel="2" x14ac:dyDescent="0.25">
      <c r="A2091" s="3" t="str">
        <f>HYPERLINK("http://mystore1.ru/price_items/search?utf8=%E2%9C%93&amp;oem=3351AGS","3351AGS")</f>
        <v>3351AGS</v>
      </c>
      <c r="B2091" s="1" t="s">
        <v>4042</v>
      </c>
      <c r="C2091" s="9" t="s">
        <v>2031</v>
      </c>
      <c r="D2091" s="14" t="s">
        <v>4043</v>
      </c>
      <c r="E2091" s="9" t="s">
        <v>8</v>
      </c>
    </row>
    <row r="2092" spans="1:5" ht="15" customHeight="1" outlineLevel="2" x14ac:dyDescent="0.25">
      <c r="A2092" s="3" t="str">
        <f>HYPERLINK("http://mystore1.ru/price_items/search?utf8=%E2%9C%93&amp;oem=3351AGSBL","3351AGSBL")</f>
        <v>3351AGSBL</v>
      </c>
      <c r="B2092" s="1" t="s">
        <v>4044</v>
      </c>
      <c r="C2092" s="9" t="s">
        <v>2031</v>
      </c>
      <c r="D2092" s="14" t="s">
        <v>4045</v>
      </c>
      <c r="E2092" s="9" t="s">
        <v>8</v>
      </c>
    </row>
    <row r="2093" spans="1:5" ht="15" customHeight="1" outlineLevel="2" x14ac:dyDescent="0.25">
      <c r="A2093" s="3" t="str">
        <f>HYPERLINK("http://mystore1.ru/price_items/search?utf8=%E2%9C%93&amp;oem=3351AGSM1B","3351AGSM1B")</f>
        <v>3351AGSM1B</v>
      </c>
      <c r="B2093" s="1" t="s">
        <v>4046</v>
      </c>
      <c r="C2093" s="9" t="s">
        <v>1408</v>
      </c>
      <c r="D2093" s="14" t="s">
        <v>4047</v>
      </c>
      <c r="E2093" s="9" t="s">
        <v>8</v>
      </c>
    </row>
    <row r="2094" spans="1:5" ht="15" customHeight="1" outlineLevel="2" x14ac:dyDescent="0.25">
      <c r="A2094" s="3" t="str">
        <f>HYPERLINK("http://mystore1.ru/price_items/search?utf8=%E2%9C%93&amp;oem=3351ASMHT","3351ASMHT")</f>
        <v>3351ASMHT</v>
      </c>
      <c r="B2094" s="1" t="s">
        <v>4048</v>
      </c>
      <c r="C2094" s="9" t="s">
        <v>25</v>
      </c>
      <c r="D2094" s="14" t="s">
        <v>4049</v>
      </c>
      <c r="E2094" s="9" t="s">
        <v>27</v>
      </c>
    </row>
    <row r="2095" spans="1:5" ht="15" customHeight="1" outlineLevel="2" x14ac:dyDescent="0.25">
      <c r="A2095" s="3" t="str">
        <f>HYPERLINK("http://mystore1.ru/price_items/search?utf8=%E2%9C%93&amp;oem=3351BGSHBW","3351BGSHBW")</f>
        <v>3351BGSHBW</v>
      </c>
      <c r="B2095" s="1" t="s">
        <v>4050</v>
      </c>
      <c r="C2095" s="9" t="s">
        <v>2031</v>
      </c>
      <c r="D2095" s="14" t="s">
        <v>4051</v>
      </c>
      <c r="E2095" s="9" t="s">
        <v>30</v>
      </c>
    </row>
    <row r="2096" spans="1:5" ht="15" customHeight="1" outlineLevel="2" x14ac:dyDescent="0.25">
      <c r="A2096" s="3" t="str">
        <f>HYPERLINK("http://mystore1.ru/price_items/search?utf8=%E2%9C%93&amp;oem=3351BGSHBW1H","3351BGSHBW1H")</f>
        <v>3351BGSHBW1H</v>
      </c>
      <c r="B2096" s="1" t="s">
        <v>4052</v>
      </c>
      <c r="C2096" s="9" t="s">
        <v>2031</v>
      </c>
      <c r="D2096" s="14" t="s">
        <v>4053</v>
      </c>
      <c r="E2096" s="9" t="s">
        <v>30</v>
      </c>
    </row>
    <row r="2097" spans="1:5" ht="15" customHeight="1" outlineLevel="2" x14ac:dyDescent="0.25">
      <c r="A2097" s="3" t="str">
        <f>HYPERLINK("http://mystore1.ru/price_items/search?utf8=%E2%9C%93&amp;oem=3351BGSHBW1J","3351BGSHBW1J")</f>
        <v>3351BGSHBW1J</v>
      </c>
      <c r="B2097" s="1" t="s">
        <v>4054</v>
      </c>
      <c r="C2097" s="9" t="s">
        <v>2031</v>
      </c>
      <c r="D2097" s="14" t="s">
        <v>4055</v>
      </c>
      <c r="E2097" s="9" t="s">
        <v>30</v>
      </c>
    </row>
    <row r="2098" spans="1:5" ht="15" customHeight="1" outlineLevel="2" x14ac:dyDescent="0.25">
      <c r="A2098" s="3" t="str">
        <f>HYPERLINK("http://mystore1.ru/price_items/search?utf8=%E2%9C%93&amp;oem=3351LGSH3FDW","3351LGSH3FDW")</f>
        <v>3351LGSH3FDW</v>
      </c>
      <c r="B2098" s="1" t="s">
        <v>4056</v>
      </c>
      <c r="C2098" s="9" t="s">
        <v>2031</v>
      </c>
      <c r="D2098" s="14" t="s">
        <v>4057</v>
      </c>
      <c r="E2098" s="9" t="s">
        <v>11</v>
      </c>
    </row>
    <row r="2099" spans="1:5" ht="15" customHeight="1" outlineLevel="2" x14ac:dyDescent="0.25">
      <c r="A2099" s="3" t="str">
        <f>HYPERLINK("http://mystore1.ru/price_items/search?utf8=%E2%9C%93&amp;oem=3351LGSH3RQOW","3351LGSH3RQOW")</f>
        <v>3351LGSH3RQOW</v>
      </c>
      <c r="B2099" s="1" t="s">
        <v>4058</v>
      </c>
      <c r="C2099" s="9" t="s">
        <v>2031</v>
      </c>
      <c r="D2099" s="14" t="s">
        <v>4059</v>
      </c>
      <c r="E2099" s="9" t="s">
        <v>11</v>
      </c>
    </row>
    <row r="2100" spans="1:5" ht="15" customHeight="1" outlineLevel="2" x14ac:dyDescent="0.25">
      <c r="A2100" s="3" t="str">
        <f>HYPERLINK("http://mystore1.ru/price_items/search?utf8=%E2%9C%93&amp;oem=3351LGSH5FDW","3351LGSH5FDW")</f>
        <v>3351LGSH5FDW</v>
      </c>
      <c r="B2100" s="1" t="s">
        <v>4060</v>
      </c>
      <c r="C2100" s="9" t="s">
        <v>2031</v>
      </c>
      <c r="D2100" s="14" t="s">
        <v>4061</v>
      </c>
      <c r="E2100" s="9" t="s">
        <v>11</v>
      </c>
    </row>
    <row r="2101" spans="1:5" ht="15" customHeight="1" outlineLevel="2" x14ac:dyDescent="0.25">
      <c r="A2101" s="3" t="str">
        <f>HYPERLINK("http://mystore1.ru/price_items/search?utf8=%E2%9C%93&amp;oem=3351LGSH5RDW","3351LGSH5RDW")</f>
        <v>3351LGSH5RDW</v>
      </c>
      <c r="B2101" s="1" t="s">
        <v>4062</v>
      </c>
      <c r="C2101" s="9" t="s">
        <v>2031</v>
      </c>
      <c r="D2101" s="14" t="s">
        <v>4063</v>
      </c>
      <c r="E2101" s="9" t="s">
        <v>11</v>
      </c>
    </row>
    <row r="2102" spans="1:5" ht="15" customHeight="1" outlineLevel="2" x14ac:dyDescent="0.25">
      <c r="A2102" s="3" t="str">
        <f>HYPERLINK("http://mystore1.ru/price_items/search?utf8=%E2%9C%93&amp;oem=3351RGSH3FDW","3351RGSH3FDW")</f>
        <v>3351RGSH3FDW</v>
      </c>
      <c r="B2102" s="1" t="s">
        <v>4064</v>
      </c>
      <c r="C2102" s="9" t="s">
        <v>2031</v>
      </c>
      <c r="D2102" s="14" t="s">
        <v>4065</v>
      </c>
      <c r="E2102" s="9" t="s">
        <v>11</v>
      </c>
    </row>
    <row r="2103" spans="1:5" ht="15" customHeight="1" outlineLevel="2" x14ac:dyDescent="0.25">
      <c r="A2103" s="3" t="str">
        <f>HYPERLINK("http://mystore1.ru/price_items/search?utf8=%E2%9C%93&amp;oem=3351RGSH3RQOW","3351RGSH3RQOW")</f>
        <v>3351RGSH3RQOW</v>
      </c>
      <c r="B2103" s="1" t="s">
        <v>4066</v>
      </c>
      <c r="C2103" s="9" t="s">
        <v>2031</v>
      </c>
      <c r="D2103" s="14" t="s">
        <v>4067</v>
      </c>
      <c r="E2103" s="9" t="s">
        <v>11</v>
      </c>
    </row>
    <row r="2104" spans="1:5" ht="15" customHeight="1" outlineLevel="2" x14ac:dyDescent="0.25">
      <c r="A2104" s="3" t="str">
        <f>HYPERLINK("http://mystore1.ru/price_items/search?utf8=%E2%9C%93&amp;oem=3351RGSH5FDW","3351RGSH5FDW")</f>
        <v>3351RGSH5FDW</v>
      </c>
      <c r="B2104" s="1" t="s">
        <v>4068</v>
      </c>
      <c r="C2104" s="9" t="s">
        <v>2031</v>
      </c>
      <c r="D2104" s="14" t="s">
        <v>4069</v>
      </c>
      <c r="E2104" s="9" t="s">
        <v>11</v>
      </c>
    </row>
    <row r="2105" spans="1:5" ht="15" customHeight="1" outlineLevel="2" x14ac:dyDescent="0.25">
      <c r="A2105" s="3" t="str">
        <f>HYPERLINK("http://mystore1.ru/price_items/search?utf8=%E2%9C%93&amp;oem=3351RGSH5RDW","3351RGSH5RDW")</f>
        <v>3351RGSH5RDW</v>
      </c>
      <c r="B2105" s="1" t="s">
        <v>4070</v>
      </c>
      <c r="C2105" s="9" t="s">
        <v>2031</v>
      </c>
      <c r="D2105" s="14" t="s">
        <v>4071</v>
      </c>
      <c r="E2105" s="9" t="s">
        <v>11</v>
      </c>
    </row>
    <row r="2106" spans="1:5" outlineLevel="1" x14ac:dyDescent="0.25">
      <c r="A2106" s="2"/>
      <c r="B2106" s="6" t="s">
        <v>4072</v>
      </c>
      <c r="C2106" s="8"/>
      <c r="D2106" s="8"/>
      <c r="E2106" s="8"/>
    </row>
    <row r="2107" spans="1:5" ht="15" customHeight="1" outlineLevel="2" x14ac:dyDescent="0.25">
      <c r="A2107" s="3" t="str">
        <f>HYPERLINK("http://mystore1.ru/price_items/search?utf8=%E2%9C%93&amp;oem=3362AGNZ1D","3362AGNZ1D")</f>
        <v>3362AGNZ1D</v>
      </c>
      <c r="B2107" s="1" t="s">
        <v>4073</v>
      </c>
      <c r="C2107" s="9" t="s">
        <v>511</v>
      </c>
      <c r="D2107" s="14" t="s">
        <v>4074</v>
      </c>
      <c r="E2107" s="9" t="s">
        <v>8</v>
      </c>
    </row>
    <row r="2108" spans="1:5" ht="15" customHeight="1" outlineLevel="2" x14ac:dyDescent="0.25">
      <c r="A2108" s="3" t="str">
        <f>HYPERLINK("http://mystore1.ru/price_items/search?utf8=%E2%9C%93&amp;oem=3362AGSMZ1B","3362AGSMZ1B")</f>
        <v>3362AGSMZ1B</v>
      </c>
      <c r="B2108" s="1" t="s">
        <v>4075</v>
      </c>
      <c r="C2108" s="9" t="s">
        <v>1607</v>
      </c>
      <c r="D2108" s="14" t="s">
        <v>4076</v>
      </c>
      <c r="E2108" s="9" t="s">
        <v>8</v>
      </c>
    </row>
    <row r="2109" spans="1:5" ht="15" customHeight="1" outlineLevel="2" x14ac:dyDescent="0.25">
      <c r="A2109" s="3" t="str">
        <f>HYPERLINK("http://mystore1.ru/price_items/search?utf8=%E2%9C%93&amp;oem=3362AGSZ","3362AGSZ")</f>
        <v>3362AGSZ</v>
      </c>
      <c r="B2109" s="1" t="s">
        <v>4077</v>
      </c>
      <c r="C2109" s="9" t="s">
        <v>1607</v>
      </c>
      <c r="D2109" s="14" t="s">
        <v>4078</v>
      </c>
      <c r="E2109" s="9" t="s">
        <v>8</v>
      </c>
    </row>
    <row r="2110" spans="1:5" ht="15" customHeight="1" outlineLevel="2" x14ac:dyDescent="0.25">
      <c r="A2110" s="3" t="str">
        <f>HYPERLINK("http://mystore1.ru/price_items/search?utf8=%E2%9C%93&amp;oem=3362BGDH","3362BGDH")</f>
        <v>3362BGDH</v>
      </c>
      <c r="B2110" s="1" t="s">
        <v>4079</v>
      </c>
      <c r="C2110" s="9" t="s">
        <v>1607</v>
      </c>
      <c r="D2110" s="14" t="s">
        <v>4080</v>
      </c>
      <c r="E2110" s="9" t="s">
        <v>30</v>
      </c>
    </row>
    <row r="2111" spans="1:5" ht="15" customHeight="1" outlineLevel="2" x14ac:dyDescent="0.25">
      <c r="A2111" s="3" t="str">
        <f>HYPERLINK("http://mystore1.ru/price_items/search?utf8=%E2%9C%93&amp;oem=3362BGSH","3362BGSH")</f>
        <v>3362BGSH</v>
      </c>
      <c r="B2111" s="1" t="s">
        <v>4081</v>
      </c>
      <c r="C2111" s="9" t="s">
        <v>1607</v>
      </c>
      <c r="D2111" s="14" t="s">
        <v>4082</v>
      </c>
      <c r="E2111" s="9" t="s">
        <v>30</v>
      </c>
    </row>
    <row r="2112" spans="1:5" ht="15" customHeight="1" outlineLevel="2" x14ac:dyDescent="0.25">
      <c r="A2112" s="3" t="str">
        <f>HYPERLINK("http://mystore1.ru/price_items/search?utf8=%E2%9C%93&amp;oem=3362LGDH3RQZ","3362LGDH3RQZ")</f>
        <v>3362LGDH3RQZ</v>
      </c>
      <c r="B2112" s="1" t="s">
        <v>4083</v>
      </c>
      <c r="C2112" s="9" t="s">
        <v>1607</v>
      </c>
      <c r="D2112" s="14" t="s">
        <v>4084</v>
      </c>
      <c r="E2112" s="9" t="s">
        <v>11</v>
      </c>
    </row>
    <row r="2113" spans="1:5" ht="15" customHeight="1" outlineLevel="2" x14ac:dyDescent="0.25">
      <c r="A2113" s="3" t="str">
        <f>HYPERLINK("http://mystore1.ru/price_items/search?utf8=%E2%9C%93&amp;oem=3362LGDH5RDW","3362LGDH5RDW")</f>
        <v>3362LGDH5RDW</v>
      </c>
      <c r="B2113" s="1" t="s">
        <v>4085</v>
      </c>
      <c r="C2113" s="9" t="s">
        <v>1607</v>
      </c>
      <c r="D2113" s="14" t="s">
        <v>4086</v>
      </c>
      <c r="E2113" s="9" t="s">
        <v>11</v>
      </c>
    </row>
    <row r="2114" spans="1:5" ht="15" customHeight="1" outlineLevel="2" x14ac:dyDescent="0.25">
      <c r="A2114" s="3" t="str">
        <f>HYPERLINK("http://mystore1.ru/price_items/search?utf8=%E2%9C%93&amp;oem=3362LGSH3FDW","3362LGSH3FDW")</f>
        <v>3362LGSH3FDW</v>
      </c>
      <c r="B2114" s="1" t="s">
        <v>4087</v>
      </c>
      <c r="C2114" s="9" t="s">
        <v>1607</v>
      </c>
      <c r="D2114" s="14" t="s">
        <v>4088</v>
      </c>
      <c r="E2114" s="9" t="s">
        <v>11</v>
      </c>
    </row>
    <row r="2115" spans="1:5" ht="15" customHeight="1" outlineLevel="2" x14ac:dyDescent="0.25">
      <c r="A2115" s="3" t="str">
        <f>HYPERLINK("http://mystore1.ru/price_items/search?utf8=%E2%9C%93&amp;oem=3362LGSH3RQZ","3362LGSH3RQZ")</f>
        <v>3362LGSH3RQZ</v>
      </c>
      <c r="B2115" s="1" t="s">
        <v>4089</v>
      </c>
      <c r="C2115" s="9" t="s">
        <v>1607</v>
      </c>
      <c r="D2115" s="14" t="s">
        <v>4090</v>
      </c>
      <c r="E2115" s="9" t="s">
        <v>11</v>
      </c>
    </row>
    <row r="2116" spans="1:5" ht="15" customHeight="1" outlineLevel="2" x14ac:dyDescent="0.25">
      <c r="A2116" s="3" t="str">
        <f>HYPERLINK("http://mystore1.ru/price_items/search?utf8=%E2%9C%93&amp;oem=3362LGSH5FDW","3362LGSH5FDW")</f>
        <v>3362LGSH5FDW</v>
      </c>
      <c r="B2116" s="1" t="s">
        <v>4091</v>
      </c>
      <c r="C2116" s="9" t="s">
        <v>1607</v>
      </c>
      <c r="D2116" s="14" t="s">
        <v>4092</v>
      </c>
      <c r="E2116" s="9" t="s">
        <v>11</v>
      </c>
    </row>
    <row r="2117" spans="1:5" ht="15" customHeight="1" outlineLevel="2" x14ac:dyDescent="0.25">
      <c r="A2117" s="3" t="str">
        <f>HYPERLINK("http://mystore1.ru/price_items/search?utf8=%E2%9C%93&amp;oem=3362LGSH5FQZ","3362LGSH5FQZ")</f>
        <v>3362LGSH5FQZ</v>
      </c>
      <c r="B2117" s="1" t="s">
        <v>4093</v>
      </c>
      <c r="C2117" s="9" t="s">
        <v>1607</v>
      </c>
      <c r="D2117" s="14" t="s">
        <v>4094</v>
      </c>
      <c r="E2117" s="9" t="s">
        <v>11</v>
      </c>
    </row>
    <row r="2118" spans="1:5" ht="15" customHeight="1" outlineLevel="2" x14ac:dyDescent="0.25">
      <c r="A2118" s="3" t="str">
        <f>HYPERLINK("http://mystore1.ru/price_items/search?utf8=%E2%9C%93&amp;oem=3362LGSH5RDW","3362LGSH5RDW")</f>
        <v>3362LGSH5RDW</v>
      </c>
      <c r="B2118" s="1" t="s">
        <v>4095</v>
      </c>
      <c r="C2118" s="9" t="s">
        <v>1607</v>
      </c>
      <c r="D2118" s="14" t="s">
        <v>4096</v>
      </c>
      <c r="E2118" s="9" t="s">
        <v>11</v>
      </c>
    </row>
    <row r="2119" spans="1:5" ht="15" customHeight="1" outlineLevel="2" x14ac:dyDescent="0.25">
      <c r="A2119" s="3" t="str">
        <f>HYPERLINK("http://mystore1.ru/price_items/search?utf8=%E2%9C%93&amp;oem=3362LYPV3RQZ","3362LYPV3RQZ")</f>
        <v>3362LYPV3RQZ</v>
      </c>
      <c r="B2119" s="1" t="s">
        <v>4097</v>
      </c>
      <c r="C2119" s="9" t="s">
        <v>1607</v>
      </c>
      <c r="D2119" s="14" t="s">
        <v>4098</v>
      </c>
      <c r="E2119" s="9" t="s">
        <v>11</v>
      </c>
    </row>
    <row r="2120" spans="1:5" ht="15" customHeight="1" outlineLevel="2" x14ac:dyDescent="0.25">
      <c r="A2120" s="3" t="str">
        <f>HYPERLINK("http://mystore1.ru/price_items/search?utf8=%E2%9C%93&amp;oem=3362RGDH3RQZ","3362RGDH3RQZ")</f>
        <v>3362RGDH3RQZ</v>
      </c>
      <c r="B2120" s="1" t="s">
        <v>4099</v>
      </c>
      <c r="C2120" s="9" t="s">
        <v>1607</v>
      </c>
      <c r="D2120" s="14" t="s">
        <v>4100</v>
      </c>
      <c r="E2120" s="9" t="s">
        <v>11</v>
      </c>
    </row>
    <row r="2121" spans="1:5" ht="15" customHeight="1" outlineLevel="2" x14ac:dyDescent="0.25">
      <c r="A2121" s="3" t="str">
        <f>HYPERLINK("http://mystore1.ru/price_items/search?utf8=%E2%9C%93&amp;oem=3362RGDH5RDW","3362RGDH5RDW")</f>
        <v>3362RGDH5RDW</v>
      </c>
      <c r="B2121" s="1" t="s">
        <v>4101</v>
      </c>
      <c r="C2121" s="9" t="s">
        <v>1607</v>
      </c>
      <c r="D2121" s="14" t="s">
        <v>4102</v>
      </c>
      <c r="E2121" s="9" t="s">
        <v>11</v>
      </c>
    </row>
    <row r="2122" spans="1:5" ht="15" customHeight="1" outlineLevel="2" x14ac:dyDescent="0.25">
      <c r="A2122" s="3" t="str">
        <f>HYPERLINK("http://mystore1.ru/price_items/search?utf8=%E2%9C%93&amp;oem=3362RGSH3FDW","3362RGSH3FDW")</f>
        <v>3362RGSH3FDW</v>
      </c>
      <c r="B2122" s="1" t="s">
        <v>4103</v>
      </c>
      <c r="C2122" s="9" t="s">
        <v>1607</v>
      </c>
      <c r="D2122" s="14" t="s">
        <v>4104</v>
      </c>
      <c r="E2122" s="9" t="s">
        <v>11</v>
      </c>
    </row>
    <row r="2123" spans="1:5" ht="15" customHeight="1" outlineLevel="2" x14ac:dyDescent="0.25">
      <c r="A2123" s="3" t="str">
        <f>HYPERLINK("http://mystore1.ru/price_items/search?utf8=%E2%9C%93&amp;oem=3362RGSH3RQZ","3362RGSH3RQZ")</f>
        <v>3362RGSH3RQZ</v>
      </c>
      <c r="B2123" s="1" t="s">
        <v>4105</v>
      </c>
      <c r="C2123" s="9" t="s">
        <v>1607</v>
      </c>
      <c r="D2123" s="14" t="s">
        <v>4106</v>
      </c>
      <c r="E2123" s="9" t="s">
        <v>11</v>
      </c>
    </row>
    <row r="2124" spans="1:5" ht="15" customHeight="1" outlineLevel="2" x14ac:dyDescent="0.25">
      <c r="A2124" s="3" t="str">
        <f>HYPERLINK("http://mystore1.ru/price_items/search?utf8=%E2%9C%93&amp;oem=3362RGSH5FDW","3362RGSH5FDW")</f>
        <v>3362RGSH5FDW</v>
      </c>
      <c r="B2124" s="1" t="s">
        <v>4107</v>
      </c>
      <c r="C2124" s="9" t="s">
        <v>1607</v>
      </c>
      <c r="D2124" s="14" t="s">
        <v>4108</v>
      </c>
      <c r="E2124" s="9" t="s">
        <v>11</v>
      </c>
    </row>
    <row r="2125" spans="1:5" ht="15" customHeight="1" outlineLevel="2" x14ac:dyDescent="0.25">
      <c r="A2125" s="3" t="str">
        <f>HYPERLINK("http://mystore1.ru/price_items/search?utf8=%E2%9C%93&amp;oem=3362RGSH5FQZ","3362RGSH5FQZ")</f>
        <v>3362RGSH5FQZ</v>
      </c>
      <c r="B2125" s="1" t="s">
        <v>4109</v>
      </c>
      <c r="C2125" s="9" t="s">
        <v>1607</v>
      </c>
      <c r="D2125" s="14" t="s">
        <v>4110</v>
      </c>
      <c r="E2125" s="9" t="s">
        <v>11</v>
      </c>
    </row>
    <row r="2126" spans="1:5" ht="15" customHeight="1" outlineLevel="2" x14ac:dyDescent="0.25">
      <c r="A2126" s="3" t="str">
        <f>HYPERLINK("http://mystore1.ru/price_items/search?utf8=%E2%9C%93&amp;oem=3362RGSH5RDW","3362RGSH5RDW")</f>
        <v>3362RGSH5RDW</v>
      </c>
      <c r="B2126" s="1" t="s">
        <v>4111</v>
      </c>
      <c r="C2126" s="9" t="s">
        <v>1607</v>
      </c>
      <c r="D2126" s="14" t="s">
        <v>4112</v>
      </c>
      <c r="E2126" s="9" t="s">
        <v>11</v>
      </c>
    </row>
    <row r="2127" spans="1:5" ht="15" customHeight="1" outlineLevel="2" x14ac:dyDescent="0.25">
      <c r="A2127" s="3" t="str">
        <f>HYPERLINK("http://mystore1.ru/price_items/search?utf8=%E2%9C%93&amp;oem=3362RYPV3RQZ","3362RYPV3RQZ")</f>
        <v>3362RYPV3RQZ</v>
      </c>
      <c r="B2127" s="1" t="s">
        <v>4113</v>
      </c>
      <c r="C2127" s="9" t="s">
        <v>1607</v>
      </c>
      <c r="D2127" s="14" t="s">
        <v>4114</v>
      </c>
      <c r="E2127" s="9" t="s">
        <v>11</v>
      </c>
    </row>
    <row r="2128" spans="1:5" outlineLevel="1" x14ac:dyDescent="0.25">
      <c r="A2128" s="2"/>
      <c r="B2128" s="6" t="s">
        <v>4115</v>
      </c>
      <c r="C2128" s="8"/>
      <c r="D2128" s="8"/>
      <c r="E2128" s="8"/>
    </row>
    <row r="2129" spans="1:5" ht="15" customHeight="1" outlineLevel="2" x14ac:dyDescent="0.25">
      <c r="A2129" s="3" t="str">
        <f>HYPERLINK("http://mystore1.ru/price_items/search?utf8=%E2%9C%93&amp;oem=3752ACCMVZ1P","3752ACCMVZ1P")</f>
        <v>3752ACCMVZ1P</v>
      </c>
      <c r="B2129" s="1" t="s">
        <v>4116</v>
      </c>
      <c r="C2129" s="9" t="s">
        <v>511</v>
      </c>
      <c r="D2129" s="14" t="s">
        <v>4117</v>
      </c>
      <c r="E2129" s="9" t="s">
        <v>8</v>
      </c>
    </row>
    <row r="2130" spans="1:5" ht="15" customHeight="1" outlineLevel="2" x14ac:dyDescent="0.25">
      <c r="A2130" s="3" t="str">
        <f>HYPERLINK("http://mystore1.ru/price_items/search?utf8=%E2%9C%93&amp;oem=3752ACCVZ","3752ACCVZ")</f>
        <v>3752ACCVZ</v>
      </c>
      <c r="B2130" s="1" t="s">
        <v>4118</v>
      </c>
      <c r="C2130" s="9" t="s">
        <v>511</v>
      </c>
      <c r="D2130" s="14" t="s">
        <v>4119</v>
      </c>
      <c r="E2130" s="9" t="s">
        <v>8</v>
      </c>
    </row>
    <row r="2131" spans="1:5" ht="15" customHeight="1" outlineLevel="2" x14ac:dyDescent="0.25">
      <c r="A2131" s="3" t="str">
        <f>HYPERLINK("http://mystore1.ru/price_items/search?utf8=%E2%9C%93&amp;oem=3752AGSMVZ1P","3752AGSMVZ1P")</f>
        <v>3752AGSMVZ1P</v>
      </c>
      <c r="B2131" s="1" t="s">
        <v>4120</v>
      </c>
      <c r="C2131" s="9" t="s">
        <v>511</v>
      </c>
      <c r="D2131" s="14" t="s">
        <v>4121</v>
      </c>
      <c r="E2131" s="9" t="s">
        <v>8</v>
      </c>
    </row>
    <row r="2132" spans="1:5" ht="15" customHeight="1" outlineLevel="2" x14ac:dyDescent="0.25">
      <c r="A2132" s="3" t="str">
        <f>HYPERLINK("http://mystore1.ru/price_items/search?utf8=%E2%9C%93&amp;oem=3752AGSVZ","3752AGSVZ")</f>
        <v>3752AGSVZ</v>
      </c>
      <c r="B2132" s="1" t="s">
        <v>4122</v>
      </c>
      <c r="C2132" s="9" t="s">
        <v>511</v>
      </c>
      <c r="D2132" s="14" t="s">
        <v>4123</v>
      </c>
      <c r="E2132" s="9" t="s">
        <v>8</v>
      </c>
    </row>
    <row r="2133" spans="1:5" ht="15" customHeight="1" outlineLevel="2" x14ac:dyDescent="0.25">
      <c r="A2133" s="3" t="str">
        <f>HYPERLINK("http://mystore1.ru/price_items/search?utf8=%E2%9C%93&amp;oem=3752BGDVB","3752BGDVB")</f>
        <v>3752BGDVB</v>
      </c>
      <c r="B2133" s="1" t="s">
        <v>4124</v>
      </c>
      <c r="C2133" s="9" t="s">
        <v>511</v>
      </c>
      <c r="D2133" s="14" t="s">
        <v>4125</v>
      </c>
      <c r="E2133" s="9" t="s">
        <v>30</v>
      </c>
    </row>
    <row r="2134" spans="1:5" ht="15" customHeight="1" outlineLevel="2" x14ac:dyDescent="0.25">
      <c r="A2134" s="3" t="str">
        <f>HYPERLINK("http://mystore1.ru/price_items/search?utf8=%E2%9C%93&amp;oem=3752BGSVB","3752BGSVB")</f>
        <v>3752BGSVB</v>
      </c>
      <c r="B2134" s="1" t="s">
        <v>4126</v>
      </c>
      <c r="C2134" s="9" t="s">
        <v>511</v>
      </c>
      <c r="D2134" s="14" t="s">
        <v>4127</v>
      </c>
      <c r="E2134" s="9" t="s">
        <v>30</v>
      </c>
    </row>
    <row r="2135" spans="1:5" ht="15" customHeight="1" outlineLevel="2" x14ac:dyDescent="0.25">
      <c r="A2135" s="3" t="str">
        <f>HYPERLINK("http://mystore1.ru/price_items/search?utf8=%E2%9C%93&amp;oem=3752BGSVL","3752BGSVL")</f>
        <v>3752BGSVL</v>
      </c>
      <c r="B2135" s="1" t="s">
        <v>4128</v>
      </c>
      <c r="C2135" s="9" t="s">
        <v>511</v>
      </c>
      <c r="D2135" s="14" t="s">
        <v>4129</v>
      </c>
      <c r="E2135" s="9" t="s">
        <v>30</v>
      </c>
    </row>
    <row r="2136" spans="1:5" ht="15" customHeight="1" outlineLevel="2" x14ac:dyDescent="0.25">
      <c r="A2136" s="3" t="str">
        <f>HYPERLINK("http://mystore1.ru/price_items/search?utf8=%E2%9C%93&amp;oem=3752BGSVLU","3752BGSVLU")</f>
        <v>3752BGSVLU</v>
      </c>
      <c r="B2136" s="1" t="s">
        <v>4130</v>
      </c>
      <c r="C2136" s="9" t="s">
        <v>511</v>
      </c>
      <c r="D2136" s="14" t="s">
        <v>4131</v>
      </c>
      <c r="E2136" s="9" t="s">
        <v>30</v>
      </c>
    </row>
    <row r="2137" spans="1:5" ht="15" customHeight="1" outlineLevel="2" x14ac:dyDescent="0.25">
      <c r="A2137" s="3" t="str">
        <f>HYPERLINK("http://mystore1.ru/price_items/search?utf8=%E2%9C%93&amp;oem=3752BGSVR","3752BGSVR")</f>
        <v>3752BGSVR</v>
      </c>
      <c r="B2137" s="1" t="s">
        <v>4132</v>
      </c>
      <c r="C2137" s="9" t="s">
        <v>511</v>
      </c>
      <c r="D2137" s="14" t="s">
        <v>4133</v>
      </c>
      <c r="E2137" s="9" t="s">
        <v>30</v>
      </c>
    </row>
    <row r="2138" spans="1:5" ht="15" customHeight="1" outlineLevel="2" x14ac:dyDescent="0.25">
      <c r="A2138" s="3" t="str">
        <f>HYPERLINK("http://mystore1.ru/price_items/search?utf8=%E2%9C%93&amp;oem=3752BGSVRU","3752BGSVRU")</f>
        <v>3752BGSVRU</v>
      </c>
      <c r="B2138" s="1" t="s">
        <v>4134</v>
      </c>
      <c r="C2138" s="9" t="s">
        <v>511</v>
      </c>
      <c r="D2138" s="14" t="s">
        <v>4135</v>
      </c>
      <c r="E2138" s="9" t="s">
        <v>30</v>
      </c>
    </row>
    <row r="2139" spans="1:5" ht="15" customHeight="1" outlineLevel="2" x14ac:dyDescent="0.25">
      <c r="A2139" s="3" t="str">
        <f>HYPERLINK("http://mystore1.ru/price_items/search?utf8=%E2%9C%93&amp;oem=3752LGPV5RD","3752LGPV5RD")</f>
        <v>3752LGPV5RD</v>
      </c>
      <c r="B2139" s="1" t="s">
        <v>4136</v>
      </c>
      <c r="C2139" s="9" t="s">
        <v>511</v>
      </c>
      <c r="D2139" s="14" t="s">
        <v>4137</v>
      </c>
      <c r="E2139" s="9" t="s">
        <v>11</v>
      </c>
    </row>
    <row r="2140" spans="1:5" ht="15" customHeight="1" outlineLevel="2" x14ac:dyDescent="0.25">
      <c r="A2140" s="3" t="str">
        <f>HYPERLINK("http://mystore1.ru/price_items/search?utf8=%E2%9C%93&amp;oem=3752LGSV5FD","3752LGSV5FD")</f>
        <v>3752LGSV5FD</v>
      </c>
      <c r="B2140" s="1" t="s">
        <v>4138</v>
      </c>
      <c r="C2140" s="9" t="s">
        <v>511</v>
      </c>
      <c r="D2140" s="14" t="s">
        <v>4139</v>
      </c>
      <c r="E2140" s="9" t="s">
        <v>11</v>
      </c>
    </row>
    <row r="2141" spans="1:5" ht="15" customHeight="1" outlineLevel="2" x14ac:dyDescent="0.25">
      <c r="A2141" s="3" t="str">
        <f>HYPERLINK("http://mystore1.ru/price_items/search?utf8=%E2%9C%93&amp;oem=3752LGSV5RD","3752LGSV5RD")</f>
        <v>3752LGSV5RD</v>
      </c>
      <c r="B2141" s="1" t="s">
        <v>4140</v>
      </c>
      <c r="C2141" s="9" t="s">
        <v>511</v>
      </c>
      <c r="D2141" s="14" t="s">
        <v>4141</v>
      </c>
      <c r="E2141" s="9" t="s">
        <v>11</v>
      </c>
    </row>
    <row r="2142" spans="1:5" ht="15" customHeight="1" outlineLevel="2" x14ac:dyDescent="0.25">
      <c r="A2142" s="3" t="str">
        <f>HYPERLINK("http://mystore1.ru/price_items/search?utf8=%E2%9C%93&amp;oem=3752LGSV5RQ1J","3752LGSV5RQ1J")</f>
        <v>3752LGSV5RQ1J</v>
      </c>
      <c r="B2142" s="1" t="s">
        <v>4142</v>
      </c>
      <c r="C2142" s="9" t="s">
        <v>511</v>
      </c>
      <c r="D2142" s="14" t="s">
        <v>4143</v>
      </c>
      <c r="E2142" s="9" t="s">
        <v>11</v>
      </c>
    </row>
    <row r="2143" spans="1:5" ht="15" customHeight="1" outlineLevel="2" x14ac:dyDescent="0.25">
      <c r="A2143" s="3" t="str">
        <f>HYPERLINK("http://mystore1.ru/price_items/search?utf8=%E2%9C%93&amp;oem=3752RGPV5RD","3752RGPV5RD")</f>
        <v>3752RGPV5RD</v>
      </c>
      <c r="B2143" s="1" t="s">
        <v>4144</v>
      </c>
      <c r="C2143" s="9" t="s">
        <v>511</v>
      </c>
      <c r="D2143" s="14" t="s">
        <v>4145</v>
      </c>
      <c r="E2143" s="9" t="s">
        <v>11</v>
      </c>
    </row>
    <row r="2144" spans="1:5" ht="15" customHeight="1" outlineLevel="2" x14ac:dyDescent="0.25">
      <c r="A2144" s="3" t="str">
        <f>HYPERLINK("http://mystore1.ru/price_items/search?utf8=%E2%9C%93&amp;oem=3752RGSV5FD","3752RGSV5FD")</f>
        <v>3752RGSV5FD</v>
      </c>
      <c r="B2144" s="1" t="s">
        <v>4146</v>
      </c>
      <c r="C2144" s="9" t="s">
        <v>511</v>
      </c>
      <c r="D2144" s="14" t="s">
        <v>4147</v>
      </c>
      <c r="E2144" s="9" t="s">
        <v>11</v>
      </c>
    </row>
    <row r="2145" spans="1:5" ht="15" customHeight="1" outlineLevel="2" x14ac:dyDescent="0.25">
      <c r="A2145" s="3" t="str">
        <f>HYPERLINK("http://mystore1.ru/price_items/search?utf8=%E2%9C%93&amp;oem=3752RGSV5RD","3752RGSV5RD")</f>
        <v>3752RGSV5RD</v>
      </c>
      <c r="B2145" s="1" t="s">
        <v>4148</v>
      </c>
      <c r="C2145" s="9" t="s">
        <v>511</v>
      </c>
      <c r="D2145" s="14" t="s">
        <v>4149</v>
      </c>
      <c r="E2145" s="9" t="s">
        <v>11</v>
      </c>
    </row>
    <row r="2146" spans="1:5" ht="15" customHeight="1" outlineLevel="2" x14ac:dyDescent="0.25">
      <c r="A2146" s="3" t="str">
        <f>HYPERLINK("http://mystore1.ru/price_items/search?utf8=%E2%9C%93&amp;oem=3752RGSV5RQ","3752RGSV5RQ")</f>
        <v>3752RGSV5RQ</v>
      </c>
      <c r="B2146" s="1" t="s">
        <v>4150</v>
      </c>
      <c r="C2146" s="9" t="s">
        <v>511</v>
      </c>
      <c r="D2146" s="14" t="s">
        <v>4151</v>
      </c>
      <c r="E2146" s="9" t="s">
        <v>11</v>
      </c>
    </row>
    <row r="2147" spans="1:5" ht="15" customHeight="1" outlineLevel="2" x14ac:dyDescent="0.25">
      <c r="A2147" s="3" t="str">
        <f>HYPERLINK("http://mystore1.ru/price_items/search?utf8=%E2%9C%93&amp;oem=3752RGSV5RQ1J","3752RGSV5RQ1J")</f>
        <v>3752RGSV5RQ1J</v>
      </c>
      <c r="B2147" s="1" t="s">
        <v>4152</v>
      </c>
      <c r="C2147" s="9" t="s">
        <v>511</v>
      </c>
      <c r="D2147" s="14" t="s">
        <v>4153</v>
      </c>
      <c r="E2147" s="9" t="s">
        <v>11</v>
      </c>
    </row>
    <row r="2148" spans="1:5" outlineLevel="1" x14ac:dyDescent="0.25">
      <c r="A2148" s="2"/>
      <c r="B2148" s="6" t="s">
        <v>4154</v>
      </c>
      <c r="C2148" s="8"/>
      <c r="D2148" s="8"/>
      <c r="E2148" s="8"/>
    </row>
    <row r="2149" spans="1:5" ht="15" customHeight="1" outlineLevel="2" x14ac:dyDescent="0.25">
      <c r="A2149" s="3" t="str">
        <f>HYPERLINK("http://mystore1.ru/price_items/search?utf8=%E2%9C%93&amp;oem=3350ACL","3350ACL")</f>
        <v>3350ACL</v>
      </c>
      <c r="B2149" s="1" t="s">
        <v>4155</v>
      </c>
      <c r="C2149" s="9" t="s">
        <v>3901</v>
      </c>
      <c r="D2149" s="14" t="s">
        <v>4156</v>
      </c>
      <c r="E2149" s="9" t="s">
        <v>8</v>
      </c>
    </row>
    <row r="2150" spans="1:5" ht="15" customHeight="1" outlineLevel="2" x14ac:dyDescent="0.25">
      <c r="A2150" s="3" t="str">
        <f>HYPERLINK("http://mystore1.ru/price_items/search?utf8=%E2%9C%93&amp;oem=3350AGN","3350AGN")</f>
        <v>3350AGN</v>
      </c>
      <c r="B2150" s="1" t="s">
        <v>4157</v>
      </c>
      <c r="C2150" s="9" t="s">
        <v>3901</v>
      </c>
      <c r="D2150" s="14" t="s">
        <v>4158</v>
      </c>
      <c r="E2150" s="9" t="s">
        <v>8</v>
      </c>
    </row>
    <row r="2151" spans="1:5" ht="15" customHeight="1" outlineLevel="2" x14ac:dyDescent="0.25">
      <c r="A2151" s="3" t="str">
        <f>HYPERLINK("http://mystore1.ru/price_items/search?utf8=%E2%9C%93&amp;oem=3350ASMH","3350ASMH")</f>
        <v>3350ASMH</v>
      </c>
      <c r="B2151" s="1" t="s">
        <v>4159</v>
      </c>
      <c r="C2151" s="9" t="s">
        <v>25</v>
      </c>
      <c r="D2151" s="14" t="s">
        <v>4160</v>
      </c>
      <c r="E2151" s="9" t="s">
        <v>27</v>
      </c>
    </row>
    <row r="2152" spans="1:5" ht="15" customHeight="1" outlineLevel="2" x14ac:dyDescent="0.25">
      <c r="A2152" s="3" t="str">
        <f>HYPERLINK("http://mystore1.ru/price_items/search?utf8=%E2%9C%93&amp;oem=3350LGNH3FD","3350LGNH3FD")</f>
        <v>3350LGNH3FD</v>
      </c>
      <c r="B2152" s="1" t="s">
        <v>4161</v>
      </c>
      <c r="C2152" s="9" t="s">
        <v>3901</v>
      </c>
      <c r="D2152" s="14" t="s">
        <v>4162</v>
      </c>
      <c r="E2152" s="9" t="s">
        <v>11</v>
      </c>
    </row>
    <row r="2153" spans="1:5" ht="15" customHeight="1" outlineLevel="2" x14ac:dyDescent="0.25">
      <c r="A2153" s="3" t="str">
        <f>HYPERLINK("http://mystore1.ru/price_items/search?utf8=%E2%9C%93&amp;oem=3350RCLH3RQ","3350RCLH3RQ")</f>
        <v>3350RCLH3RQ</v>
      </c>
      <c r="B2153" s="1" t="s">
        <v>4163</v>
      </c>
      <c r="C2153" s="9" t="s">
        <v>3901</v>
      </c>
      <c r="D2153" s="14" t="s">
        <v>4164</v>
      </c>
      <c r="E2153" s="9" t="s">
        <v>11</v>
      </c>
    </row>
    <row r="2154" spans="1:5" ht="15" customHeight="1" outlineLevel="2" x14ac:dyDescent="0.25">
      <c r="A2154" s="3" t="str">
        <f>HYPERLINK("http://mystore1.ru/price_items/search?utf8=%E2%9C%93&amp;oem=3350RGNH3FD","3350RGNH3FD")</f>
        <v>3350RGNH3FD</v>
      </c>
      <c r="B2154" s="1" t="s">
        <v>4165</v>
      </c>
      <c r="C2154" s="9" t="s">
        <v>3901</v>
      </c>
      <c r="D2154" s="14" t="s">
        <v>4166</v>
      </c>
      <c r="E2154" s="9" t="s">
        <v>11</v>
      </c>
    </row>
    <row r="2155" spans="1:5" ht="15" customHeight="1" outlineLevel="2" x14ac:dyDescent="0.25">
      <c r="A2155" s="3" t="str">
        <f>HYPERLINK("http://mystore1.ru/price_items/search?utf8=%E2%9C%93&amp;oem=OLD-3350LGNH3FD","OLD-3350LGNH3FD")</f>
        <v>OLD-3350LGNH3FD</v>
      </c>
      <c r="B2155" s="1" t="s">
        <v>4167</v>
      </c>
      <c r="C2155" s="9" t="s">
        <v>3901</v>
      </c>
      <c r="D2155" s="14" t="s">
        <v>4162</v>
      </c>
      <c r="E2155" s="9" t="s">
        <v>11</v>
      </c>
    </row>
    <row r="2156" spans="1:5" ht="15" customHeight="1" outlineLevel="2" x14ac:dyDescent="0.25">
      <c r="A2156" s="3" t="str">
        <f>HYPERLINK("http://mystore1.ru/price_items/search?utf8=%E2%9C%93&amp;oem=OLD-3350RGNH3FD","OLD-3350RGNH3FD")</f>
        <v>OLD-3350RGNH3FD</v>
      </c>
      <c r="B2156" s="1" t="s">
        <v>4168</v>
      </c>
      <c r="C2156" s="9" t="s">
        <v>3901</v>
      </c>
      <c r="D2156" s="14" t="s">
        <v>4166</v>
      </c>
      <c r="E2156" s="9" t="s">
        <v>11</v>
      </c>
    </row>
    <row r="2157" spans="1:5" outlineLevel="1" x14ac:dyDescent="0.25">
      <c r="A2157" s="2"/>
      <c r="B2157" s="6" t="s">
        <v>4169</v>
      </c>
      <c r="C2157" s="8"/>
      <c r="D2157" s="8"/>
      <c r="E2157" s="8"/>
    </row>
    <row r="2158" spans="1:5" ht="15" customHeight="1" outlineLevel="2" x14ac:dyDescent="0.25">
      <c r="A2158" s="3" t="str">
        <f>HYPERLINK("http://mystore1.ru/price_items/search?utf8=%E2%9C%93&amp;oem=3355AGSMZ","3355AGSMZ")</f>
        <v>3355AGSMZ</v>
      </c>
      <c r="B2158" s="1" t="s">
        <v>4170</v>
      </c>
      <c r="C2158" s="9" t="s">
        <v>457</v>
      </c>
      <c r="D2158" s="14" t="s">
        <v>4171</v>
      </c>
      <c r="E2158" s="9" t="s">
        <v>8</v>
      </c>
    </row>
    <row r="2159" spans="1:5" ht="15" customHeight="1" outlineLevel="2" x14ac:dyDescent="0.25">
      <c r="A2159" s="3" t="str">
        <f>HYPERLINK("http://mystore1.ru/price_items/search?utf8=%E2%9C%93&amp;oem=3355AGSZ","3355AGSZ")</f>
        <v>3355AGSZ</v>
      </c>
      <c r="B2159" s="1" t="s">
        <v>4172</v>
      </c>
      <c r="C2159" s="9" t="s">
        <v>457</v>
      </c>
      <c r="D2159" s="14" t="s">
        <v>4173</v>
      </c>
      <c r="E2159" s="9" t="s">
        <v>8</v>
      </c>
    </row>
    <row r="2160" spans="1:5" ht="15" customHeight="1" outlineLevel="2" x14ac:dyDescent="0.25">
      <c r="A2160" s="3" t="str">
        <f>HYPERLINK("http://mystore1.ru/price_items/search?utf8=%E2%9C%93&amp;oem=3355BGSHBW","3355BGSHBW")</f>
        <v>3355BGSHBW</v>
      </c>
      <c r="B2160" s="1" t="s">
        <v>4174</v>
      </c>
      <c r="C2160" s="9" t="s">
        <v>457</v>
      </c>
      <c r="D2160" s="14" t="s">
        <v>4175</v>
      </c>
      <c r="E2160" s="9" t="s">
        <v>30</v>
      </c>
    </row>
    <row r="2161" spans="1:5" ht="15" customHeight="1" outlineLevel="2" x14ac:dyDescent="0.25">
      <c r="A2161" s="3" t="str">
        <f>HYPERLINK("http://mystore1.ru/price_items/search?utf8=%E2%9C%93&amp;oem=3355LGSH5FD","3355LGSH5FD")</f>
        <v>3355LGSH5FD</v>
      </c>
      <c r="B2161" s="1" t="s">
        <v>4176</v>
      </c>
      <c r="C2161" s="9" t="s">
        <v>457</v>
      </c>
      <c r="D2161" s="14" t="s">
        <v>4177</v>
      </c>
      <c r="E2161" s="9" t="s">
        <v>11</v>
      </c>
    </row>
    <row r="2162" spans="1:5" ht="15" customHeight="1" outlineLevel="2" x14ac:dyDescent="0.25">
      <c r="A2162" s="3" t="str">
        <f>HYPERLINK("http://mystore1.ru/price_items/search?utf8=%E2%9C%93&amp;oem=3355LGSH5RDW","3355LGSH5RDW")</f>
        <v>3355LGSH5RDW</v>
      </c>
      <c r="B2162" s="1" t="s">
        <v>4178</v>
      </c>
      <c r="C2162" s="9" t="s">
        <v>457</v>
      </c>
      <c r="D2162" s="14" t="s">
        <v>4179</v>
      </c>
      <c r="E2162" s="9" t="s">
        <v>11</v>
      </c>
    </row>
    <row r="2163" spans="1:5" ht="15" customHeight="1" outlineLevel="2" x14ac:dyDescent="0.25">
      <c r="A2163" s="3" t="str">
        <f>HYPERLINK("http://mystore1.ru/price_items/search?utf8=%E2%9C%93&amp;oem=3355LGSH5RQZ","3355LGSH5RQZ")</f>
        <v>3355LGSH5RQZ</v>
      </c>
      <c r="B2163" s="1" t="s">
        <v>4180</v>
      </c>
      <c r="C2163" s="9" t="s">
        <v>457</v>
      </c>
      <c r="D2163" s="14" t="s">
        <v>4181</v>
      </c>
      <c r="E2163" s="9" t="s">
        <v>11</v>
      </c>
    </row>
    <row r="2164" spans="1:5" ht="15" customHeight="1" outlineLevel="2" x14ac:dyDescent="0.25">
      <c r="A2164" s="3" t="str">
        <f>HYPERLINK("http://mystore1.ru/price_items/search?utf8=%E2%9C%93&amp;oem=3355RGSH5FD","3355RGSH5FD")</f>
        <v>3355RGSH5FD</v>
      </c>
      <c r="B2164" s="1" t="s">
        <v>4182</v>
      </c>
      <c r="C2164" s="9" t="s">
        <v>457</v>
      </c>
      <c r="D2164" s="14" t="s">
        <v>4183</v>
      </c>
      <c r="E2164" s="9" t="s">
        <v>11</v>
      </c>
    </row>
    <row r="2165" spans="1:5" ht="15" customHeight="1" outlineLevel="2" x14ac:dyDescent="0.25">
      <c r="A2165" s="3" t="str">
        <f>HYPERLINK("http://mystore1.ru/price_items/search?utf8=%E2%9C%93&amp;oem=3355RGSH5RDW","3355RGSH5RDW")</f>
        <v>3355RGSH5RDW</v>
      </c>
      <c r="B2165" s="1" t="s">
        <v>4184</v>
      </c>
      <c r="C2165" s="9" t="s">
        <v>457</v>
      </c>
      <c r="D2165" s="14" t="s">
        <v>4185</v>
      </c>
      <c r="E2165" s="9" t="s">
        <v>11</v>
      </c>
    </row>
    <row r="2166" spans="1:5" ht="15" customHeight="1" outlineLevel="2" x14ac:dyDescent="0.25">
      <c r="A2166" s="3" t="str">
        <f>HYPERLINK("http://mystore1.ru/price_items/search?utf8=%E2%9C%93&amp;oem=3355RGSH5RQZ","3355RGSH5RQZ")</f>
        <v>3355RGSH5RQZ</v>
      </c>
      <c r="B2166" s="1" t="s">
        <v>4186</v>
      </c>
      <c r="C2166" s="9" t="s">
        <v>457</v>
      </c>
      <c r="D2166" s="14" t="s">
        <v>4187</v>
      </c>
      <c r="E2166" s="9" t="s">
        <v>11</v>
      </c>
    </row>
    <row r="2167" spans="1:5" outlineLevel="1" x14ac:dyDescent="0.25">
      <c r="A2167" s="2"/>
      <c r="B2167" s="6" t="s">
        <v>4188</v>
      </c>
      <c r="C2167" s="8"/>
      <c r="D2167" s="8"/>
      <c r="E2167" s="8"/>
    </row>
    <row r="2168" spans="1:5" ht="15" customHeight="1" outlineLevel="2" x14ac:dyDescent="0.25">
      <c r="A2168" s="3" t="str">
        <f>HYPERLINK("http://mystore1.ru/price_items/search?utf8=%E2%9C%93&amp;oem=3356AGSZ","3356AGSZ")</f>
        <v>3356AGSZ</v>
      </c>
      <c r="B2168" s="1" t="s">
        <v>4189</v>
      </c>
      <c r="C2168" s="9" t="s">
        <v>457</v>
      </c>
      <c r="D2168" s="14" t="s">
        <v>4190</v>
      </c>
      <c r="E2168" s="9" t="s">
        <v>8</v>
      </c>
    </row>
    <row r="2169" spans="1:5" ht="15" customHeight="1" outlineLevel="2" x14ac:dyDescent="0.25">
      <c r="A2169" s="3" t="str">
        <f>HYPERLINK("http://mystore1.ru/price_items/search?utf8=%E2%9C%93&amp;oem=3356BGSHBW","3356BGSHBW")</f>
        <v>3356BGSHBW</v>
      </c>
      <c r="B2169" s="1" t="s">
        <v>4191</v>
      </c>
      <c r="C2169" s="9" t="s">
        <v>457</v>
      </c>
      <c r="D2169" s="14" t="s">
        <v>4175</v>
      </c>
      <c r="E2169" s="9" t="s">
        <v>30</v>
      </c>
    </row>
    <row r="2170" spans="1:5" ht="15" customHeight="1" outlineLevel="2" x14ac:dyDescent="0.25">
      <c r="A2170" s="3" t="str">
        <f>HYPERLINK("http://mystore1.ru/price_items/search?utf8=%E2%9C%93&amp;oem=3356BGSHBW1H","3356BGSHBW1H")</f>
        <v>3356BGSHBW1H</v>
      </c>
      <c r="B2170" s="1" t="s">
        <v>4192</v>
      </c>
      <c r="C2170" s="9" t="s">
        <v>457</v>
      </c>
      <c r="D2170" s="14" t="s">
        <v>4193</v>
      </c>
      <c r="E2170" s="9" t="s">
        <v>30</v>
      </c>
    </row>
    <row r="2171" spans="1:5" ht="15" customHeight="1" outlineLevel="2" x14ac:dyDescent="0.25">
      <c r="A2171" s="3" t="str">
        <f>HYPERLINK("http://mystore1.ru/price_items/search?utf8=%E2%9C%93&amp;oem=3356LGSH3FD","3356LGSH3FD")</f>
        <v>3356LGSH3FD</v>
      </c>
      <c r="B2171" s="1" t="s">
        <v>4194</v>
      </c>
      <c r="C2171" s="9" t="s">
        <v>457</v>
      </c>
      <c r="D2171" s="14" t="s">
        <v>4177</v>
      </c>
      <c r="E2171" s="9" t="s">
        <v>11</v>
      </c>
    </row>
    <row r="2172" spans="1:5" ht="15" customHeight="1" outlineLevel="2" x14ac:dyDescent="0.25">
      <c r="A2172" s="3" t="str">
        <f>HYPERLINK("http://mystore1.ru/price_items/search?utf8=%E2%9C%93&amp;oem=3356LGSH3RQZ","3356LGSH3RQZ")</f>
        <v>3356LGSH3RQZ</v>
      </c>
      <c r="B2172" s="1" t="s">
        <v>4195</v>
      </c>
      <c r="C2172" s="9" t="s">
        <v>457</v>
      </c>
      <c r="D2172" s="14" t="s">
        <v>4181</v>
      </c>
      <c r="E2172" s="9" t="s">
        <v>11</v>
      </c>
    </row>
    <row r="2173" spans="1:5" ht="15" customHeight="1" outlineLevel="2" x14ac:dyDescent="0.25">
      <c r="A2173" s="3" t="str">
        <f>HYPERLINK("http://mystore1.ru/price_items/search?utf8=%E2%9C%93&amp;oem=3356RGSH3FD","3356RGSH3FD")</f>
        <v>3356RGSH3FD</v>
      </c>
      <c r="B2173" s="1" t="s">
        <v>4196</v>
      </c>
      <c r="C2173" s="9" t="s">
        <v>457</v>
      </c>
      <c r="D2173" s="14" t="s">
        <v>4183</v>
      </c>
      <c r="E2173" s="9" t="s">
        <v>11</v>
      </c>
    </row>
    <row r="2174" spans="1:5" ht="15" customHeight="1" outlineLevel="2" x14ac:dyDescent="0.25">
      <c r="A2174" s="3" t="str">
        <f>HYPERLINK("http://mystore1.ru/price_items/search?utf8=%E2%9C%93&amp;oem=3356RGSH3RQZ","3356RGSH3RQZ")</f>
        <v>3356RGSH3RQZ</v>
      </c>
      <c r="B2174" s="1" t="s">
        <v>4197</v>
      </c>
      <c r="C2174" s="9" t="s">
        <v>457</v>
      </c>
      <c r="D2174" s="14" t="s">
        <v>4187</v>
      </c>
      <c r="E2174" s="9" t="s">
        <v>11</v>
      </c>
    </row>
    <row r="2175" spans="1:5" outlineLevel="1" x14ac:dyDescent="0.25">
      <c r="A2175" s="2"/>
      <c r="B2175" s="6" t="s">
        <v>4198</v>
      </c>
      <c r="C2175" s="8"/>
      <c r="D2175" s="8"/>
      <c r="E2175" s="8"/>
    </row>
    <row r="2176" spans="1:5" ht="15" customHeight="1" outlineLevel="2" x14ac:dyDescent="0.25">
      <c r="A2176" s="3" t="str">
        <f>HYPERLINK("http://mystore1.ru/price_items/search?utf8=%E2%9C%93&amp;oem=3332ACL","3332ACL")</f>
        <v>3332ACL</v>
      </c>
      <c r="B2176" s="1" t="s">
        <v>4199</v>
      </c>
      <c r="C2176" s="9" t="s">
        <v>4200</v>
      </c>
      <c r="D2176" s="14" t="s">
        <v>4201</v>
      </c>
      <c r="E2176" s="9" t="s">
        <v>8</v>
      </c>
    </row>
    <row r="2177" spans="1:5" outlineLevel="1" x14ac:dyDescent="0.25">
      <c r="A2177" s="2"/>
      <c r="B2177" s="6" t="s">
        <v>4202</v>
      </c>
      <c r="C2177" s="8"/>
      <c r="D2177" s="8"/>
      <c r="E2177" s="8"/>
    </row>
    <row r="2178" spans="1:5" ht="15" customHeight="1" outlineLevel="2" x14ac:dyDescent="0.25">
      <c r="A2178" s="3" t="str">
        <f>HYPERLINK("http://mystore1.ru/price_items/search?utf8=%E2%9C%93&amp;oem=3742AGN","3742AGN")</f>
        <v>3742AGN</v>
      </c>
      <c r="B2178" s="1" t="s">
        <v>4203</v>
      </c>
      <c r="C2178" s="9" t="s">
        <v>1888</v>
      </c>
      <c r="D2178" s="14" t="s">
        <v>4204</v>
      </c>
      <c r="E2178" s="9" t="s">
        <v>8</v>
      </c>
    </row>
    <row r="2179" spans="1:5" outlineLevel="1" x14ac:dyDescent="0.25">
      <c r="A2179" s="2"/>
      <c r="B2179" s="6" t="s">
        <v>4205</v>
      </c>
      <c r="C2179" s="8"/>
      <c r="D2179" s="8"/>
      <c r="E2179" s="8"/>
    </row>
    <row r="2180" spans="1:5" ht="15" customHeight="1" outlineLevel="2" x14ac:dyDescent="0.25">
      <c r="A2180" s="3" t="str">
        <f>HYPERLINK("http://mystore1.ru/price_items/search?utf8=%E2%9C%93&amp;oem=3337ABS","3337ABS")</f>
        <v>3337ABS</v>
      </c>
      <c r="B2180" s="1" t="s">
        <v>4206</v>
      </c>
      <c r="C2180" s="9" t="s">
        <v>4207</v>
      </c>
      <c r="D2180" s="14" t="s">
        <v>4208</v>
      </c>
      <c r="E2180" s="9" t="s">
        <v>8</v>
      </c>
    </row>
    <row r="2181" spans="1:5" ht="15" customHeight="1" outlineLevel="2" x14ac:dyDescent="0.25">
      <c r="A2181" s="3" t="str">
        <f>HYPERLINK("http://mystore1.ru/price_items/search?utf8=%E2%9C%93&amp;oem=3337ACL","3337ACL")</f>
        <v>3337ACL</v>
      </c>
      <c r="B2181" s="1" t="s">
        <v>4209</v>
      </c>
      <c r="C2181" s="9" t="s">
        <v>4207</v>
      </c>
      <c r="D2181" s="14" t="s">
        <v>4210</v>
      </c>
      <c r="E2181" s="9" t="s">
        <v>8</v>
      </c>
    </row>
    <row r="2182" spans="1:5" ht="15" customHeight="1" outlineLevel="2" x14ac:dyDescent="0.25">
      <c r="A2182" s="3" t="str">
        <f>HYPERLINK("http://mystore1.ru/price_items/search?utf8=%E2%9C%93&amp;oem=3337AGN","3337AGN")</f>
        <v>3337AGN</v>
      </c>
      <c r="B2182" s="1" t="s">
        <v>4211</v>
      </c>
      <c r="C2182" s="9" t="s">
        <v>4207</v>
      </c>
      <c r="D2182" s="14" t="s">
        <v>4212</v>
      </c>
      <c r="E2182" s="9" t="s">
        <v>8</v>
      </c>
    </row>
    <row r="2183" spans="1:5" ht="15" customHeight="1" outlineLevel="2" x14ac:dyDescent="0.25">
      <c r="A2183" s="3" t="str">
        <f>HYPERLINK("http://mystore1.ru/price_items/search?utf8=%E2%9C%93&amp;oem=3337AGNGN","3337AGNGN")</f>
        <v>3337AGNGN</v>
      </c>
      <c r="B2183" s="1" t="s">
        <v>4213</v>
      </c>
      <c r="C2183" s="9" t="s">
        <v>4207</v>
      </c>
      <c r="D2183" s="14" t="s">
        <v>4214</v>
      </c>
      <c r="E2183" s="9" t="s">
        <v>8</v>
      </c>
    </row>
    <row r="2184" spans="1:5" ht="15" customHeight="1" outlineLevel="2" x14ac:dyDescent="0.25">
      <c r="A2184" s="3" t="str">
        <f>HYPERLINK("http://mystore1.ru/price_items/search?utf8=%E2%9C%93&amp;oem=3337AKGH","3337AKGH")</f>
        <v>3337AKGH</v>
      </c>
      <c r="B2184" s="1" t="s">
        <v>4215</v>
      </c>
      <c r="C2184" s="9" t="s">
        <v>25</v>
      </c>
      <c r="D2184" s="14" t="s">
        <v>4216</v>
      </c>
      <c r="E2184" s="9" t="s">
        <v>27</v>
      </c>
    </row>
    <row r="2185" spans="1:5" ht="15" customHeight="1" outlineLevel="2" x14ac:dyDescent="0.25">
      <c r="A2185" s="3" t="str">
        <f>HYPERLINK("http://mystore1.ru/price_items/search?utf8=%E2%9C%93&amp;oem=3337AKMH","3337AKMH")</f>
        <v>3337AKMH</v>
      </c>
      <c r="B2185" s="1" t="s">
        <v>4217</v>
      </c>
      <c r="C2185" s="9" t="s">
        <v>25</v>
      </c>
      <c r="D2185" s="14" t="s">
        <v>4216</v>
      </c>
      <c r="E2185" s="9" t="s">
        <v>27</v>
      </c>
    </row>
    <row r="2186" spans="1:5" ht="15" customHeight="1" outlineLevel="2" x14ac:dyDescent="0.25">
      <c r="A2186" s="3" t="str">
        <f>HYPERLINK("http://mystore1.ru/price_items/search?utf8=%E2%9C%93&amp;oem=3337BCLH","3337BCLH")</f>
        <v>3337BCLH</v>
      </c>
      <c r="B2186" s="1" t="s">
        <v>4218</v>
      </c>
      <c r="C2186" s="9" t="s">
        <v>4207</v>
      </c>
      <c r="D2186" s="14" t="s">
        <v>4219</v>
      </c>
      <c r="E2186" s="9" t="s">
        <v>30</v>
      </c>
    </row>
    <row r="2187" spans="1:5" ht="15" customHeight="1" outlineLevel="2" x14ac:dyDescent="0.25">
      <c r="A2187" s="3" t="str">
        <f>HYPERLINK("http://mystore1.ru/price_items/search?utf8=%E2%9C%93&amp;oem=3337BGNH","3337BGNH")</f>
        <v>3337BGNH</v>
      </c>
      <c r="B2187" s="1" t="s">
        <v>4220</v>
      </c>
      <c r="C2187" s="9" t="s">
        <v>4207</v>
      </c>
      <c r="D2187" s="14" t="s">
        <v>4221</v>
      </c>
      <c r="E2187" s="9" t="s">
        <v>30</v>
      </c>
    </row>
    <row r="2188" spans="1:5" ht="15" customHeight="1" outlineLevel="2" x14ac:dyDescent="0.25">
      <c r="A2188" s="3" t="str">
        <f>HYPERLINK("http://mystore1.ru/price_items/search?utf8=%E2%9C%93&amp;oem=3337BGNS1H","3337BGNS1H")</f>
        <v>3337BGNS1H</v>
      </c>
      <c r="B2188" s="1" t="s">
        <v>4222</v>
      </c>
      <c r="C2188" s="9" t="s">
        <v>4207</v>
      </c>
      <c r="D2188" s="14" t="s">
        <v>4223</v>
      </c>
      <c r="E2188" s="9" t="s">
        <v>30</v>
      </c>
    </row>
    <row r="2189" spans="1:5" ht="15" customHeight="1" outlineLevel="2" x14ac:dyDescent="0.25">
      <c r="A2189" s="3" t="str">
        <f>HYPERLINK("http://mystore1.ru/price_items/search?utf8=%E2%9C%93&amp;oem=3337BKMH","3337BKMH")</f>
        <v>3337BKMH</v>
      </c>
      <c r="B2189" s="1" t="s">
        <v>4224</v>
      </c>
      <c r="C2189" s="9" t="s">
        <v>25</v>
      </c>
      <c r="D2189" s="14" t="s">
        <v>4225</v>
      </c>
      <c r="E2189" s="9" t="s">
        <v>27</v>
      </c>
    </row>
    <row r="2190" spans="1:5" ht="15" customHeight="1" outlineLevel="2" x14ac:dyDescent="0.25">
      <c r="A2190" s="3" t="str">
        <f>HYPERLINK("http://mystore1.ru/price_items/search?utf8=%E2%9C%93&amp;oem=3337LCLH5FDW","3337LCLH5FDW")</f>
        <v>3337LCLH5FDW</v>
      </c>
      <c r="B2190" s="1" t="s">
        <v>4226</v>
      </c>
      <c r="C2190" s="9" t="s">
        <v>4207</v>
      </c>
      <c r="D2190" s="14" t="s">
        <v>4227</v>
      </c>
      <c r="E2190" s="9" t="s">
        <v>11</v>
      </c>
    </row>
    <row r="2191" spans="1:5" ht="15" customHeight="1" outlineLevel="2" x14ac:dyDescent="0.25">
      <c r="A2191" s="3" t="str">
        <f>HYPERLINK("http://mystore1.ru/price_items/search?utf8=%E2%9C%93&amp;oem=3337LCLH5RDW","3337LCLH5RDW")</f>
        <v>3337LCLH5RDW</v>
      </c>
      <c r="B2191" s="1" t="s">
        <v>4228</v>
      </c>
      <c r="C2191" s="9" t="s">
        <v>4207</v>
      </c>
      <c r="D2191" s="14" t="s">
        <v>4229</v>
      </c>
      <c r="E2191" s="9" t="s">
        <v>11</v>
      </c>
    </row>
    <row r="2192" spans="1:5" ht="15" customHeight="1" outlineLevel="2" x14ac:dyDescent="0.25">
      <c r="A2192" s="3" t="str">
        <f>HYPERLINK("http://mystore1.ru/price_items/search?utf8=%E2%9C%93&amp;oem=3337LCLH5RV","3337LCLH5RV")</f>
        <v>3337LCLH5RV</v>
      </c>
      <c r="B2192" s="1" t="s">
        <v>4230</v>
      </c>
      <c r="C2192" s="9" t="s">
        <v>4207</v>
      </c>
      <c r="D2192" s="14" t="s">
        <v>4231</v>
      </c>
      <c r="E2192" s="9" t="s">
        <v>11</v>
      </c>
    </row>
    <row r="2193" spans="1:5" ht="15" customHeight="1" outlineLevel="2" x14ac:dyDescent="0.25">
      <c r="A2193" s="3" t="str">
        <f>HYPERLINK("http://mystore1.ru/price_items/search?utf8=%E2%9C%93&amp;oem=3337LGNH5FDW","3337LGNH5FDW")</f>
        <v>3337LGNH5FDW</v>
      </c>
      <c r="B2193" s="1" t="s">
        <v>4232</v>
      </c>
      <c r="C2193" s="9" t="s">
        <v>4207</v>
      </c>
      <c r="D2193" s="14" t="s">
        <v>4233</v>
      </c>
      <c r="E2193" s="9" t="s">
        <v>11</v>
      </c>
    </row>
    <row r="2194" spans="1:5" ht="15" customHeight="1" outlineLevel="2" x14ac:dyDescent="0.25">
      <c r="A2194" s="3" t="str">
        <f>HYPERLINK("http://mystore1.ru/price_items/search?utf8=%E2%9C%93&amp;oem=3337LGNH5RDW","3337LGNH5RDW")</f>
        <v>3337LGNH5RDW</v>
      </c>
      <c r="B2194" s="1" t="s">
        <v>4234</v>
      </c>
      <c r="C2194" s="9" t="s">
        <v>4207</v>
      </c>
      <c r="D2194" s="14" t="s">
        <v>4235</v>
      </c>
      <c r="E2194" s="9" t="s">
        <v>11</v>
      </c>
    </row>
    <row r="2195" spans="1:5" ht="15" customHeight="1" outlineLevel="2" x14ac:dyDescent="0.25">
      <c r="A2195" s="3" t="str">
        <f>HYPERLINK("http://mystore1.ru/price_items/search?utf8=%E2%9C%93&amp;oem=3337LGNH5RV","3337LGNH5RV")</f>
        <v>3337LGNH5RV</v>
      </c>
      <c r="B2195" s="1" t="s">
        <v>4236</v>
      </c>
      <c r="C2195" s="9" t="s">
        <v>4207</v>
      </c>
      <c r="D2195" s="14" t="s">
        <v>4237</v>
      </c>
      <c r="E2195" s="9" t="s">
        <v>11</v>
      </c>
    </row>
    <row r="2196" spans="1:5" ht="15" customHeight="1" outlineLevel="2" x14ac:dyDescent="0.25">
      <c r="A2196" s="3" t="str">
        <f>HYPERLINK("http://mystore1.ru/price_items/search?utf8=%E2%9C%93&amp;oem=3337RCLH5FDW","3337RCLH5FDW")</f>
        <v>3337RCLH5FDW</v>
      </c>
      <c r="B2196" s="1" t="s">
        <v>4238</v>
      </c>
      <c r="C2196" s="9" t="s">
        <v>4207</v>
      </c>
      <c r="D2196" s="14" t="s">
        <v>4239</v>
      </c>
      <c r="E2196" s="9" t="s">
        <v>11</v>
      </c>
    </row>
    <row r="2197" spans="1:5" ht="15" customHeight="1" outlineLevel="2" x14ac:dyDescent="0.25">
      <c r="A2197" s="3" t="str">
        <f>HYPERLINK("http://mystore1.ru/price_items/search?utf8=%E2%9C%93&amp;oem=3337RCLH5RDW","3337RCLH5RDW")</f>
        <v>3337RCLH5RDW</v>
      </c>
      <c r="B2197" s="1" t="s">
        <v>4240</v>
      </c>
      <c r="C2197" s="9" t="s">
        <v>4207</v>
      </c>
      <c r="D2197" s="14" t="s">
        <v>4241</v>
      </c>
      <c r="E2197" s="9" t="s">
        <v>11</v>
      </c>
    </row>
    <row r="2198" spans="1:5" ht="15" customHeight="1" outlineLevel="2" x14ac:dyDescent="0.25">
      <c r="A2198" s="3" t="str">
        <f>HYPERLINK("http://mystore1.ru/price_items/search?utf8=%E2%9C%93&amp;oem=3337RCLH5RV","3337RCLH5RV")</f>
        <v>3337RCLH5RV</v>
      </c>
      <c r="B2198" s="1" t="s">
        <v>4242</v>
      </c>
      <c r="C2198" s="9" t="s">
        <v>4207</v>
      </c>
      <c r="D2198" s="14" t="s">
        <v>4243</v>
      </c>
      <c r="E2198" s="9" t="s">
        <v>11</v>
      </c>
    </row>
    <row r="2199" spans="1:5" ht="15" customHeight="1" outlineLevel="2" x14ac:dyDescent="0.25">
      <c r="A2199" s="3" t="str">
        <f>HYPERLINK("http://mystore1.ru/price_items/search?utf8=%E2%9C%93&amp;oem=3337RGNH5FDW","3337RGNH5FDW")</f>
        <v>3337RGNH5FDW</v>
      </c>
      <c r="B2199" s="1" t="s">
        <v>4244</v>
      </c>
      <c r="C2199" s="9" t="s">
        <v>4207</v>
      </c>
      <c r="D2199" s="14" t="s">
        <v>4245</v>
      </c>
      <c r="E2199" s="9" t="s">
        <v>11</v>
      </c>
    </row>
    <row r="2200" spans="1:5" ht="15" customHeight="1" outlineLevel="2" x14ac:dyDescent="0.25">
      <c r="A2200" s="3" t="str">
        <f>HYPERLINK("http://mystore1.ru/price_items/search?utf8=%E2%9C%93&amp;oem=3337RGNH5RDW","3337RGNH5RDW")</f>
        <v>3337RGNH5RDW</v>
      </c>
      <c r="B2200" s="1" t="s">
        <v>4246</v>
      </c>
      <c r="C2200" s="9" t="s">
        <v>4207</v>
      </c>
      <c r="D2200" s="14" t="s">
        <v>4247</v>
      </c>
      <c r="E2200" s="9" t="s">
        <v>11</v>
      </c>
    </row>
    <row r="2201" spans="1:5" ht="15" customHeight="1" outlineLevel="2" x14ac:dyDescent="0.25">
      <c r="A2201" s="3" t="str">
        <f>HYPERLINK("http://mystore1.ru/price_items/search?utf8=%E2%9C%93&amp;oem=3337RGNH5RV","3337RGNH5RV")</f>
        <v>3337RGNH5RV</v>
      </c>
      <c r="B2201" s="1" t="s">
        <v>4248</v>
      </c>
      <c r="C2201" s="9" t="s">
        <v>4207</v>
      </c>
      <c r="D2201" s="14" t="s">
        <v>4249</v>
      </c>
      <c r="E2201" s="9" t="s">
        <v>11</v>
      </c>
    </row>
    <row r="2202" spans="1:5" outlineLevel="1" x14ac:dyDescent="0.25">
      <c r="A2202" s="2"/>
      <c r="B2202" s="6" t="s">
        <v>4250</v>
      </c>
      <c r="C2202" s="8"/>
      <c r="D2202" s="8"/>
      <c r="E2202" s="8"/>
    </row>
    <row r="2203" spans="1:5" ht="15" customHeight="1" outlineLevel="2" x14ac:dyDescent="0.25">
      <c r="A2203" s="3" t="str">
        <f>HYPERLINK("http://mystore1.ru/price_items/search?utf8=%E2%9C%93&amp;oem=3357AGSMVZ","3357AGSMVZ")</f>
        <v>3357AGSMVZ</v>
      </c>
      <c r="B2203" s="1" t="s">
        <v>4251</v>
      </c>
      <c r="C2203" s="9" t="s">
        <v>4252</v>
      </c>
      <c r="D2203" s="14" t="s">
        <v>4253</v>
      </c>
      <c r="E2203" s="9" t="s">
        <v>8</v>
      </c>
    </row>
    <row r="2204" spans="1:5" ht="15" customHeight="1" outlineLevel="2" x14ac:dyDescent="0.25">
      <c r="A2204" s="3" t="str">
        <f>HYPERLINK("http://mystore1.ru/price_items/search?utf8=%E2%9C%93&amp;oem=3357AGSMVZ1T","3357AGSMVZ1T")</f>
        <v>3357AGSMVZ1T</v>
      </c>
      <c r="B2204" s="1" t="s">
        <v>4254</v>
      </c>
      <c r="C2204" s="9" t="s">
        <v>4252</v>
      </c>
      <c r="D2204" s="14" t="s">
        <v>4255</v>
      </c>
      <c r="E2204" s="9" t="s">
        <v>8</v>
      </c>
    </row>
    <row r="2205" spans="1:5" ht="15" customHeight="1" outlineLevel="2" x14ac:dyDescent="0.25">
      <c r="A2205" s="3" t="str">
        <f>HYPERLINK("http://mystore1.ru/price_items/search?utf8=%E2%9C%93&amp;oem=3357AGSVZ","3357AGSVZ")</f>
        <v>3357AGSVZ</v>
      </c>
      <c r="B2205" s="1" t="s">
        <v>4256</v>
      </c>
      <c r="C2205" s="9" t="s">
        <v>4252</v>
      </c>
      <c r="D2205" s="14" t="s">
        <v>4257</v>
      </c>
      <c r="E2205" s="9" t="s">
        <v>8</v>
      </c>
    </row>
    <row r="2206" spans="1:5" ht="15" customHeight="1" outlineLevel="2" x14ac:dyDescent="0.25">
      <c r="A2206" s="3" t="str">
        <f>HYPERLINK("http://mystore1.ru/price_items/search?utf8=%E2%9C%93&amp;oem=3357LGSV5RD","3357LGSV5RD")</f>
        <v>3357LGSV5RD</v>
      </c>
      <c r="B2206" s="1" t="s">
        <v>4258</v>
      </c>
      <c r="C2206" s="9" t="s">
        <v>4252</v>
      </c>
      <c r="D2206" s="14" t="s">
        <v>4259</v>
      </c>
      <c r="E2206" s="9" t="s">
        <v>11</v>
      </c>
    </row>
    <row r="2207" spans="1:5" ht="15" customHeight="1" outlineLevel="2" x14ac:dyDescent="0.25">
      <c r="A2207" s="3" t="str">
        <f>HYPERLINK("http://mystore1.ru/price_items/search?utf8=%E2%9C%93&amp;oem=3357RGSV5FD","3357RGSV5FD")</f>
        <v>3357RGSV5FD</v>
      </c>
      <c r="B2207" s="1" t="s">
        <v>4260</v>
      </c>
      <c r="C2207" s="9" t="s">
        <v>4252</v>
      </c>
      <c r="D2207" s="14" t="s">
        <v>4261</v>
      </c>
      <c r="E2207" s="9" t="s">
        <v>11</v>
      </c>
    </row>
    <row r="2208" spans="1:5" ht="15" customHeight="1" outlineLevel="2" x14ac:dyDescent="0.25">
      <c r="A2208" s="3" t="str">
        <f>HYPERLINK("http://mystore1.ru/price_items/search?utf8=%E2%9C%93&amp;oem=3357RGSV5RD","3357RGSV5RD")</f>
        <v>3357RGSV5RD</v>
      </c>
      <c r="B2208" s="1" t="s">
        <v>4262</v>
      </c>
      <c r="C2208" s="9" t="s">
        <v>4252</v>
      </c>
      <c r="D2208" s="14" t="s">
        <v>4263</v>
      </c>
      <c r="E2208" s="9" t="s">
        <v>11</v>
      </c>
    </row>
    <row r="2209" spans="1:5" outlineLevel="1" x14ac:dyDescent="0.25">
      <c r="A2209" s="2"/>
      <c r="B2209" s="6" t="s">
        <v>4264</v>
      </c>
      <c r="C2209" s="8"/>
      <c r="D2209" s="8"/>
      <c r="E2209" s="8"/>
    </row>
    <row r="2210" spans="1:5" ht="15" customHeight="1" outlineLevel="2" x14ac:dyDescent="0.25">
      <c r="A2210" s="3" t="str">
        <f>HYPERLINK("http://mystore1.ru/price_items/search?utf8=%E2%9C%93&amp;oem=3335ACL","3335ACL")</f>
        <v>3335ACL</v>
      </c>
      <c r="B2210" s="1" t="s">
        <v>4265</v>
      </c>
      <c r="C2210" s="9" t="s">
        <v>4266</v>
      </c>
      <c r="D2210" s="14" t="s">
        <v>4267</v>
      </c>
      <c r="E2210" s="9" t="s">
        <v>8</v>
      </c>
    </row>
    <row r="2211" spans="1:5" ht="15" customHeight="1" outlineLevel="2" x14ac:dyDescent="0.25">
      <c r="A2211" s="3" t="str">
        <f>HYPERLINK("http://mystore1.ru/price_items/search?utf8=%E2%9C%93&amp;oem=3335AGN","3335AGN")</f>
        <v>3335AGN</v>
      </c>
      <c r="B2211" s="1" t="s">
        <v>4268</v>
      </c>
      <c r="C2211" s="9" t="s">
        <v>4266</v>
      </c>
      <c r="D2211" s="14" t="s">
        <v>4269</v>
      </c>
      <c r="E2211" s="9" t="s">
        <v>8</v>
      </c>
    </row>
    <row r="2212" spans="1:5" ht="15" customHeight="1" outlineLevel="2" x14ac:dyDescent="0.25">
      <c r="A2212" s="3" t="str">
        <f>HYPERLINK("http://mystore1.ru/price_items/search?utf8=%E2%9C%93&amp;oem=3335ASRH","3335ASRH")</f>
        <v>3335ASRH</v>
      </c>
      <c r="B2212" s="1" t="s">
        <v>4270</v>
      </c>
      <c r="C2212" s="9" t="s">
        <v>25</v>
      </c>
      <c r="D2212" s="14" t="s">
        <v>4271</v>
      </c>
      <c r="E2212" s="9" t="s">
        <v>27</v>
      </c>
    </row>
    <row r="2213" spans="1:5" ht="15" customHeight="1" outlineLevel="2" x14ac:dyDescent="0.25">
      <c r="A2213" s="3" t="str">
        <f>HYPERLINK("http://mystore1.ru/price_items/search?utf8=%E2%9C%93&amp;oem=3335BGNH","3335BGNH")</f>
        <v>3335BGNH</v>
      </c>
      <c r="B2213" s="1" t="s">
        <v>4272</v>
      </c>
      <c r="C2213" s="9" t="s">
        <v>4266</v>
      </c>
      <c r="D2213" s="14" t="s">
        <v>4273</v>
      </c>
      <c r="E2213" s="9" t="s">
        <v>30</v>
      </c>
    </row>
    <row r="2214" spans="1:5" ht="15" customHeight="1" outlineLevel="2" x14ac:dyDescent="0.25">
      <c r="A2214" s="3" t="str">
        <f>HYPERLINK("http://mystore1.ru/price_items/search?utf8=%E2%9C%93&amp;oem=3335LCLH3FDW1H","3335LCLH3FDW1H")</f>
        <v>3335LCLH3FDW1H</v>
      </c>
      <c r="B2214" s="1" t="s">
        <v>4274</v>
      </c>
      <c r="C2214" s="9" t="s">
        <v>4275</v>
      </c>
      <c r="D2214" s="14" t="s">
        <v>4276</v>
      </c>
      <c r="E2214" s="9" t="s">
        <v>11</v>
      </c>
    </row>
    <row r="2215" spans="1:5" ht="15" customHeight="1" outlineLevel="2" x14ac:dyDescent="0.25">
      <c r="A2215" s="3" t="str">
        <f>HYPERLINK("http://mystore1.ru/price_items/search?utf8=%E2%9C%93&amp;oem=3335LCLH3RQ","3335LCLH3RQ")</f>
        <v>3335LCLH3RQ</v>
      </c>
      <c r="B2215" s="1" t="s">
        <v>4277</v>
      </c>
      <c r="C2215" s="9" t="s">
        <v>4266</v>
      </c>
      <c r="D2215" s="14" t="s">
        <v>4278</v>
      </c>
      <c r="E2215" s="9" t="s">
        <v>11</v>
      </c>
    </row>
    <row r="2216" spans="1:5" ht="15" customHeight="1" outlineLevel="2" x14ac:dyDescent="0.25">
      <c r="A2216" s="3" t="str">
        <f>HYPERLINK("http://mystore1.ru/price_items/search?utf8=%E2%9C%93&amp;oem=3335LCLH5FDW","3335LCLH5FDW")</f>
        <v>3335LCLH5FDW</v>
      </c>
      <c r="B2216" s="1" t="s">
        <v>4279</v>
      </c>
      <c r="C2216" s="9" t="s">
        <v>4275</v>
      </c>
      <c r="D2216" s="14" t="s">
        <v>4280</v>
      </c>
      <c r="E2216" s="9" t="s">
        <v>11</v>
      </c>
    </row>
    <row r="2217" spans="1:5" ht="15" customHeight="1" outlineLevel="2" x14ac:dyDescent="0.25">
      <c r="A2217" s="3" t="str">
        <f>HYPERLINK("http://mystore1.ru/price_items/search?utf8=%E2%9C%93&amp;oem=3335LCLH5RDW","3335LCLH5RDW")</f>
        <v>3335LCLH5RDW</v>
      </c>
      <c r="B2217" s="1" t="s">
        <v>4281</v>
      </c>
      <c r="C2217" s="9" t="s">
        <v>4275</v>
      </c>
      <c r="D2217" s="14" t="s">
        <v>4282</v>
      </c>
      <c r="E2217" s="9" t="s">
        <v>11</v>
      </c>
    </row>
    <row r="2218" spans="1:5" ht="15" customHeight="1" outlineLevel="2" x14ac:dyDescent="0.25">
      <c r="A2218" s="3" t="str">
        <f>HYPERLINK("http://mystore1.ru/price_items/search?utf8=%E2%9C%93&amp;oem=3335LCLH5RQ","3335LCLH5RQ")</f>
        <v>3335LCLH5RQ</v>
      </c>
      <c r="B2218" s="1" t="s">
        <v>4283</v>
      </c>
      <c r="C2218" s="9" t="s">
        <v>4266</v>
      </c>
      <c r="D2218" s="14" t="s">
        <v>4284</v>
      </c>
      <c r="E2218" s="9" t="s">
        <v>11</v>
      </c>
    </row>
    <row r="2219" spans="1:5" ht="15" customHeight="1" outlineLevel="2" x14ac:dyDescent="0.25">
      <c r="A2219" s="3" t="str">
        <f>HYPERLINK("http://mystore1.ru/price_items/search?utf8=%E2%9C%93&amp;oem=3335LGNH3FDW1H","3335LGNH3FDW1H")</f>
        <v>3335LGNH3FDW1H</v>
      </c>
      <c r="B2219" s="1" t="s">
        <v>4285</v>
      </c>
      <c r="C2219" s="9" t="s">
        <v>4275</v>
      </c>
      <c r="D2219" s="14" t="s">
        <v>4286</v>
      </c>
      <c r="E2219" s="9" t="s">
        <v>11</v>
      </c>
    </row>
    <row r="2220" spans="1:5" ht="15" customHeight="1" outlineLevel="2" x14ac:dyDescent="0.25">
      <c r="A2220" s="3" t="str">
        <f>HYPERLINK("http://mystore1.ru/price_items/search?utf8=%E2%9C%93&amp;oem=3335LGNH5FDW","3335LGNH5FDW")</f>
        <v>3335LGNH5FDW</v>
      </c>
      <c r="B2220" s="1" t="s">
        <v>4287</v>
      </c>
      <c r="C2220" s="9" t="s">
        <v>4275</v>
      </c>
      <c r="D2220" s="14" t="s">
        <v>4288</v>
      </c>
      <c r="E2220" s="9" t="s">
        <v>11</v>
      </c>
    </row>
    <row r="2221" spans="1:5" ht="15" customHeight="1" outlineLevel="2" x14ac:dyDescent="0.25">
      <c r="A2221" s="3" t="str">
        <f>HYPERLINK("http://mystore1.ru/price_items/search?utf8=%E2%9C%93&amp;oem=3335RCLH3FDW1H","3335RCLH3FDW1H")</f>
        <v>3335RCLH3FDW1H</v>
      </c>
      <c r="B2221" s="1" t="s">
        <v>4289</v>
      </c>
      <c r="C2221" s="9" t="s">
        <v>4275</v>
      </c>
      <c r="D2221" s="14" t="s">
        <v>4290</v>
      </c>
      <c r="E2221" s="9" t="s">
        <v>11</v>
      </c>
    </row>
    <row r="2222" spans="1:5" ht="15" customHeight="1" outlineLevel="2" x14ac:dyDescent="0.25">
      <c r="A2222" s="3" t="str">
        <f>HYPERLINK("http://mystore1.ru/price_items/search?utf8=%E2%9C%93&amp;oem=3335RCLH3RQ","3335RCLH3RQ")</f>
        <v>3335RCLH3RQ</v>
      </c>
      <c r="B2222" s="1" t="s">
        <v>4291</v>
      </c>
      <c r="C2222" s="9" t="s">
        <v>4266</v>
      </c>
      <c r="D2222" s="14" t="s">
        <v>4292</v>
      </c>
      <c r="E2222" s="9" t="s">
        <v>11</v>
      </c>
    </row>
    <row r="2223" spans="1:5" ht="15" customHeight="1" outlineLevel="2" x14ac:dyDescent="0.25">
      <c r="A2223" s="3" t="str">
        <f>HYPERLINK("http://mystore1.ru/price_items/search?utf8=%E2%9C%93&amp;oem=3335RCLH5FDW","3335RCLH5FDW")</f>
        <v>3335RCLH5FDW</v>
      </c>
      <c r="B2223" s="1" t="s">
        <v>4293</v>
      </c>
      <c r="C2223" s="9" t="s">
        <v>4275</v>
      </c>
      <c r="D2223" s="14" t="s">
        <v>4294</v>
      </c>
      <c r="E2223" s="9" t="s">
        <v>11</v>
      </c>
    </row>
    <row r="2224" spans="1:5" ht="15" customHeight="1" outlineLevel="2" x14ac:dyDescent="0.25">
      <c r="A2224" s="3" t="str">
        <f>HYPERLINK("http://mystore1.ru/price_items/search?utf8=%E2%9C%93&amp;oem=3335RCLH5RDW","3335RCLH5RDW")</f>
        <v>3335RCLH5RDW</v>
      </c>
      <c r="B2224" s="1" t="s">
        <v>4295</v>
      </c>
      <c r="C2224" s="9" t="s">
        <v>4275</v>
      </c>
      <c r="D2224" s="14" t="s">
        <v>4296</v>
      </c>
      <c r="E2224" s="9" t="s">
        <v>11</v>
      </c>
    </row>
    <row r="2225" spans="1:5" ht="15" customHeight="1" outlineLevel="2" x14ac:dyDescent="0.25">
      <c r="A2225" s="3" t="str">
        <f>HYPERLINK("http://mystore1.ru/price_items/search?utf8=%E2%9C%93&amp;oem=3335RCLH5RQ","3335RCLH5RQ")</f>
        <v>3335RCLH5RQ</v>
      </c>
      <c r="B2225" s="1" t="s">
        <v>4297</v>
      </c>
      <c r="C2225" s="9" t="s">
        <v>4266</v>
      </c>
      <c r="D2225" s="14" t="s">
        <v>4298</v>
      </c>
      <c r="E2225" s="9" t="s">
        <v>11</v>
      </c>
    </row>
    <row r="2226" spans="1:5" ht="15" customHeight="1" outlineLevel="2" x14ac:dyDescent="0.25">
      <c r="A2226" s="3" t="str">
        <f>HYPERLINK("http://mystore1.ru/price_items/search?utf8=%E2%9C%93&amp;oem=3335RGNH3FDW1H","3335RGNH3FDW1H")</f>
        <v>3335RGNH3FDW1H</v>
      </c>
      <c r="B2226" s="1" t="s">
        <v>4299</v>
      </c>
      <c r="C2226" s="9" t="s">
        <v>4275</v>
      </c>
      <c r="D2226" s="14" t="s">
        <v>4300</v>
      </c>
      <c r="E2226" s="9" t="s">
        <v>11</v>
      </c>
    </row>
    <row r="2227" spans="1:5" ht="15" customHeight="1" outlineLevel="2" x14ac:dyDescent="0.25">
      <c r="A2227" s="3" t="str">
        <f>HYPERLINK("http://mystore1.ru/price_items/search?utf8=%E2%9C%93&amp;oem=3335RGNH5FDW","3335RGNH5FDW")</f>
        <v>3335RGNH5FDW</v>
      </c>
      <c r="B2227" s="1" t="s">
        <v>4301</v>
      </c>
      <c r="C2227" s="9" t="s">
        <v>4275</v>
      </c>
      <c r="D2227" s="14" t="s">
        <v>4302</v>
      </c>
      <c r="E2227" s="9" t="s">
        <v>11</v>
      </c>
    </row>
    <row r="2228" spans="1:5" ht="15" customHeight="1" outlineLevel="2" x14ac:dyDescent="0.25">
      <c r="A2228" s="3" t="str">
        <f>HYPERLINK("http://mystore1.ru/price_items/search?utf8=%E2%9C%93&amp;oem=3335RGNH5RDW","3335RGNH5RDW")</f>
        <v>3335RGNH5RDW</v>
      </c>
      <c r="B2228" s="1" t="s">
        <v>4303</v>
      </c>
      <c r="C2228" s="9" t="s">
        <v>4275</v>
      </c>
      <c r="D2228" s="14" t="s">
        <v>4304</v>
      </c>
      <c r="E2228" s="9" t="s">
        <v>11</v>
      </c>
    </row>
    <row r="2229" spans="1:5" outlineLevel="1" x14ac:dyDescent="0.25">
      <c r="A2229" s="2"/>
      <c r="B2229" s="6" t="s">
        <v>4305</v>
      </c>
      <c r="C2229" s="8"/>
      <c r="D2229" s="8"/>
      <c r="E2229" s="8"/>
    </row>
    <row r="2230" spans="1:5" ht="15" customHeight="1" outlineLevel="2" x14ac:dyDescent="0.25">
      <c r="A2230" s="3" t="str">
        <f>HYPERLINK("http://mystore1.ru/price_items/search?utf8=%E2%9C%93&amp;oem=3338ACL","3338ACL")</f>
        <v>3338ACL</v>
      </c>
      <c r="B2230" s="1" t="s">
        <v>4306</v>
      </c>
      <c r="C2230" s="9" t="s">
        <v>4307</v>
      </c>
      <c r="D2230" s="14" t="s">
        <v>4308</v>
      </c>
      <c r="E2230" s="9" t="s">
        <v>8</v>
      </c>
    </row>
    <row r="2231" spans="1:5" ht="15" customHeight="1" outlineLevel="2" x14ac:dyDescent="0.25">
      <c r="A2231" s="3" t="str">
        <f>HYPERLINK("http://mystore1.ru/price_items/search?utf8=%E2%9C%93&amp;oem=3338ACL1B","3338ACL1B")</f>
        <v>3338ACL1B</v>
      </c>
      <c r="B2231" s="1" t="s">
        <v>4309</v>
      </c>
      <c r="C2231" s="9" t="s">
        <v>4310</v>
      </c>
      <c r="D2231" s="14" t="s">
        <v>4311</v>
      </c>
      <c r="E2231" s="9" t="s">
        <v>8</v>
      </c>
    </row>
    <row r="2232" spans="1:5" ht="15" customHeight="1" outlineLevel="2" x14ac:dyDescent="0.25">
      <c r="A2232" s="3" t="str">
        <f>HYPERLINK("http://mystore1.ru/price_items/search?utf8=%E2%9C%93&amp;oem=3338AGN","3338AGN")</f>
        <v>3338AGN</v>
      </c>
      <c r="B2232" s="1" t="s">
        <v>4312</v>
      </c>
      <c r="C2232" s="9" t="s">
        <v>4307</v>
      </c>
      <c r="D2232" s="14" t="s">
        <v>4313</v>
      </c>
      <c r="E2232" s="9" t="s">
        <v>8</v>
      </c>
    </row>
    <row r="2233" spans="1:5" ht="15" customHeight="1" outlineLevel="2" x14ac:dyDescent="0.25">
      <c r="A2233" s="3" t="str">
        <f>HYPERLINK("http://mystore1.ru/price_items/search?utf8=%E2%9C%93&amp;oem=3338AGN1B","3338AGN1B")</f>
        <v>3338AGN1B</v>
      </c>
      <c r="B2233" s="1" t="s">
        <v>4314</v>
      </c>
      <c r="C2233" s="9" t="s">
        <v>4310</v>
      </c>
      <c r="D2233" s="14" t="s">
        <v>4315</v>
      </c>
      <c r="E2233" s="9" t="s">
        <v>8</v>
      </c>
    </row>
    <row r="2234" spans="1:5" ht="15" customHeight="1" outlineLevel="2" x14ac:dyDescent="0.25">
      <c r="A2234" s="3" t="str">
        <f>HYPERLINK("http://mystore1.ru/price_items/search?utf8=%E2%9C%93&amp;oem=3338AGNGN1B","3338AGNGN1B")</f>
        <v>3338AGNGN1B</v>
      </c>
      <c r="B2234" s="1" t="s">
        <v>4316</v>
      </c>
      <c r="C2234" s="9" t="s">
        <v>4310</v>
      </c>
      <c r="D2234" s="14" t="s">
        <v>4317</v>
      </c>
      <c r="E2234" s="9" t="s">
        <v>8</v>
      </c>
    </row>
    <row r="2235" spans="1:5" ht="15" customHeight="1" outlineLevel="2" x14ac:dyDescent="0.25">
      <c r="A2235" s="3" t="str">
        <f>HYPERLINK("http://mystore1.ru/price_items/search?utf8=%E2%9C%93&amp;oem=3338ASRH","3338ASRH")</f>
        <v>3338ASRH</v>
      </c>
      <c r="B2235" s="1" t="s">
        <v>4318</v>
      </c>
      <c r="C2235" s="9" t="s">
        <v>25</v>
      </c>
      <c r="D2235" s="14" t="s">
        <v>4319</v>
      </c>
      <c r="E2235" s="9" t="s">
        <v>27</v>
      </c>
    </row>
    <row r="2236" spans="1:5" ht="15" customHeight="1" outlineLevel="2" x14ac:dyDescent="0.25">
      <c r="A2236" s="3" t="str">
        <f>HYPERLINK("http://mystore1.ru/price_items/search?utf8=%E2%9C%93&amp;oem=3338BCLH1H","3338BCLH1H")</f>
        <v>3338BCLH1H</v>
      </c>
      <c r="B2236" s="1" t="s">
        <v>4320</v>
      </c>
      <c r="C2236" s="9" t="s">
        <v>4321</v>
      </c>
      <c r="D2236" s="14" t="s">
        <v>4322</v>
      </c>
      <c r="E2236" s="9" t="s">
        <v>30</v>
      </c>
    </row>
    <row r="2237" spans="1:5" ht="15" customHeight="1" outlineLevel="2" x14ac:dyDescent="0.25">
      <c r="A2237" s="3" t="str">
        <f>HYPERLINK("http://mystore1.ru/price_items/search?utf8=%E2%9C%93&amp;oem=3338BGNH1H","3338BGNH1H")</f>
        <v>3338BGNH1H</v>
      </c>
      <c r="B2237" s="1" t="s">
        <v>4323</v>
      </c>
      <c r="C2237" s="9" t="s">
        <v>4321</v>
      </c>
      <c r="D2237" s="14" t="s">
        <v>4324</v>
      </c>
      <c r="E2237" s="9" t="s">
        <v>30</v>
      </c>
    </row>
    <row r="2238" spans="1:5" ht="15" customHeight="1" outlineLevel="2" x14ac:dyDescent="0.25">
      <c r="A2238" s="3" t="str">
        <f>HYPERLINK("http://mystore1.ru/price_items/search?utf8=%E2%9C%93&amp;oem=3338BGNH1J","3338BGNH1J")</f>
        <v>3338BGNH1J</v>
      </c>
      <c r="B2238" s="1" t="s">
        <v>4325</v>
      </c>
      <c r="C2238" s="9" t="s">
        <v>4321</v>
      </c>
      <c r="D2238" s="14" t="s">
        <v>4326</v>
      </c>
      <c r="E2238" s="9" t="s">
        <v>30</v>
      </c>
    </row>
    <row r="2239" spans="1:5" ht="15" customHeight="1" outlineLevel="2" x14ac:dyDescent="0.25">
      <c r="A2239" s="3" t="str">
        <f>HYPERLINK("http://mystore1.ru/price_items/search?utf8=%E2%9C%93&amp;oem=3338BSRH","3338BSRH")</f>
        <v>3338BSRH</v>
      </c>
      <c r="B2239" s="1" t="s">
        <v>4327</v>
      </c>
      <c r="C2239" s="9" t="s">
        <v>25</v>
      </c>
      <c r="D2239" s="14" t="s">
        <v>4328</v>
      </c>
      <c r="E2239" s="9" t="s">
        <v>27</v>
      </c>
    </row>
    <row r="2240" spans="1:5" ht="15" customHeight="1" outlineLevel="2" x14ac:dyDescent="0.25">
      <c r="A2240" s="3" t="str">
        <f>HYPERLINK("http://mystore1.ru/price_items/search?utf8=%E2%9C%93&amp;oem=3338LCLH3FDW","3338LCLH3FDW")</f>
        <v>3338LCLH3FDW</v>
      </c>
      <c r="B2240" s="1" t="s">
        <v>4329</v>
      </c>
      <c r="C2240" s="9" t="s">
        <v>4321</v>
      </c>
      <c r="D2240" s="14" t="s">
        <v>4330</v>
      </c>
      <c r="E2240" s="9" t="s">
        <v>11</v>
      </c>
    </row>
    <row r="2241" spans="1:5" ht="15" customHeight="1" outlineLevel="2" x14ac:dyDescent="0.25">
      <c r="A2241" s="3" t="str">
        <f>HYPERLINK("http://mystore1.ru/price_items/search?utf8=%E2%9C%93&amp;oem=3338LCLH5FD","3338LCLH5FD")</f>
        <v>3338LCLH5FD</v>
      </c>
      <c r="B2241" s="1" t="s">
        <v>4331</v>
      </c>
      <c r="C2241" s="9" t="s">
        <v>4321</v>
      </c>
      <c r="D2241" s="14" t="s">
        <v>4332</v>
      </c>
      <c r="E2241" s="9" t="s">
        <v>11</v>
      </c>
    </row>
    <row r="2242" spans="1:5" ht="15" customHeight="1" outlineLevel="2" x14ac:dyDescent="0.25">
      <c r="A2242" s="3" t="str">
        <f>HYPERLINK("http://mystore1.ru/price_items/search?utf8=%E2%9C%93&amp;oem=3338LCLH5RD","3338LCLH5RD")</f>
        <v>3338LCLH5RD</v>
      </c>
      <c r="B2242" s="1" t="s">
        <v>4333</v>
      </c>
      <c r="C2242" s="9" t="s">
        <v>4321</v>
      </c>
      <c r="D2242" s="14" t="s">
        <v>4334</v>
      </c>
      <c r="E2242" s="9" t="s">
        <v>11</v>
      </c>
    </row>
    <row r="2243" spans="1:5" ht="15" customHeight="1" outlineLevel="2" x14ac:dyDescent="0.25">
      <c r="A2243" s="3" t="str">
        <f>HYPERLINK("http://mystore1.ru/price_items/search?utf8=%E2%9C%93&amp;oem=3338LCLH5RQ","3338LCLH5RQ")</f>
        <v>3338LCLH5RQ</v>
      </c>
      <c r="B2243" s="1" t="s">
        <v>4335</v>
      </c>
      <c r="C2243" s="9" t="s">
        <v>4321</v>
      </c>
      <c r="D2243" s="14" t="s">
        <v>4336</v>
      </c>
      <c r="E2243" s="9" t="s">
        <v>11</v>
      </c>
    </row>
    <row r="2244" spans="1:5" ht="15" customHeight="1" outlineLevel="2" x14ac:dyDescent="0.25">
      <c r="A2244" s="3" t="str">
        <f>HYPERLINK("http://mystore1.ru/price_items/search?utf8=%E2%9C%93&amp;oem=3338LGNH3FDW","3338LGNH3FDW")</f>
        <v>3338LGNH3FDW</v>
      </c>
      <c r="B2244" s="1" t="s">
        <v>4337</v>
      </c>
      <c r="C2244" s="9" t="s">
        <v>4321</v>
      </c>
      <c r="D2244" s="14" t="s">
        <v>4338</v>
      </c>
      <c r="E2244" s="9" t="s">
        <v>11</v>
      </c>
    </row>
    <row r="2245" spans="1:5" ht="15" customHeight="1" outlineLevel="2" x14ac:dyDescent="0.25">
      <c r="A2245" s="3" t="str">
        <f>HYPERLINK("http://mystore1.ru/price_items/search?utf8=%E2%9C%93&amp;oem=3338RCLH3FDW","3338RCLH3FDW")</f>
        <v>3338RCLH3FDW</v>
      </c>
      <c r="B2245" s="1" t="s">
        <v>4339</v>
      </c>
      <c r="C2245" s="9" t="s">
        <v>4321</v>
      </c>
      <c r="D2245" s="14" t="s">
        <v>4340</v>
      </c>
      <c r="E2245" s="9" t="s">
        <v>11</v>
      </c>
    </row>
    <row r="2246" spans="1:5" ht="15" customHeight="1" outlineLevel="2" x14ac:dyDescent="0.25">
      <c r="A2246" s="3" t="str">
        <f>HYPERLINK("http://mystore1.ru/price_items/search?utf8=%E2%9C%93&amp;oem=3338RCLH5FD","3338RCLH5FD")</f>
        <v>3338RCLH5FD</v>
      </c>
      <c r="B2246" s="1" t="s">
        <v>4341</v>
      </c>
      <c r="C2246" s="9" t="s">
        <v>4321</v>
      </c>
      <c r="D2246" s="14" t="s">
        <v>4342</v>
      </c>
      <c r="E2246" s="9" t="s">
        <v>11</v>
      </c>
    </row>
    <row r="2247" spans="1:5" ht="15" customHeight="1" outlineLevel="2" x14ac:dyDescent="0.25">
      <c r="A2247" s="3" t="str">
        <f>HYPERLINK("http://mystore1.ru/price_items/search?utf8=%E2%9C%93&amp;oem=3338RCLH5RD","3338RCLH5RD")</f>
        <v>3338RCLH5RD</v>
      </c>
      <c r="B2247" s="1" t="s">
        <v>4343</v>
      </c>
      <c r="C2247" s="9" t="s">
        <v>4321</v>
      </c>
      <c r="D2247" s="14" t="s">
        <v>4344</v>
      </c>
      <c r="E2247" s="9" t="s">
        <v>11</v>
      </c>
    </row>
    <row r="2248" spans="1:5" ht="15" customHeight="1" outlineLevel="2" x14ac:dyDescent="0.25">
      <c r="A2248" s="3" t="str">
        <f>HYPERLINK("http://mystore1.ru/price_items/search?utf8=%E2%9C%93&amp;oem=3338RCLH5RQ","3338RCLH5RQ")</f>
        <v>3338RCLH5RQ</v>
      </c>
      <c r="B2248" s="1" t="s">
        <v>4345</v>
      </c>
      <c r="C2248" s="9" t="s">
        <v>4321</v>
      </c>
      <c r="D2248" s="14" t="s">
        <v>4346</v>
      </c>
      <c r="E2248" s="9" t="s">
        <v>11</v>
      </c>
    </row>
    <row r="2249" spans="1:5" ht="15" customHeight="1" outlineLevel="2" x14ac:dyDescent="0.25">
      <c r="A2249" s="3" t="str">
        <f>HYPERLINK("http://mystore1.ru/price_items/search?utf8=%E2%9C%93&amp;oem=3338RGNH3FDW","3338RGNH3FDW")</f>
        <v>3338RGNH3FDW</v>
      </c>
      <c r="B2249" s="1" t="s">
        <v>4347</v>
      </c>
      <c r="C2249" s="9" t="s">
        <v>4321</v>
      </c>
      <c r="D2249" s="14" t="s">
        <v>4348</v>
      </c>
      <c r="E2249" s="9" t="s">
        <v>11</v>
      </c>
    </row>
    <row r="2250" spans="1:5" ht="15" customHeight="1" outlineLevel="2" x14ac:dyDescent="0.25">
      <c r="A2250" s="3" t="str">
        <f>HYPERLINK("http://mystore1.ru/price_items/search?utf8=%E2%9C%93&amp;oem=3338RGNH5FD","3338RGNH5FD")</f>
        <v>3338RGNH5FD</v>
      </c>
      <c r="B2250" s="1" t="s">
        <v>4349</v>
      </c>
      <c r="C2250" s="9" t="s">
        <v>4321</v>
      </c>
      <c r="D2250" s="14" t="s">
        <v>4350</v>
      </c>
      <c r="E2250" s="9" t="s">
        <v>11</v>
      </c>
    </row>
    <row r="2251" spans="1:5" ht="15" customHeight="1" outlineLevel="2" x14ac:dyDescent="0.25">
      <c r="A2251" s="3" t="str">
        <f>HYPERLINK("http://mystore1.ru/price_items/search?utf8=%E2%9C%93&amp;oem=3338RGNH5RD","3338RGNH5RD")</f>
        <v>3338RGNH5RD</v>
      </c>
      <c r="B2251" s="1" t="s">
        <v>4351</v>
      </c>
      <c r="C2251" s="9" t="s">
        <v>4321</v>
      </c>
      <c r="D2251" s="14" t="s">
        <v>4352</v>
      </c>
      <c r="E2251" s="9" t="s">
        <v>11</v>
      </c>
    </row>
    <row r="2252" spans="1:5" outlineLevel="1" x14ac:dyDescent="0.25">
      <c r="A2252" s="2"/>
      <c r="B2252" s="6" t="s">
        <v>4353</v>
      </c>
      <c r="C2252" s="7"/>
      <c r="D2252" s="8"/>
      <c r="E2252" s="8"/>
    </row>
    <row r="2253" spans="1:5" ht="15" customHeight="1" outlineLevel="2" x14ac:dyDescent="0.25">
      <c r="A2253" s="3" t="str">
        <f>HYPERLINK("http://mystore1.ru/price_items/search?utf8=%E2%9C%93&amp;oem=3344AGS","3344AGS")</f>
        <v>3344AGS</v>
      </c>
      <c r="B2253" s="1" t="s">
        <v>4354</v>
      </c>
      <c r="C2253" s="9" t="s">
        <v>47</v>
      </c>
      <c r="D2253" s="14" t="s">
        <v>4355</v>
      </c>
      <c r="E2253" s="9" t="s">
        <v>8</v>
      </c>
    </row>
    <row r="2254" spans="1:5" ht="15" customHeight="1" outlineLevel="2" x14ac:dyDescent="0.25">
      <c r="A2254" s="3" t="str">
        <f>HYPERLINK("http://mystore1.ru/price_items/search?utf8=%E2%9C%93&amp;oem=3344ASMC","3344ASMC")</f>
        <v>3344ASMC</v>
      </c>
      <c r="B2254" s="1" t="s">
        <v>4356</v>
      </c>
      <c r="C2254" s="9" t="s">
        <v>25</v>
      </c>
      <c r="D2254" s="14" t="s">
        <v>4357</v>
      </c>
      <c r="E2254" s="9" t="s">
        <v>27</v>
      </c>
    </row>
    <row r="2255" spans="1:5" ht="15" customHeight="1" outlineLevel="2" x14ac:dyDescent="0.25">
      <c r="A2255" s="3" t="str">
        <f>HYPERLINK("http://mystore1.ru/price_items/search?utf8=%E2%9C%93&amp;oem=3344RGSC2FD","3344RGSC2FD")</f>
        <v>3344RGSC2FD</v>
      </c>
      <c r="B2255" s="1" t="s">
        <v>4358</v>
      </c>
      <c r="C2255" s="9" t="s">
        <v>47</v>
      </c>
      <c r="D2255" s="14" t="s">
        <v>4359</v>
      </c>
      <c r="E2255" s="9" t="s">
        <v>11</v>
      </c>
    </row>
    <row r="2256" spans="1:5" outlineLevel="1" x14ac:dyDescent="0.25">
      <c r="A2256" s="2"/>
      <c r="B2256" s="6" t="s">
        <v>4360</v>
      </c>
      <c r="C2256" s="7"/>
      <c r="D2256" s="8"/>
      <c r="E2256" s="8"/>
    </row>
    <row r="2257" spans="1:5" outlineLevel="2" x14ac:dyDescent="0.25">
      <c r="A2257" s="3" t="str">
        <f>HYPERLINK("http://mystore1.ru/price_items/search?utf8=%E2%9C%93&amp;oem=3345ACL","3345ACL")</f>
        <v>3345ACL</v>
      </c>
      <c r="B2257" s="1" t="s">
        <v>4361</v>
      </c>
      <c r="C2257" s="9" t="s">
        <v>4362</v>
      </c>
      <c r="D2257" s="14" t="s">
        <v>4363</v>
      </c>
      <c r="E2257" s="9" t="s">
        <v>8</v>
      </c>
    </row>
    <row r="2258" spans="1:5" outlineLevel="2" x14ac:dyDescent="0.25">
      <c r="A2258" s="3" t="str">
        <f>HYPERLINK("http://mystore1.ru/price_items/search?utf8=%E2%9C%93&amp;oem=3345AGS","3345AGS")</f>
        <v>3345AGS</v>
      </c>
      <c r="B2258" s="1" t="s">
        <v>4364</v>
      </c>
      <c r="C2258" s="9" t="s">
        <v>4362</v>
      </c>
      <c r="D2258" s="14" t="s">
        <v>4365</v>
      </c>
      <c r="E2258" s="9" t="s">
        <v>8</v>
      </c>
    </row>
    <row r="2259" spans="1:5" outlineLevel="2" x14ac:dyDescent="0.25">
      <c r="A2259" s="3" t="str">
        <f>HYPERLINK("http://mystore1.ru/price_items/search?utf8=%E2%9C%93&amp;oem=OLD-3345ASMV","OLD-3345ASMV")</f>
        <v>OLD-3345ASMV</v>
      </c>
      <c r="B2259" s="1" t="s">
        <v>4366</v>
      </c>
      <c r="C2259" s="9" t="s">
        <v>25</v>
      </c>
      <c r="D2259" s="14" t="s">
        <v>4367</v>
      </c>
      <c r="E2259" s="9" t="s">
        <v>27</v>
      </c>
    </row>
    <row r="2260" spans="1:5" outlineLevel="2" x14ac:dyDescent="0.25">
      <c r="A2260" s="3" t="str">
        <f>HYPERLINK("http://mystore1.ru/price_items/search?utf8=%E2%9C%93&amp;oem=3345BCLVL","3345BCLVL")</f>
        <v>3345BCLVL</v>
      </c>
      <c r="B2260" s="1" t="s">
        <v>4368</v>
      </c>
      <c r="C2260" s="9" t="s">
        <v>4362</v>
      </c>
      <c r="D2260" s="14" t="s">
        <v>4369</v>
      </c>
      <c r="E2260" s="9" t="s">
        <v>30</v>
      </c>
    </row>
    <row r="2261" spans="1:5" outlineLevel="2" x14ac:dyDescent="0.25">
      <c r="A2261" s="3" t="str">
        <f>HYPERLINK("http://mystore1.ru/price_items/search?utf8=%E2%9C%93&amp;oem=3345BCLVLU","3345BCLVLU")</f>
        <v>3345BCLVLU</v>
      </c>
      <c r="B2261" s="1" t="s">
        <v>4370</v>
      </c>
      <c r="C2261" s="9" t="s">
        <v>4362</v>
      </c>
      <c r="D2261" s="14" t="s">
        <v>4371</v>
      </c>
      <c r="E2261" s="9" t="s">
        <v>30</v>
      </c>
    </row>
    <row r="2262" spans="1:5" outlineLevel="2" x14ac:dyDescent="0.25">
      <c r="A2262" s="3" t="str">
        <f>HYPERLINK("http://mystore1.ru/price_items/search?utf8=%E2%9C%93&amp;oem=3345BCLVR","3345BCLVR")</f>
        <v>3345BCLVR</v>
      </c>
      <c r="B2262" s="1" t="s">
        <v>4372</v>
      </c>
      <c r="C2262" s="9" t="s">
        <v>4362</v>
      </c>
      <c r="D2262" s="14" t="s">
        <v>4373</v>
      </c>
      <c r="E2262" s="9" t="s">
        <v>30</v>
      </c>
    </row>
    <row r="2263" spans="1:5" outlineLevel="2" x14ac:dyDescent="0.25">
      <c r="A2263" s="3" t="str">
        <f>HYPERLINK("http://mystore1.ru/price_items/search?utf8=%E2%9C%93&amp;oem=3345BCLVRU","3345BCLVRU")</f>
        <v>3345BCLVRU</v>
      </c>
      <c r="B2263" s="1" t="s">
        <v>4374</v>
      </c>
      <c r="C2263" s="9" t="s">
        <v>4362</v>
      </c>
      <c r="D2263" s="14" t="s">
        <v>4375</v>
      </c>
      <c r="E2263" s="9" t="s">
        <v>30</v>
      </c>
    </row>
    <row r="2264" spans="1:5" outlineLevel="2" x14ac:dyDescent="0.25">
      <c r="A2264" s="3" t="str">
        <f>HYPERLINK("http://mystore1.ru/price_items/search?utf8=%E2%9C%93&amp;oem=3345BGSVB","3345BGSVB")</f>
        <v>3345BGSVB</v>
      </c>
      <c r="B2264" s="1" t="s">
        <v>4376</v>
      </c>
      <c r="C2264" s="9" t="s">
        <v>4362</v>
      </c>
      <c r="D2264" s="14" t="s">
        <v>4377</v>
      </c>
      <c r="E2264" s="9" t="s">
        <v>30</v>
      </c>
    </row>
    <row r="2265" spans="1:5" outlineLevel="2" x14ac:dyDescent="0.25">
      <c r="A2265" s="3" t="str">
        <f>HYPERLINK("http://mystore1.ru/price_items/search?utf8=%E2%9C%93&amp;oem=3345BGSVL","3345BGSVL")</f>
        <v>3345BGSVL</v>
      </c>
      <c r="B2265" s="1" t="s">
        <v>4378</v>
      </c>
      <c r="C2265" s="9" t="s">
        <v>4362</v>
      </c>
      <c r="D2265" s="14" t="s">
        <v>4379</v>
      </c>
      <c r="E2265" s="9" t="s">
        <v>30</v>
      </c>
    </row>
    <row r="2266" spans="1:5" outlineLevel="2" x14ac:dyDescent="0.25">
      <c r="A2266" s="3" t="str">
        <f>HYPERLINK("http://mystore1.ru/price_items/search?utf8=%E2%9C%93&amp;oem=3345BGSVLU","3345BGSVLU")</f>
        <v>3345BGSVLU</v>
      </c>
      <c r="B2266" s="1" t="s">
        <v>4380</v>
      </c>
      <c r="C2266" s="9" t="s">
        <v>4362</v>
      </c>
      <c r="D2266" s="14" t="s">
        <v>4381</v>
      </c>
      <c r="E2266" s="9" t="s">
        <v>30</v>
      </c>
    </row>
    <row r="2267" spans="1:5" outlineLevel="2" x14ac:dyDescent="0.25">
      <c r="A2267" s="3" t="str">
        <f>HYPERLINK("http://mystore1.ru/price_items/search?utf8=%E2%9C%93&amp;oem=3345BGSVR","3345BGSVR")</f>
        <v>3345BGSVR</v>
      </c>
      <c r="B2267" s="1" t="s">
        <v>4382</v>
      </c>
      <c r="C2267" s="9" t="s">
        <v>4362</v>
      </c>
      <c r="D2267" s="14" t="s">
        <v>4383</v>
      </c>
      <c r="E2267" s="9" t="s">
        <v>30</v>
      </c>
    </row>
    <row r="2268" spans="1:5" outlineLevel="2" x14ac:dyDescent="0.25">
      <c r="A2268" s="3" t="str">
        <f>HYPERLINK("http://mystore1.ru/price_items/search?utf8=%E2%9C%93&amp;oem=3345BGSVRU","3345BGSVRU")</f>
        <v>3345BGSVRU</v>
      </c>
      <c r="B2268" s="1" t="s">
        <v>4384</v>
      </c>
      <c r="C2268" s="9" t="s">
        <v>4362</v>
      </c>
      <c r="D2268" s="14" t="s">
        <v>4385</v>
      </c>
      <c r="E2268" s="9" t="s">
        <v>30</v>
      </c>
    </row>
    <row r="2269" spans="1:5" outlineLevel="2" x14ac:dyDescent="0.25">
      <c r="A2269" s="3" t="str">
        <f>HYPERLINK("http://mystore1.ru/price_items/search?utf8=%E2%9C%93&amp;oem=3345LCLV5FD","3345LCLV5FD")</f>
        <v>3345LCLV5FD</v>
      </c>
      <c r="B2269" s="1" t="s">
        <v>4386</v>
      </c>
      <c r="C2269" s="9" t="s">
        <v>4362</v>
      </c>
      <c r="D2269" s="14" t="s">
        <v>4387</v>
      </c>
      <c r="E2269" s="9" t="s">
        <v>11</v>
      </c>
    </row>
    <row r="2270" spans="1:5" outlineLevel="2" x14ac:dyDescent="0.25">
      <c r="A2270" s="3" t="str">
        <f>HYPERLINK("http://mystore1.ru/price_items/search?utf8=%E2%9C%93&amp;oem=3345LCLV5FQ","3345LCLV5FQ")</f>
        <v>3345LCLV5FQ</v>
      </c>
      <c r="B2270" s="1" t="s">
        <v>4388</v>
      </c>
      <c r="C2270" s="9" t="s">
        <v>4362</v>
      </c>
      <c r="D2270" s="14" t="s">
        <v>4389</v>
      </c>
      <c r="E2270" s="9" t="s">
        <v>11</v>
      </c>
    </row>
    <row r="2271" spans="1:5" outlineLevel="2" x14ac:dyDescent="0.25">
      <c r="A2271" s="3" t="str">
        <f>HYPERLINK("http://mystore1.ru/price_items/search?utf8=%E2%9C%93&amp;oem=3345LGSV5FQ","3345LGSV5FQ")</f>
        <v>3345LGSV5FQ</v>
      </c>
      <c r="B2271" s="1" t="s">
        <v>4390</v>
      </c>
      <c r="C2271" s="9" t="s">
        <v>4362</v>
      </c>
      <c r="D2271" s="14" t="s">
        <v>4391</v>
      </c>
      <c r="E2271" s="9" t="s">
        <v>11</v>
      </c>
    </row>
    <row r="2272" spans="1:5" outlineLevel="2" x14ac:dyDescent="0.25">
      <c r="A2272" s="3" t="str">
        <f>HYPERLINK("http://mystore1.ru/price_items/search?utf8=%E2%9C%93&amp;oem=3345LGSV5RD","3345LGSV5RD")</f>
        <v>3345LGSV5RD</v>
      </c>
      <c r="B2272" s="1" t="s">
        <v>4392</v>
      </c>
      <c r="C2272" s="9" t="s">
        <v>4362</v>
      </c>
      <c r="D2272" s="14" t="s">
        <v>4393</v>
      </c>
      <c r="E2272" s="9" t="s">
        <v>11</v>
      </c>
    </row>
    <row r="2273" spans="1:5" outlineLevel="2" x14ac:dyDescent="0.25">
      <c r="A2273" s="3" t="str">
        <f>HYPERLINK("http://mystore1.ru/price_items/search?utf8=%E2%9C%93&amp;oem=3345LGSV5RQO","3345LGSV5RQO")</f>
        <v>3345LGSV5RQO</v>
      </c>
      <c r="B2273" s="1" t="s">
        <v>4394</v>
      </c>
      <c r="C2273" s="9" t="s">
        <v>4362</v>
      </c>
      <c r="D2273" s="14" t="s">
        <v>4395</v>
      </c>
      <c r="E2273" s="9" t="s">
        <v>11</v>
      </c>
    </row>
    <row r="2274" spans="1:5" outlineLevel="2" x14ac:dyDescent="0.25">
      <c r="A2274" s="3" t="str">
        <f>HYPERLINK("http://mystore1.ru/price_items/search?utf8=%E2%9C%93&amp;oem=3345RCLV5FD","3345RCLV5FD")</f>
        <v>3345RCLV5FD</v>
      </c>
      <c r="B2274" s="1" t="s">
        <v>4396</v>
      </c>
      <c r="C2274" s="9" t="s">
        <v>4362</v>
      </c>
      <c r="D2274" s="14" t="s">
        <v>4397</v>
      </c>
      <c r="E2274" s="9" t="s">
        <v>11</v>
      </c>
    </row>
    <row r="2275" spans="1:5" outlineLevel="2" x14ac:dyDescent="0.25">
      <c r="A2275" s="3" t="str">
        <f>HYPERLINK("http://mystore1.ru/price_items/search?utf8=%E2%9C%93&amp;oem=3345RCLV5FQ","3345RCLV5FQ")</f>
        <v>3345RCLV5FQ</v>
      </c>
      <c r="B2275" s="1" t="s">
        <v>4398</v>
      </c>
      <c r="C2275" s="9" t="s">
        <v>4362</v>
      </c>
      <c r="D2275" s="14" t="s">
        <v>4399</v>
      </c>
      <c r="E2275" s="9" t="s">
        <v>11</v>
      </c>
    </row>
    <row r="2276" spans="1:5" outlineLevel="2" x14ac:dyDescent="0.25">
      <c r="A2276" s="3" t="str">
        <f>HYPERLINK("http://mystore1.ru/price_items/search?utf8=%E2%9C%93&amp;oem=3345RGSV5FQ","3345RGSV5FQ")</f>
        <v>3345RGSV5FQ</v>
      </c>
      <c r="B2276" s="1" t="s">
        <v>4400</v>
      </c>
      <c r="C2276" s="9" t="s">
        <v>4362</v>
      </c>
      <c r="D2276" s="14" t="s">
        <v>4401</v>
      </c>
      <c r="E2276" s="9" t="s">
        <v>11</v>
      </c>
    </row>
    <row r="2277" spans="1:5" outlineLevel="2" x14ac:dyDescent="0.25">
      <c r="A2277" s="3" t="str">
        <f>HYPERLINK("http://mystore1.ru/price_items/search?utf8=%E2%9C%93&amp;oem=3345RGSV5RD","3345RGSV5RD")</f>
        <v>3345RGSV5RD</v>
      </c>
      <c r="B2277" s="1" t="s">
        <v>4402</v>
      </c>
      <c r="C2277" s="9" t="s">
        <v>4362</v>
      </c>
      <c r="D2277" s="14" t="s">
        <v>4403</v>
      </c>
      <c r="E2277" s="9" t="s">
        <v>11</v>
      </c>
    </row>
    <row r="2278" spans="1:5" outlineLevel="2" x14ac:dyDescent="0.25">
      <c r="A2278" s="3" t="str">
        <f>HYPERLINK("http://mystore1.ru/price_items/search?utf8=%E2%9C%93&amp;oem=3345RGSV5RQO","3345RGSV5RQO")</f>
        <v>3345RGSV5RQO</v>
      </c>
      <c r="B2278" s="1" t="s">
        <v>4404</v>
      </c>
      <c r="C2278" s="9" t="s">
        <v>4362</v>
      </c>
      <c r="D2278" s="14" t="s">
        <v>4405</v>
      </c>
      <c r="E2278" s="9" t="s">
        <v>11</v>
      </c>
    </row>
    <row r="2279" spans="1:5" x14ac:dyDescent="0.25">
      <c r="A2279" s="61" t="s">
        <v>3328</v>
      </c>
      <c r="B2279" s="61"/>
      <c r="C2279" s="61"/>
      <c r="D2279" s="61"/>
      <c r="E2279" s="61"/>
    </row>
    <row r="2280" spans="1:5" outlineLevel="1" x14ac:dyDescent="0.25">
      <c r="A2280" s="2"/>
      <c r="B2280" s="6" t="s">
        <v>4406</v>
      </c>
      <c r="C2280" s="8"/>
      <c r="D2280" s="8"/>
      <c r="E2280" s="8"/>
    </row>
    <row r="2281" spans="1:5" ht="15" customHeight="1" outlineLevel="2" x14ac:dyDescent="0.25">
      <c r="A2281" s="3" t="str">
        <f>HYPERLINK("http://mystore1.ru/price_items/search?utf8=%E2%9C%93&amp;oem=3577AGAMVW1P","3577AGAMVW1P")</f>
        <v>3577AGAMVW1P</v>
      </c>
      <c r="B2281" s="1" t="s">
        <v>4407</v>
      </c>
      <c r="C2281" s="9" t="s">
        <v>601</v>
      </c>
      <c r="D2281" s="14" t="s">
        <v>4408</v>
      </c>
      <c r="E2281" s="9" t="s">
        <v>8</v>
      </c>
    </row>
    <row r="2282" spans="1:5" ht="15" customHeight="1" outlineLevel="2" x14ac:dyDescent="0.25">
      <c r="A2282" s="3" t="str">
        <f>HYPERLINK("http://mystore1.ru/price_items/search?utf8=%E2%9C%93&amp;oem=3577AGAVW","3577AGAVW")</f>
        <v>3577AGAVW</v>
      </c>
      <c r="B2282" s="1" t="s">
        <v>4409</v>
      </c>
      <c r="C2282" s="9" t="s">
        <v>601</v>
      </c>
      <c r="D2282" s="14" t="s">
        <v>4410</v>
      </c>
      <c r="E2282" s="9" t="s">
        <v>8</v>
      </c>
    </row>
    <row r="2283" spans="1:5" ht="15" customHeight="1" outlineLevel="2" x14ac:dyDescent="0.25">
      <c r="A2283" s="3" t="str">
        <f>HYPERLINK("http://mystore1.ru/price_items/search?utf8=%E2%9C%93&amp;oem=3577ACDHMVW1P","3577ACDHMVW1P")</f>
        <v>3577ACDHMVW1P</v>
      </c>
      <c r="B2283" s="1" t="s">
        <v>4411</v>
      </c>
      <c r="C2283" s="9" t="s">
        <v>601</v>
      </c>
      <c r="D2283" s="14" t="s">
        <v>4412</v>
      </c>
      <c r="E2283" s="9" t="s">
        <v>8</v>
      </c>
    </row>
    <row r="2284" spans="1:5" ht="15" customHeight="1" outlineLevel="2" x14ac:dyDescent="0.25">
      <c r="A2284" s="3" t="str">
        <f>HYPERLINK("http://mystore1.ru/price_items/search?utf8=%E2%9C%93&amp;oem=3577AGAHMVW1P","3577AGAHMVW1P")</f>
        <v>3577AGAHMVW1P</v>
      </c>
      <c r="B2284" s="1" t="s">
        <v>4413</v>
      </c>
      <c r="C2284" s="9" t="s">
        <v>601</v>
      </c>
      <c r="D2284" s="14" t="s">
        <v>4414</v>
      </c>
      <c r="E2284" s="9" t="s">
        <v>8</v>
      </c>
    </row>
    <row r="2285" spans="1:5" ht="15" customHeight="1" outlineLevel="2" x14ac:dyDescent="0.25">
      <c r="A2285" s="3" t="str">
        <f>HYPERLINK("http://mystore1.ru/price_items/search?utf8=%E2%9C%93&amp;oem=3577AGAHVW","3577AGAHVW")</f>
        <v>3577AGAHVW</v>
      </c>
      <c r="B2285" s="1" t="s">
        <v>4415</v>
      </c>
      <c r="C2285" s="9" t="s">
        <v>601</v>
      </c>
      <c r="D2285" s="14" t="s">
        <v>4416</v>
      </c>
      <c r="E2285" s="9" t="s">
        <v>8</v>
      </c>
    </row>
    <row r="2286" spans="1:5" outlineLevel="1" x14ac:dyDescent="0.25">
      <c r="A2286" s="2"/>
      <c r="B2286" s="6" t="s">
        <v>4417</v>
      </c>
      <c r="C2286" s="8"/>
      <c r="D2286" s="8"/>
      <c r="E2286" s="8"/>
    </row>
    <row r="2287" spans="1:5" ht="15" customHeight="1" outlineLevel="2" x14ac:dyDescent="0.25">
      <c r="A2287" s="3" t="str">
        <f>HYPERLINK("http://mystore1.ru/price_items/search?utf8=%E2%9C%93&amp;oem=3535ACL","3535ACL")</f>
        <v>3535ACL</v>
      </c>
      <c r="B2287" s="1" t="s">
        <v>4418</v>
      </c>
      <c r="C2287" s="9" t="s">
        <v>4419</v>
      </c>
      <c r="D2287" s="14" t="s">
        <v>4420</v>
      </c>
      <c r="E2287" s="9" t="s">
        <v>8</v>
      </c>
    </row>
    <row r="2288" spans="1:5" outlineLevel="1" x14ac:dyDescent="0.25">
      <c r="A2288" s="2"/>
      <c r="B2288" s="6" t="s">
        <v>4421</v>
      </c>
      <c r="C2288" s="8"/>
      <c r="D2288" s="8"/>
      <c r="E2288" s="8"/>
    </row>
    <row r="2289" spans="1:5" ht="15" customHeight="1" outlineLevel="2" x14ac:dyDescent="0.25">
      <c r="A2289" s="3" t="str">
        <f>HYPERLINK("http://mystore1.ru/price_items/search?utf8=%E2%9C%93&amp;oem=3557AGSHV","3557AGSHV")</f>
        <v>3557AGSHV</v>
      </c>
      <c r="B2289" s="1" t="s">
        <v>4422</v>
      </c>
      <c r="C2289" s="9" t="s">
        <v>2863</v>
      </c>
      <c r="D2289" s="14" t="s">
        <v>4423</v>
      </c>
      <c r="E2289" s="9" t="s">
        <v>8</v>
      </c>
    </row>
    <row r="2290" spans="1:5" ht="15" customHeight="1" outlineLevel="2" x14ac:dyDescent="0.25">
      <c r="A2290" s="3" t="str">
        <f>HYPERLINK("http://mystore1.ru/price_items/search?utf8=%E2%9C%93&amp;oem=3557AGSV","3557AGSV")</f>
        <v>3557AGSV</v>
      </c>
      <c r="B2290" s="1" t="s">
        <v>4424</v>
      </c>
      <c r="C2290" s="9" t="s">
        <v>2863</v>
      </c>
      <c r="D2290" s="14" t="s">
        <v>4425</v>
      </c>
      <c r="E2290" s="9" t="s">
        <v>8</v>
      </c>
    </row>
    <row r="2291" spans="1:5" outlineLevel="1" x14ac:dyDescent="0.25">
      <c r="A2291" s="2"/>
      <c r="B2291" s="6" t="s">
        <v>4426</v>
      </c>
      <c r="C2291" s="8"/>
      <c r="D2291" s="8"/>
      <c r="E2291" s="8"/>
    </row>
    <row r="2292" spans="1:5" ht="15" customHeight="1" outlineLevel="2" x14ac:dyDescent="0.25">
      <c r="A2292" s="3" t="str">
        <f>HYPERLINK("http://mystore1.ru/price_items/search?utf8=%E2%9C%93&amp;oem=AF30AGNBLVW","AF30AGNBLVW")</f>
        <v>AF30AGNBLVW</v>
      </c>
      <c r="B2292" s="1" t="s">
        <v>4427</v>
      </c>
      <c r="C2292" s="9" t="s">
        <v>4428</v>
      </c>
      <c r="D2292" s="14" t="s">
        <v>4429</v>
      </c>
      <c r="E2292" s="9" t="s">
        <v>8</v>
      </c>
    </row>
    <row r="2293" spans="1:5" outlineLevel="1" x14ac:dyDescent="0.25">
      <c r="A2293" s="2"/>
      <c r="B2293" s="6" t="s">
        <v>4430</v>
      </c>
      <c r="C2293" s="8"/>
      <c r="D2293" s="8"/>
      <c r="E2293" s="8"/>
    </row>
    <row r="2294" spans="1:5" ht="15" customHeight="1" outlineLevel="2" x14ac:dyDescent="0.25">
      <c r="A2294" s="3" t="str">
        <f>HYPERLINK("http://mystore1.ru/price_items/search?utf8=%E2%9C%93&amp;oem=AF52AGSVW","AF52AGSVW")</f>
        <v>AF52AGSVW</v>
      </c>
      <c r="B2294" s="1" t="s">
        <v>4431</v>
      </c>
      <c r="C2294" s="9" t="s">
        <v>1423</v>
      </c>
      <c r="D2294" s="14" t="s">
        <v>4432</v>
      </c>
      <c r="E2294" s="9" t="s">
        <v>8</v>
      </c>
    </row>
    <row r="2295" spans="1:5" outlineLevel="1" x14ac:dyDescent="0.25">
      <c r="A2295" s="2"/>
      <c r="B2295" s="6" t="s">
        <v>4433</v>
      </c>
      <c r="C2295" s="8"/>
      <c r="D2295" s="8"/>
      <c r="E2295" s="8"/>
    </row>
    <row r="2296" spans="1:5" ht="15" customHeight="1" outlineLevel="2" x14ac:dyDescent="0.25">
      <c r="A2296" s="3" t="str">
        <f>HYPERLINK("http://mystore1.ru/price_items/search?utf8=%E2%9C%93&amp;oem=3534ABZ1C","3534ABZ1C")</f>
        <v>3534ABZ1C</v>
      </c>
      <c r="B2296" s="1" t="s">
        <v>4434</v>
      </c>
      <c r="C2296" s="9" t="s">
        <v>4435</v>
      </c>
      <c r="D2296" s="14" t="s">
        <v>4436</v>
      </c>
      <c r="E2296" s="9" t="s">
        <v>8</v>
      </c>
    </row>
    <row r="2297" spans="1:5" ht="15" customHeight="1" outlineLevel="2" x14ac:dyDescent="0.25">
      <c r="A2297" s="3" t="str">
        <f>HYPERLINK("http://mystore1.ru/price_items/search?utf8=%E2%9C%93&amp;oem=3534ABZBL","3534ABZBL")</f>
        <v>3534ABZBL</v>
      </c>
      <c r="B2297" s="1" t="s">
        <v>4437</v>
      </c>
      <c r="C2297" s="9" t="s">
        <v>4435</v>
      </c>
      <c r="D2297" s="14" t="s">
        <v>4438</v>
      </c>
      <c r="E2297" s="9" t="s">
        <v>8</v>
      </c>
    </row>
    <row r="2298" spans="1:5" ht="15" customHeight="1" outlineLevel="2" x14ac:dyDescent="0.25">
      <c r="A2298" s="3" t="str">
        <f>HYPERLINK("http://mystore1.ru/price_items/search?utf8=%E2%9C%93&amp;oem=3534ACL","3534ACL")</f>
        <v>3534ACL</v>
      </c>
      <c r="B2298" s="1" t="s">
        <v>4439</v>
      </c>
      <c r="C2298" s="9" t="s">
        <v>4435</v>
      </c>
      <c r="D2298" s="14" t="s">
        <v>4440</v>
      </c>
      <c r="E2298" s="9" t="s">
        <v>8</v>
      </c>
    </row>
    <row r="2299" spans="1:5" ht="15" customHeight="1" outlineLevel="2" x14ac:dyDescent="0.25">
      <c r="A2299" s="3" t="str">
        <f>HYPERLINK("http://mystore1.ru/price_items/search?utf8=%E2%9C%93&amp;oem=3534AGN","3534AGN")</f>
        <v>3534AGN</v>
      </c>
      <c r="B2299" s="1" t="s">
        <v>4441</v>
      </c>
      <c r="C2299" s="9" t="s">
        <v>4435</v>
      </c>
      <c r="D2299" s="14" t="s">
        <v>4442</v>
      </c>
      <c r="E2299" s="9" t="s">
        <v>8</v>
      </c>
    </row>
    <row r="2300" spans="1:5" ht="15" customHeight="1" outlineLevel="2" x14ac:dyDescent="0.25">
      <c r="A2300" s="3" t="str">
        <f>HYPERLINK("http://mystore1.ru/price_items/search?utf8=%E2%9C%93&amp;oem=3534AGNBL","3534AGNBL")</f>
        <v>3534AGNBL</v>
      </c>
      <c r="B2300" s="1" t="s">
        <v>4443</v>
      </c>
      <c r="C2300" s="9" t="s">
        <v>4435</v>
      </c>
      <c r="D2300" s="14" t="s">
        <v>4444</v>
      </c>
      <c r="E2300" s="9" t="s">
        <v>8</v>
      </c>
    </row>
    <row r="2301" spans="1:5" ht="15" customHeight="1" outlineLevel="2" x14ac:dyDescent="0.25">
      <c r="A2301" s="3" t="str">
        <f>HYPERLINK("http://mystore1.ru/price_items/search?utf8=%E2%9C%93&amp;oem=3534AGNGN","3534AGNGN")</f>
        <v>3534AGNGN</v>
      </c>
      <c r="B2301" s="1" t="s">
        <v>4445</v>
      </c>
      <c r="C2301" s="9" t="s">
        <v>4435</v>
      </c>
      <c r="D2301" s="14" t="s">
        <v>4446</v>
      </c>
      <c r="E2301" s="9" t="s">
        <v>8</v>
      </c>
    </row>
    <row r="2302" spans="1:5" ht="15" customHeight="1" outlineLevel="2" x14ac:dyDescent="0.25">
      <c r="A2302" s="3" t="str">
        <f>HYPERLINK("http://mystore1.ru/price_items/search?utf8=%E2%9C%93&amp;oem=3534ASRH1H","3534ASRH1H")</f>
        <v>3534ASRH1H</v>
      </c>
      <c r="B2302" s="1" t="s">
        <v>4447</v>
      </c>
      <c r="C2302" s="9" t="s">
        <v>25</v>
      </c>
      <c r="D2302" s="14" t="s">
        <v>4448</v>
      </c>
      <c r="E2302" s="9" t="s">
        <v>27</v>
      </c>
    </row>
    <row r="2303" spans="1:5" ht="15" customHeight="1" outlineLevel="2" x14ac:dyDescent="0.25">
      <c r="A2303" s="3" t="str">
        <f>HYPERLINK("http://mystore1.ru/price_items/search?utf8=%E2%9C%93&amp;oem=3534BCLE","3534BCLE")</f>
        <v>3534BCLE</v>
      </c>
      <c r="B2303" s="1" t="s">
        <v>4449</v>
      </c>
      <c r="C2303" s="9" t="s">
        <v>4435</v>
      </c>
      <c r="D2303" s="14" t="s">
        <v>4450</v>
      </c>
      <c r="E2303" s="9" t="s">
        <v>30</v>
      </c>
    </row>
    <row r="2304" spans="1:5" ht="15" customHeight="1" outlineLevel="2" x14ac:dyDescent="0.25">
      <c r="A2304" s="3" t="str">
        <f>HYPERLINK("http://mystore1.ru/price_items/search?utf8=%E2%9C%93&amp;oem=3534BCLH","3534BCLH")</f>
        <v>3534BCLH</v>
      </c>
      <c r="B2304" s="1" t="s">
        <v>4451</v>
      </c>
      <c r="C2304" s="9" t="s">
        <v>4435</v>
      </c>
      <c r="D2304" s="14" t="s">
        <v>4452</v>
      </c>
      <c r="E2304" s="9" t="s">
        <v>30</v>
      </c>
    </row>
    <row r="2305" spans="1:5" ht="15" customHeight="1" outlineLevel="2" x14ac:dyDescent="0.25">
      <c r="A2305" s="3" t="str">
        <f>HYPERLINK("http://mystore1.ru/price_items/search?utf8=%E2%9C%93&amp;oem=3534BCLHA","3534BCLHA")</f>
        <v>3534BCLHA</v>
      </c>
      <c r="B2305" s="1" t="s">
        <v>4453</v>
      </c>
      <c r="C2305" s="9" t="s">
        <v>4435</v>
      </c>
      <c r="D2305" s="14" t="s">
        <v>4454</v>
      </c>
      <c r="E2305" s="9" t="s">
        <v>30</v>
      </c>
    </row>
    <row r="2306" spans="1:5" ht="15" customHeight="1" outlineLevel="2" x14ac:dyDescent="0.25">
      <c r="A2306" s="3" t="str">
        <f>HYPERLINK("http://mystore1.ru/price_items/search?utf8=%E2%9C%93&amp;oem=3534BGNHA","3534BGNHA")</f>
        <v>3534BGNHA</v>
      </c>
      <c r="B2306" s="1" t="s">
        <v>4455</v>
      </c>
      <c r="C2306" s="9" t="s">
        <v>4435</v>
      </c>
      <c r="D2306" s="14" t="s">
        <v>4456</v>
      </c>
      <c r="E2306" s="9" t="s">
        <v>30</v>
      </c>
    </row>
    <row r="2307" spans="1:5" ht="15" customHeight="1" outlineLevel="2" x14ac:dyDescent="0.25">
      <c r="A2307" s="3" t="str">
        <f>HYPERLINK("http://mystore1.ru/price_items/search?utf8=%E2%9C%93&amp;oem=3534LCLH3FD","3534LCLH3FD")</f>
        <v>3534LCLH3FD</v>
      </c>
      <c r="B2307" s="1" t="s">
        <v>4457</v>
      </c>
      <c r="C2307" s="9" t="s">
        <v>4435</v>
      </c>
      <c r="D2307" s="14" t="s">
        <v>4458</v>
      </c>
      <c r="E2307" s="9" t="s">
        <v>11</v>
      </c>
    </row>
    <row r="2308" spans="1:5" ht="15" customHeight="1" outlineLevel="2" x14ac:dyDescent="0.25">
      <c r="A2308" s="3" t="str">
        <f>HYPERLINK("http://mystore1.ru/price_items/search?utf8=%E2%9C%93&amp;oem=3534LCLH3RQ","3534LCLH3RQ")</f>
        <v>3534LCLH3RQ</v>
      </c>
      <c r="B2308" s="1" t="s">
        <v>4459</v>
      </c>
      <c r="C2308" s="9" t="s">
        <v>4435</v>
      </c>
      <c r="D2308" s="14" t="s">
        <v>4460</v>
      </c>
      <c r="E2308" s="9" t="s">
        <v>11</v>
      </c>
    </row>
    <row r="2309" spans="1:5" ht="15" customHeight="1" outlineLevel="2" x14ac:dyDescent="0.25">
      <c r="A2309" s="3" t="str">
        <f>HYPERLINK("http://mystore1.ru/price_items/search?utf8=%E2%9C%93&amp;oem=3534LCLH5FD","3534LCLH5FD")</f>
        <v>3534LCLH5FD</v>
      </c>
      <c r="B2309" s="1" t="s">
        <v>4461</v>
      </c>
      <c r="C2309" s="9" t="s">
        <v>4435</v>
      </c>
      <c r="D2309" s="14" t="s">
        <v>4458</v>
      </c>
      <c r="E2309" s="9" t="s">
        <v>11</v>
      </c>
    </row>
    <row r="2310" spans="1:5" ht="15" customHeight="1" outlineLevel="2" x14ac:dyDescent="0.25">
      <c r="A2310" s="3" t="str">
        <f>HYPERLINK("http://mystore1.ru/price_items/search?utf8=%E2%9C%93&amp;oem=3534LCLH5RD","3534LCLH5RD")</f>
        <v>3534LCLH5RD</v>
      </c>
      <c r="B2310" s="1" t="s">
        <v>4462</v>
      </c>
      <c r="C2310" s="9" t="s">
        <v>4435</v>
      </c>
      <c r="D2310" s="14" t="s">
        <v>4463</v>
      </c>
      <c r="E2310" s="9" t="s">
        <v>11</v>
      </c>
    </row>
    <row r="2311" spans="1:5" ht="15" customHeight="1" outlineLevel="2" x14ac:dyDescent="0.25">
      <c r="A2311" s="3" t="str">
        <f>HYPERLINK("http://mystore1.ru/price_items/search?utf8=%E2%9C%93&amp;oem=3534LCLH5RV1J","3534LCLH5RV1J")</f>
        <v>3534LCLH5RV1J</v>
      </c>
      <c r="B2311" s="1" t="s">
        <v>4464</v>
      </c>
      <c r="C2311" s="9" t="s">
        <v>4435</v>
      </c>
      <c r="D2311" s="14" t="s">
        <v>4465</v>
      </c>
      <c r="E2311" s="9" t="s">
        <v>11</v>
      </c>
    </row>
    <row r="2312" spans="1:5" ht="15" customHeight="1" outlineLevel="2" x14ac:dyDescent="0.25">
      <c r="A2312" s="3" t="str">
        <f>HYPERLINK("http://mystore1.ru/price_items/search?utf8=%E2%9C%93&amp;oem=3534LGNH3FD","3534LGNH3FD")</f>
        <v>3534LGNH3FD</v>
      </c>
      <c r="B2312" s="1" t="s">
        <v>4466</v>
      </c>
      <c r="C2312" s="9" t="s">
        <v>4435</v>
      </c>
      <c r="D2312" s="14" t="s">
        <v>4467</v>
      </c>
      <c r="E2312" s="9" t="s">
        <v>11</v>
      </c>
    </row>
    <row r="2313" spans="1:5" ht="15" customHeight="1" outlineLevel="2" x14ac:dyDescent="0.25">
      <c r="A2313" s="3" t="str">
        <f>HYPERLINK("http://mystore1.ru/price_items/search?utf8=%E2%9C%93&amp;oem=3534LGNH3RQ","3534LGNH3RQ")</f>
        <v>3534LGNH3RQ</v>
      </c>
      <c r="B2313" s="1" t="s">
        <v>4468</v>
      </c>
      <c r="C2313" s="9" t="s">
        <v>4435</v>
      </c>
      <c r="D2313" s="14" t="s">
        <v>4469</v>
      </c>
      <c r="E2313" s="9" t="s">
        <v>11</v>
      </c>
    </row>
    <row r="2314" spans="1:5" ht="15" customHeight="1" outlineLevel="2" x14ac:dyDescent="0.25">
      <c r="A2314" s="3" t="str">
        <f>HYPERLINK("http://mystore1.ru/price_items/search?utf8=%E2%9C%93&amp;oem=3534LGNH5FD","3534LGNH5FD")</f>
        <v>3534LGNH5FD</v>
      </c>
      <c r="B2314" s="1" t="s">
        <v>4470</v>
      </c>
      <c r="C2314" s="9" t="s">
        <v>4435</v>
      </c>
      <c r="D2314" s="14" t="s">
        <v>4471</v>
      </c>
      <c r="E2314" s="9" t="s">
        <v>11</v>
      </c>
    </row>
    <row r="2315" spans="1:5" ht="15" customHeight="1" outlineLevel="2" x14ac:dyDescent="0.25">
      <c r="A2315" s="3" t="str">
        <f>HYPERLINK("http://mystore1.ru/price_items/search?utf8=%E2%9C%93&amp;oem=3534LGNH5RD","3534LGNH5RD")</f>
        <v>3534LGNH5RD</v>
      </c>
      <c r="B2315" s="1" t="s">
        <v>4472</v>
      </c>
      <c r="C2315" s="9" t="s">
        <v>4435</v>
      </c>
      <c r="D2315" s="14" t="s">
        <v>4473</v>
      </c>
      <c r="E2315" s="9" t="s">
        <v>11</v>
      </c>
    </row>
    <row r="2316" spans="1:5" ht="15" customHeight="1" outlineLevel="2" x14ac:dyDescent="0.25">
      <c r="A2316" s="3" t="str">
        <f>HYPERLINK("http://mystore1.ru/price_items/search?utf8=%E2%9C%93&amp;oem=3534LGNH5RV1J","3534LGNH5RV1J")</f>
        <v>3534LGNH5RV1J</v>
      </c>
      <c r="B2316" s="1" t="s">
        <v>4474</v>
      </c>
      <c r="C2316" s="9" t="s">
        <v>4435</v>
      </c>
      <c r="D2316" s="14" t="s">
        <v>4475</v>
      </c>
      <c r="E2316" s="9" t="s">
        <v>11</v>
      </c>
    </row>
    <row r="2317" spans="1:5" ht="15" customHeight="1" outlineLevel="2" x14ac:dyDescent="0.25">
      <c r="A2317" s="3" t="str">
        <f>HYPERLINK("http://mystore1.ru/price_items/search?utf8=%E2%9C%93&amp;oem=3534RCLH3FD","3534RCLH3FD")</f>
        <v>3534RCLH3FD</v>
      </c>
      <c r="B2317" s="1" t="s">
        <v>4476</v>
      </c>
      <c r="C2317" s="9" t="s">
        <v>4435</v>
      </c>
      <c r="D2317" s="14" t="s">
        <v>4477</v>
      </c>
      <c r="E2317" s="9" t="s">
        <v>11</v>
      </c>
    </row>
    <row r="2318" spans="1:5" ht="15" customHeight="1" outlineLevel="2" x14ac:dyDescent="0.25">
      <c r="A2318" s="3" t="str">
        <f>HYPERLINK("http://mystore1.ru/price_items/search?utf8=%E2%9C%93&amp;oem=3534RCLH3RQ","3534RCLH3RQ")</f>
        <v>3534RCLH3RQ</v>
      </c>
      <c r="B2318" s="1" t="s">
        <v>4478</v>
      </c>
      <c r="C2318" s="9" t="s">
        <v>4435</v>
      </c>
      <c r="D2318" s="14" t="s">
        <v>4479</v>
      </c>
      <c r="E2318" s="9" t="s">
        <v>11</v>
      </c>
    </row>
    <row r="2319" spans="1:5" ht="15" customHeight="1" outlineLevel="2" x14ac:dyDescent="0.25">
      <c r="A2319" s="3" t="str">
        <f>HYPERLINK("http://mystore1.ru/price_items/search?utf8=%E2%9C%93&amp;oem=3534RCLH5FD","3534RCLH5FD")</f>
        <v>3534RCLH5FD</v>
      </c>
      <c r="B2319" s="1" t="s">
        <v>4480</v>
      </c>
      <c r="C2319" s="9" t="s">
        <v>4435</v>
      </c>
      <c r="D2319" s="14" t="s">
        <v>4477</v>
      </c>
      <c r="E2319" s="9" t="s">
        <v>11</v>
      </c>
    </row>
    <row r="2320" spans="1:5" ht="15" customHeight="1" outlineLevel="2" x14ac:dyDescent="0.25">
      <c r="A2320" s="3" t="str">
        <f>HYPERLINK("http://mystore1.ru/price_items/search?utf8=%E2%9C%93&amp;oem=3534RCLH5RD","3534RCLH5RD")</f>
        <v>3534RCLH5RD</v>
      </c>
      <c r="B2320" s="1" t="s">
        <v>4481</v>
      </c>
      <c r="C2320" s="9" t="s">
        <v>4435</v>
      </c>
      <c r="D2320" s="14" t="s">
        <v>4482</v>
      </c>
      <c r="E2320" s="9" t="s">
        <v>11</v>
      </c>
    </row>
    <row r="2321" spans="1:5" ht="15" customHeight="1" outlineLevel="2" x14ac:dyDescent="0.25">
      <c r="A2321" s="3" t="str">
        <f>HYPERLINK("http://mystore1.ru/price_items/search?utf8=%E2%9C%93&amp;oem=3534RCLH5RQ","3534RCLH5RQ")</f>
        <v>3534RCLH5RQ</v>
      </c>
      <c r="B2321" s="1" t="s">
        <v>4483</v>
      </c>
      <c r="C2321" s="9" t="s">
        <v>4435</v>
      </c>
      <c r="D2321" s="14" t="s">
        <v>4484</v>
      </c>
      <c r="E2321" s="9" t="s">
        <v>11</v>
      </c>
    </row>
    <row r="2322" spans="1:5" ht="15" customHeight="1" outlineLevel="2" x14ac:dyDescent="0.25">
      <c r="A2322" s="3" t="str">
        <f>HYPERLINK("http://mystore1.ru/price_items/search?utf8=%E2%9C%93&amp;oem=3534RCLH5RV1J","3534RCLH5RV1J")</f>
        <v>3534RCLH5RV1J</v>
      </c>
      <c r="B2322" s="1" t="s">
        <v>4485</v>
      </c>
      <c r="C2322" s="9" t="s">
        <v>4435</v>
      </c>
      <c r="D2322" s="14" t="s">
        <v>4486</v>
      </c>
      <c r="E2322" s="9" t="s">
        <v>11</v>
      </c>
    </row>
    <row r="2323" spans="1:5" ht="15" customHeight="1" outlineLevel="2" x14ac:dyDescent="0.25">
      <c r="A2323" s="3" t="str">
        <f>HYPERLINK("http://mystore1.ru/price_items/search?utf8=%E2%9C%93&amp;oem=3534RGNH3FD","3534RGNH3FD")</f>
        <v>3534RGNH3FD</v>
      </c>
      <c r="B2323" s="1" t="s">
        <v>4487</v>
      </c>
      <c r="C2323" s="9" t="s">
        <v>4435</v>
      </c>
      <c r="D2323" s="14" t="s">
        <v>4488</v>
      </c>
      <c r="E2323" s="9" t="s">
        <v>11</v>
      </c>
    </row>
    <row r="2324" spans="1:5" ht="15" customHeight="1" outlineLevel="2" x14ac:dyDescent="0.25">
      <c r="A2324" s="3" t="str">
        <f>HYPERLINK("http://mystore1.ru/price_items/search?utf8=%E2%9C%93&amp;oem=3534RGNH5FD","3534RGNH5FD")</f>
        <v>3534RGNH5FD</v>
      </c>
      <c r="B2324" s="1" t="s">
        <v>4489</v>
      </c>
      <c r="C2324" s="9" t="s">
        <v>4435</v>
      </c>
      <c r="D2324" s="14" t="s">
        <v>4490</v>
      </c>
      <c r="E2324" s="9" t="s">
        <v>11</v>
      </c>
    </row>
    <row r="2325" spans="1:5" ht="15" customHeight="1" outlineLevel="2" x14ac:dyDescent="0.25">
      <c r="A2325" s="3" t="str">
        <f>HYPERLINK("http://mystore1.ru/price_items/search?utf8=%E2%9C%93&amp;oem=3534RGNH5RD","3534RGNH5RD")</f>
        <v>3534RGNH5RD</v>
      </c>
      <c r="B2325" s="1" t="s">
        <v>4491</v>
      </c>
      <c r="C2325" s="9" t="s">
        <v>4435</v>
      </c>
      <c r="D2325" s="14" t="s">
        <v>4492</v>
      </c>
      <c r="E2325" s="9" t="s">
        <v>11</v>
      </c>
    </row>
    <row r="2326" spans="1:5" ht="15" customHeight="1" outlineLevel="2" x14ac:dyDescent="0.25">
      <c r="A2326" s="3" t="str">
        <f>HYPERLINK("http://mystore1.ru/price_items/search?utf8=%E2%9C%93&amp;oem=3534RGNH5RQ","3534RGNH5RQ")</f>
        <v>3534RGNH5RQ</v>
      </c>
      <c r="B2326" s="1" t="s">
        <v>4493</v>
      </c>
      <c r="C2326" s="9" t="s">
        <v>4435</v>
      </c>
      <c r="D2326" s="14" t="s">
        <v>4494</v>
      </c>
      <c r="E2326" s="9" t="s">
        <v>11</v>
      </c>
    </row>
    <row r="2327" spans="1:5" ht="15" customHeight="1" outlineLevel="2" x14ac:dyDescent="0.25">
      <c r="A2327" s="3" t="str">
        <f>HYPERLINK("http://mystore1.ru/price_items/search?utf8=%E2%9C%93&amp;oem=3534RGNH5RV1J","3534RGNH5RV1J")</f>
        <v>3534RGNH5RV1J</v>
      </c>
      <c r="B2327" s="1" t="s">
        <v>4495</v>
      </c>
      <c r="C2327" s="9" t="s">
        <v>4435</v>
      </c>
      <c r="D2327" s="14" t="s">
        <v>4496</v>
      </c>
      <c r="E2327" s="9" t="s">
        <v>11</v>
      </c>
    </row>
    <row r="2328" spans="1:5" outlineLevel="1" x14ac:dyDescent="0.25">
      <c r="A2328" s="2"/>
      <c r="B2328" s="6" t="s">
        <v>4497</v>
      </c>
      <c r="C2328" s="8"/>
      <c r="D2328" s="8"/>
      <c r="E2328" s="8"/>
    </row>
    <row r="2329" spans="1:5" ht="15" customHeight="1" outlineLevel="2" x14ac:dyDescent="0.25">
      <c r="A2329" s="3" t="str">
        <f>HYPERLINK("http://mystore1.ru/price_items/search?utf8=%E2%9C%93&amp;oem=3545ACL","3545ACL")</f>
        <v>3545ACL</v>
      </c>
      <c r="B2329" s="1" t="s">
        <v>4498</v>
      </c>
      <c r="C2329" s="9" t="s">
        <v>22</v>
      </c>
      <c r="D2329" s="14" t="s">
        <v>4499</v>
      </c>
      <c r="E2329" s="9" t="s">
        <v>8</v>
      </c>
    </row>
    <row r="2330" spans="1:5" ht="15" customHeight="1" outlineLevel="2" x14ac:dyDescent="0.25">
      <c r="A2330" s="3" t="str">
        <f>HYPERLINK("http://mystore1.ru/price_items/search?utf8=%E2%9C%93&amp;oem=3545ACLV","3545ACLV")</f>
        <v>3545ACLV</v>
      </c>
      <c r="B2330" s="1" t="s">
        <v>4500</v>
      </c>
      <c r="C2330" s="9" t="s">
        <v>623</v>
      </c>
      <c r="D2330" s="14" t="s">
        <v>4501</v>
      </c>
      <c r="E2330" s="9" t="s">
        <v>8</v>
      </c>
    </row>
    <row r="2331" spans="1:5" ht="15" customHeight="1" outlineLevel="2" x14ac:dyDescent="0.25">
      <c r="A2331" s="3" t="str">
        <f>HYPERLINK("http://mystore1.ru/price_items/search?utf8=%E2%9C%93&amp;oem=3545AGN","3545AGN")</f>
        <v>3545AGN</v>
      </c>
      <c r="B2331" s="1" t="s">
        <v>4502</v>
      </c>
      <c r="C2331" s="9" t="s">
        <v>891</v>
      </c>
      <c r="D2331" s="14" t="s">
        <v>4503</v>
      </c>
      <c r="E2331" s="9" t="s">
        <v>8</v>
      </c>
    </row>
    <row r="2332" spans="1:5" ht="15" customHeight="1" outlineLevel="2" x14ac:dyDescent="0.25">
      <c r="A2332" s="3" t="str">
        <f>HYPERLINK("http://mystore1.ru/price_items/search?utf8=%E2%9C%93&amp;oem=3545AGNBL","3545AGNBL")</f>
        <v>3545AGNBL</v>
      </c>
      <c r="B2332" s="1" t="s">
        <v>4504</v>
      </c>
      <c r="C2332" s="9" t="s">
        <v>891</v>
      </c>
      <c r="D2332" s="14" t="s">
        <v>4505</v>
      </c>
      <c r="E2332" s="9" t="s">
        <v>8</v>
      </c>
    </row>
    <row r="2333" spans="1:5" ht="15" customHeight="1" outlineLevel="2" x14ac:dyDescent="0.25">
      <c r="A2333" s="3" t="str">
        <f>HYPERLINK("http://mystore1.ru/price_items/search?utf8=%E2%9C%93&amp;oem=3545AGNBLV","3545AGNBLV")</f>
        <v>3545AGNBLV</v>
      </c>
      <c r="B2333" s="1" t="s">
        <v>4506</v>
      </c>
      <c r="C2333" s="9" t="s">
        <v>623</v>
      </c>
      <c r="D2333" s="14" t="s">
        <v>4507</v>
      </c>
      <c r="E2333" s="9" t="s">
        <v>8</v>
      </c>
    </row>
    <row r="2334" spans="1:5" ht="15" customHeight="1" outlineLevel="2" x14ac:dyDescent="0.25">
      <c r="A2334" s="3" t="str">
        <f>HYPERLINK("http://mystore1.ru/price_items/search?utf8=%E2%9C%93&amp;oem=3545AGNGN","3545AGNGN")</f>
        <v>3545AGNGN</v>
      </c>
      <c r="B2334" s="1" t="s">
        <v>4508</v>
      </c>
      <c r="C2334" s="9" t="s">
        <v>891</v>
      </c>
      <c r="D2334" s="14" t="s">
        <v>4509</v>
      </c>
      <c r="E2334" s="9" t="s">
        <v>8</v>
      </c>
    </row>
    <row r="2335" spans="1:5" ht="15" customHeight="1" outlineLevel="2" x14ac:dyDescent="0.25">
      <c r="A2335" s="3" t="str">
        <f>HYPERLINK("http://mystore1.ru/price_items/search?utf8=%E2%9C%93&amp;oem=3545AGNGNV","3545AGNGNV")</f>
        <v>3545AGNGNV</v>
      </c>
      <c r="B2335" s="1" t="s">
        <v>4510</v>
      </c>
      <c r="C2335" s="9" t="s">
        <v>891</v>
      </c>
      <c r="D2335" s="14" t="s">
        <v>4511</v>
      </c>
      <c r="E2335" s="9" t="s">
        <v>8</v>
      </c>
    </row>
    <row r="2336" spans="1:5" ht="15" customHeight="1" outlineLevel="2" x14ac:dyDescent="0.25">
      <c r="A2336" s="3" t="str">
        <f>HYPERLINK("http://mystore1.ru/price_items/search?utf8=%E2%9C%93&amp;oem=3545AGNH","3545AGNH")</f>
        <v>3545AGNH</v>
      </c>
      <c r="B2336" s="1" t="s">
        <v>4512</v>
      </c>
      <c r="C2336" s="9" t="s">
        <v>891</v>
      </c>
      <c r="D2336" s="14" t="s">
        <v>4513</v>
      </c>
      <c r="E2336" s="9" t="s">
        <v>8</v>
      </c>
    </row>
    <row r="2337" spans="1:5" ht="15" customHeight="1" outlineLevel="2" x14ac:dyDescent="0.25">
      <c r="A2337" s="3" t="str">
        <f>HYPERLINK("http://mystore1.ru/price_items/search?utf8=%E2%9C%93&amp;oem=3545AGNHV","3545AGNHV")</f>
        <v>3545AGNHV</v>
      </c>
      <c r="B2337" s="1" t="s">
        <v>4514</v>
      </c>
      <c r="C2337" s="9" t="s">
        <v>623</v>
      </c>
      <c r="D2337" s="14" t="s">
        <v>4515</v>
      </c>
      <c r="E2337" s="9" t="s">
        <v>8</v>
      </c>
    </row>
    <row r="2338" spans="1:5" ht="15" customHeight="1" outlineLevel="2" x14ac:dyDescent="0.25">
      <c r="A2338" s="3" t="str">
        <f>HYPERLINK("http://mystore1.ru/price_items/search?utf8=%E2%9C%93&amp;oem=3545AGNV","3545AGNV")</f>
        <v>3545AGNV</v>
      </c>
      <c r="B2338" s="1" t="s">
        <v>4516</v>
      </c>
      <c r="C2338" s="9" t="s">
        <v>623</v>
      </c>
      <c r="D2338" s="14" t="s">
        <v>4517</v>
      </c>
      <c r="E2338" s="9" t="s">
        <v>8</v>
      </c>
    </row>
    <row r="2339" spans="1:5" ht="15" customHeight="1" outlineLevel="2" x14ac:dyDescent="0.25">
      <c r="A2339" s="3" t="str">
        <f>HYPERLINK("http://mystore1.ru/price_items/search?utf8=%E2%9C%93&amp;oem=3545ASMH","3545ASMH")</f>
        <v>3545ASMH</v>
      </c>
      <c r="B2339" s="1" t="s">
        <v>4518</v>
      </c>
      <c r="C2339" s="9" t="s">
        <v>25</v>
      </c>
      <c r="D2339" s="14" t="s">
        <v>4519</v>
      </c>
      <c r="E2339" s="9" t="s">
        <v>27</v>
      </c>
    </row>
    <row r="2340" spans="1:5" ht="15" customHeight="1" outlineLevel="2" x14ac:dyDescent="0.25">
      <c r="A2340" s="3" t="str">
        <f>HYPERLINK("http://mystore1.ru/price_items/search?utf8=%E2%9C%93&amp;oem=3545ASMHT","3545ASMHT")</f>
        <v>3545ASMHT</v>
      </c>
      <c r="B2340" s="1" t="s">
        <v>4520</v>
      </c>
      <c r="C2340" s="9" t="s">
        <v>25</v>
      </c>
      <c r="D2340" s="14" t="s">
        <v>4521</v>
      </c>
      <c r="E2340" s="9" t="s">
        <v>27</v>
      </c>
    </row>
    <row r="2341" spans="1:5" ht="15" customHeight="1" outlineLevel="2" x14ac:dyDescent="0.25">
      <c r="A2341" s="3" t="str">
        <f>HYPERLINK("http://mystore1.ru/price_items/search?utf8=%E2%9C%93&amp;oem=3545BCLE","3545BCLE")</f>
        <v>3545BCLE</v>
      </c>
      <c r="B2341" s="1" t="s">
        <v>4522</v>
      </c>
      <c r="C2341" s="9" t="s">
        <v>891</v>
      </c>
      <c r="D2341" s="14" t="s">
        <v>4523</v>
      </c>
      <c r="E2341" s="9" t="s">
        <v>30</v>
      </c>
    </row>
    <row r="2342" spans="1:5" ht="15" customHeight="1" outlineLevel="2" x14ac:dyDescent="0.25">
      <c r="A2342" s="3" t="str">
        <f>HYPERLINK("http://mystore1.ru/price_items/search?utf8=%E2%9C%93&amp;oem=3545BCLH","3545BCLH")</f>
        <v>3545BCLH</v>
      </c>
      <c r="B2342" s="1" t="s">
        <v>4524</v>
      </c>
      <c r="C2342" s="9" t="s">
        <v>4525</v>
      </c>
      <c r="D2342" s="14" t="s">
        <v>4526</v>
      </c>
      <c r="E2342" s="9" t="s">
        <v>30</v>
      </c>
    </row>
    <row r="2343" spans="1:5" ht="15" customHeight="1" outlineLevel="2" x14ac:dyDescent="0.25">
      <c r="A2343" s="3" t="str">
        <f>HYPERLINK("http://mystore1.ru/price_items/search?utf8=%E2%9C%93&amp;oem=3545BCLH1J","3545BCLH1J")</f>
        <v>3545BCLH1J</v>
      </c>
      <c r="B2343" s="1" t="s">
        <v>4527</v>
      </c>
      <c r="C2343" s="9" t="s">
        <v>4528</v>
      </c>
      <c r="D2343" s="14" t="s">
        <v>4529</v>
      </c>
      <c r="E2343" s="9" t="s">
        <v>30</v>
      </c>
    </row>
    <row r="2344" spans="1:5" ht="15" customHeight="1" outlineLevel="2" x14ac:dyDescent="0.25">
      <c r="A2344" s="3" t="str">
        <f>HYPERLINK("http://mystore1.ru/price_items/search?utf8=%E2%9C%93&amp;oem=3545BCLVLU","3545BCLVLU")</f>
        <v>3545BCLVLU</v>
      </c>
      <c r="B2344" s="1" t="s">
        <v>4530</v>
      </c>
      <c r="C2344" s="9" t="s">
        <v>891</v>
      </c>
      <c r="D2344" s="14" t="s">
        <v>4531</v>
      </c>
      <c r="E2344" s="9" t="s">
        <v>30</v>
      </c>
    </row>
    <row r="2345" spans="1:5" ht="15" customHeight="1" outlineLevel="2" x14ac:dyDescent="0.25">
      <c r="A2345" s="3" t="str">
        <f>HYPERLINK("http://mystore1.ru/price_items/search?utf8=%E2%9C%93&amp;oem=3545BCLVRU","3545BCLVRU")</f>
        <v>3545BCLVRU</v>
      </c>
      <c r="B2345" s="1" t="s">
        <v>4532</v>
      </c>
      <c r="C2345" s="9" t="s">
        <v>891</v>
      </c>
      <c r="D2345" s="14" t="s">
        <v>4533</v>
      </c>
      <c r="E2345" s="9" t="s">
        <v>30</v>
      </c>
    </row>
    <row r="2346" spans="1:5" ht="15" customHeight="1" outlineLevel="2" x14ac:dyDescent="0.25">
      <c r="A2346" s="3" t="str">
        <f>HYPERLINK("http://mystore1.ru/price_items/search?utf8=%E2%9C%93&amp;oem=3545BGNE","3545BGNE")</f>
        <v>3545BGNE</v>
      </c>
      <c r="B2346" s="1" t="s">
        <v>4534</v>
      </c>
      <c r="C2346" s="9" t="s">
        <v>891</v>
      </c>
      <c r="D2346" s="14" t="s">
        <v>4535</v>
      </c>
      <c r="E2346" s="9" t="s">
        <v>30</v>
      </c>
    </row>
    <row r="2347" spans="1:5" ht="15" customHeight="1" outlineLevel="2" x14ac:dyDescent="0.25">
      <c r="A2347" s="3" t="str">
        <f>HYPERLINK("http://mystore1.ru/price_items/search?utf8=%E2%9C%93&amp;oem=3545BGNH","3545BGNH")</f>
        <v>3545BGNH</v>
      </c>
      <c r="B2347" s="1" t="s">
        <v>4536</v>
      </c>
      <c r="C2347" s="9" t="s">
        <v>4525</v>
      </c>
      <c r="D2347" s="14" t="s">
        <v>4537</v>
      </c>
      <c r="E2347" s="9" t="s">
        <v>30</v>
      </c>
    </row>
    <row r="2348" spans="1:5" ht="15" customHeight="1" outlineLevel="2" x14ac:dyDescent="0.25">
      <c r="A2348" s="3" t="str">
        <f>HYPERLINK("http://mystore1.ru/price_items/search?utf8=%E2%9C%93&amp;oem=3545BGNH1J","3545BGNH1J")</f>
        <v>3545BGNH1J</v>
      </c>
      <c r="B2348" s="1" t="s">
        <v>4538</v>
      </c>
      <c r="C2348" s="9" t="s">
        <v>2984</v>
      </c>
      <c r="D2348" s="14" t="s">
        <v>4539</v>
      </c>
      <c r="E2348" s="9" t="s">
        <v>30</v>
      </c>
    </row>
    <row r="2349" spans="1:5" ht="15" customHeight="1" outlineLevel="2" x14ac:dyDescent="0.25">
      <c r="A2349" s="3" t="str">
        <f>HYPERLINK("http://mystore1.ru/price_items/search?utf8=%E2%9C%93&amp;oem=3545BGNHB1J","3545BGNHB1J")</f>
        <v>3545BGNHB1J</v>
      </c>
      <c r="B2349" s="1" t="s">
        <v>4540</v>
      </c>
      <c r="C2349" s="9" t="s">
        <v>891</v>
      </c>
      <c r="D2349" s="14" t="s">
        <v>4541</v>
      </c>
      <c r="E2349" s="9" t="s">
        <v>30</v>
      </c>
    </row>
    <row r="2350" spans="1:5" ht="15" customHeight="1" outlineLevel="2" x14ac:dyDescent="0.25">
      <c r="A2350" s="3" t="str">
        <f>HYPERLINK("http://mystore1.ru/price_items/search?utf8=%E2%9C%93&amp;oem=3545BGNS","3545BGNS")</f>
        <v>3545BGNS</v>
      </c>
      <c r="B2350" s="1" t="s">
        <v>4542</v>
      </c>
      <c r="C2350" s="9" t="s">
        <v>891</v>
      </c>
      <c r="D2350" s="14" t="s">
        <v>4543</v>
      </c>
      <c r="E2350" s="9" t="s">
        <v>30</v>
      </c>
    </row>
    <row r="2351" spans="1:5" ht="15" customHeight="1" outlineLevel="2" x14ac:dyDescent="0.25">
      <c r="A2351" s="3" t="str">
        <f>HYPERLINK("http://mystore1.ru/price_items/search?utf8=%E2%9C%93&amp;oem=3545BSMH","3545BSMH")</f>
        <v>3545BSMH</v>
      </c>
      <c r="B2351" s="1" t="s">
        <v>4544</v>
      </c>
      <c r="C2351" s="9" t="s">
        <v>25</v>
      </c>
      <c r="D2351" s="14" t="s">
        <v>4545</v>
      </c>
      <c r="E2351" s="9" t="s">
        <v>27</v>
      </c>
    </row>
    <row r="2352" spans="1:5" ht="15" customHeight="1" outlineLevel="2" x14ac:dyDescent="0.25">
      <c r="A2352" s="3" t="str">
        <f>HYPERLINK("http://mystore1.ru/price_items/search?utf8=%E2%9C%93&amp;oem=3545LCLE5RD","3545LCLE5RD")</f>
        <v>3545LCLE5RD</v>
      </c>
      <c r="B2352" s="1" t="s">
        <v>4546</v>
      </c>
      <c r="C2352" s="9" t="s">
        <v>891</v>
      </c>
      <c r="D2352" s="14" t="s">
        <v>4547</v>
      </c>
      <c r="E2352" s="9" t="s">
        <v>11</v>
      </c>
    </row>
    <row r="2353" spans="1:5" ht="15" customHeight="1" outlineLevel="2" x14ac:dyDescent="0.25">
      <c r="A2353" s="3" t="str">
        <f>HYPERLINK("http://mystore1.ru/price_items/search?utf8=%E2%9C%93&amp;oem=3545LCLE5RQ","3545LCLE5RQ")</f>
        <v>3545LCLE5RQ</v>
      </c>
      <c r="B2353" s="1" t="s">
        <v>4548</v>
      </c>
      <c r="C2353" s="9" t="s">
        <v>891</v>
      </c>
      <c r="D2353" s="14" t="s">
        <v>4549</v>
      </c>
      <c r="E2353" s="9" t="s">
        <v>11</v>
      </c>
    </row>
    <row r="2354" spans="1:5" ht="15" customHeight="1" outlineLevel="2" x14ac:dyDescent="0.25">
      <c r="A2354" s="3" t="str">
        <f>HYPERLINK("http://mystore1.ru/price_items/search?utf8=%E2%9C%93&amp;oem=3545LCLH3FD","3545LCLH3FD")</f>
        <v>3545LCLH3FD</v>
      </c>
      <c r="B2354" s="1" t="s">
        <v>4550</v>
      </c>
      <c r="C2354" s="9" t="s">
        <v>891</v>
      </c>
      <c r="D2354" s="14" t="s">
        <v>4551</v>
      </c>
      <c r="E2354" s="9" t="s">
        <v>11</v>
      </c>
    </row>
    <row r="2355" spans="1:5" ht="15" customHeight="1" outlineLevel="2" x14ac:dyDescent="0.25">
      <c r="A2355" s="3" t="str">
        <f>HYPERLINK("http://mystore1.ru/price_items/search?utf8=%E2%9C%93&amp;oem=3545LCLH5FD","3545LCLH5FD")</f>
        <v>3545LCLH5FD</v>
      </c>
      <c r="B2355" s="1" t="s">
        <v>4552</v>
      </c>
      <c r="C2355" s="9" t="s">
        <v>891</v>
      </c>
      <c r="D2355" s="14" t="s">
        <v>4553</v>
      </c>
      <c r="E2355" s="9" t="s">
        <v>11</v>
      </c>
    </row>
    <row r="2356" spans="1:5" ht="15" customHeight="1" outlineLevel="2" x14ac:dyDescent="0.25">
      <c r="A2356" s="3" t="str">
        <f>HYPERLINK("http://mystore1.ru/price_items/search?utf8=%E2%9C%93&amp;oem=3545LCLH5RD","3545LCLH5RD")</f>
        <v>3545LCLH5RD</v>
      </c>
      <c r="B2356" s="1" t="s">
        <v>4554</v>
      </c>
      <c r="C2356" s="9" t="s">
        <v>891</v>
      </c>
      <c r="D2356" s="14" t="s">
        <v>4555</v>
      </c>
      <c r="E2356" s="9" t="s">
        <v>11</v>
      </c>
    </row>
    <row r="2357" spans="1:5" ht="15" customHeight="1" outlineLevel="2" x14ac:dyDescent="0.25">
      <c r="A2357" s="3" t="str">
        <f>HYPERLINK("http://mystore1.ru/price_items/search?utf8=%E2%9C%93&amp;oem=3545LGNE5RD","3545LGNE5RD")</f>
        <v>3545LGNE5RD</v>
      </c>
      <c r="B2357" s="1" t="s">
        <v>4556</v>
      </c>
      <c r="C2357" s="9" t="s">
        <v>891</v>
      </c>
      <c r="D2357" s="14" t="s">
        <v>4557</v>
      </c>
      <c r="E2357" s="9" t="s">
        <v>11</v>
      </c>
    </row>
    <row r="2358" spans="1:5" ht="15" customHeight="1" outlineLevel="2" x14ac:dyDescent="0.25">
      <c r="A2358" s="3" t="str">
        <f>HYPERLINK("http://mystore1.ru/price_items/search?utf8=%E2%9C%93&amp;oem=3545LGNE5RQ","3545LGNE5RQ")</f>
        <v>3545LGNE5RQ</v>
      </c>
      <c r="B2358" s="1" t="s">
        <v>4558</v>
      </c>
      <c r="C2358" s="9" t="s">
        <v>891</v>
      </c>
      <c r="D2358" s="14" t="s">
        <v>4559</v>
      </c>
      <c r="E2358" s="9" t="s">
        <v>11</v>
      </c>
    </row>
    <row r="2359" spans="1:5" ht="15" customHeight="1" outlineLevel="2" x14ac:dyDescent="0.25">
      <c r="A2359" s="3" t="str">
        <f>HYPERLINK("http://mystore1.ru/price_items/search?utf8=%E2%9C%93&amp;oem=3545LGNH3FD","3545LGNH3FD")</f>
        <v>3545LGNH3FD</v>
      </c>
      <c r="B2359" s="1" t="s">
        <v>4560</v>
      </c>
      <c r="C2359" s="9" t="s">
        <v>891</v>
      </c>
      <c r="D2359" s="14" t="s">
        <v>4561</v>
      </c>
      <c r="E2359" s="9" t="s">
        <v>11</v>
      </c>
    </row>
    <row r="2360" spans="1:5" ht="15" customHeight="1" outlineLevel="2" x14ac:dyDescent="0.25">
      <c r="A2360" s="3" t="str">
        <f>HYPERLINK("http://mystore1.ru/price_items/search?utf8=%E2%9C%93&amp;oem=3545LGNH3RQ","3545LGNH3RQ")</f>
        <v>3545LGNH3RQ</v>
      </c>
      <c r="B2360" s="1" t="s">
        <v>4562</v>
      </c>
      <c r="C2360" s="9" t="s">
        <v>891</v>
      </c>
      <c r="D2360" s="14" t="s">
        <v>4563</v>
      </c>
      <c r="E2360" s="9" t="s">
        <v>11</v>
      </c>
    </row>
    <row r="2361" spans="1:5" ht="15" customHeight="1" outlineLevel="2" x14ac:dyDescent="0.25">
      <c r="A2361" s="3" t="str">
        <f>HYPERLINK("http://mystore1.ru/price_items/search?utf8=%E2%9C%93&amp;oem=3545LGNH5FD","3545LGNH5FD")</f>
        <v>3545LGNH5FD</v>
      </c>
      <c r="B2361" s="1" t="s">
        <v>4564</v>
      </c>
      <c r="C2361" s="9" t="s">
        <v>891</v>
      </c>
      <c r="D2361" s="14" t="s">
        <v>4565</v>
      </c>
      <c r="E2361" s="9" t="s">
        <v>11</v>
      </c>
    </row>
    <row r="2362" spans="1:5" ht="15" customHeight="1" outlineLevel="2" x14ac:dyDescent="0.25">
      <c r="A2362" s="3" t="str">
        <f>HYPERLINK("http://mystore1.ru/price_items/search?utf8=%E2%9C%93&amp;oem=3545LGNH5RD","3545LGNH5RD")</f>
        <v>3545LGNH5RD</v>
      </c>
      <c r="B2362" s="1" t="s">
        <v>4566</v>
      </c>
      <c r="C2362" s="9" t="s">
        <v>891</v>
      </c>
      <c r="D2362" s="14" t="s">
        <v>4567</v>
      </c>
      <c r="E2362" s="9" t="s">
        <v>11</v>
      </c>
    </row>
    <row r="2363" spans="1:5" ht="15" customHeight="1" outlineLevel="2" x14ac:dyDescent="0.25">
      <c r="A2363" s="3" t="str">
        <f>HYPERLINK("http://mystore1.ru/price_items/search?utf8=%E2%9C%93&amp;oem=3545RCLE5RD","3545RCLE5RD")</f>
        <v>3545RCLE5RD</v>
      </c>
      <c r="B2363" s="1" t="s">
        <v>4568</v>
      </c>
      <c r="C2363" s="9" t="s">
        <v>891</v>
      </c>
      <c r="D2363" s="14" t="s">
        <v>4569</v>
      </c>
      <c r="E2363" s="9" t="s">
        <v>11</v>
      </c>
    </row>
    <row r="2364" spans="1:5" ht="15" customHeight="1" outlineLevel="2" x14ac:dyDescent="0.25">
      <c r="A2364" s="3" t="str">
        <f>HYPERLINK("http://mystore1.ru/price_items/search?utf8=%E2%9C%93&amp;oem=3545RCLH3FD","3545RCLH3FD")</f>
        <v>3545RCLH3FD</v>
      </c>
      <c r="B2364" s="1" t="s">
        <v>4570</v>
      </c>
      <c r="C2364" s="9" t="s">
        <v>891</v>
      </c>
      <c r="D2364" s="14" t="s">
        <v>4571</v>
      </c>
      <c r="E2364" s="9" t="s">
        <v>11</v>
      </c>
    </row>
    <row r="2365" spans="1:5" ht="15" customHeight="1" outlineLevel="2" x14ac:dyDescent="0.25">
      <c r="A2365" s="3" t="str">
        <f>HYPERLINK("http://mystore1.ru/price_items/search?utf8=%E2%9C%93&amp;oem=3545RCLH5FD","3545RCLH5FD")</f>
        <v>3545RCLH5FD</v>
      </c>
      <c r="B2365" s="1" t="s">
        <v>4572</v>
      </c>
      <c r="C2365" s="9" t="s">
        <v>891</v>
      </c>
      <c r="D2365" s="14" t="s">
        <v>4573</v>
      </c>
      <c r="E2365" s="9" t="s">
        <v>11</v>
      </c>
    </row>
    <row r="2366" spans="1:5" ht="15" customHeight="1" outlineLevel="2" x14ac:dyDescent="0.25">
      <c r="A2366" s="3" t="str">
        <f>HYPERLINK("http://mystore1.ru/price_items/search?utf8=%E2%9C%93&amp;oem=3545RCLH5RD","3545RCLH5RD")</f>
        <v>3545RCLH5RD</v>
      </c>
      <c r="B2366" s="1" t="s">
        <v>4574</v>
      </c>
      <c r="C2366" s="9" t="s">
        <v>891</v>
      </c>
      <c r="D2366" s="14" t="s">
        <v>4575</v>
      </c>
      <c r="E2366" s="9" t="s">
        <v>11</v>
      </c>
    </row>
    <row r="2367" spans="1:5" ht="15" customHeight="1" outlineLevel="2" x14ac:dyDescent="0.25">
      <c r="A2367" s="3" t="str">
        <f>HYPERLINK("http://mystore1.ru/price_items/search?utf8=%E2%9C%93&amp;oem=3545RGNE5RD","3545RGNE5RD")</f>
        <v>3545RGNE5RD</v>
      </c>
      <c r="B2367" s="1" t="s">
        <v>4576</v>
      </c>
      <c r="C2367" s="9" t="s">
        <v>891</v>
      </c>
      <c r="D2367" s="14" t="s">
        <v>4577</v>
      </c>
      <c r="E2367" s="9" t="s">
        <v>11</v>
      </c>
    </row>
    <row r="2368" spans="1:5" ht="15" customHeight="1" outlineLevel="2" x14ac:dyDescent="0.25">
      <c r="A2368" s="3" t="str">
        <f>HYPERLINK("http://mystore1.ru/price_items/search?utf8=%E2%9C%93&amp;oem=3545RGNE5RQ","3545RGNE5RQ")</f>
        <v>3545RGNE5RQ</v>
      </c>
      <c r="B2368" s="1" t="s">
        <v>4578</v>
      </c>
      <c r="C2368" s="9" t="s">
        <v>891</v>
      </c>
      <c r="D2368" s="14" t="s">
        <v>4579</v>
      </c>
      <c r="E2368" s="9" t="s">
        <v>11</v>
      </c>
    </row>
    <row r="2369" spans="1:5" ht="15" customHeight="1" outlineLevel="2" x14ac:dyDescent="0.25">
      <c r="A2369" s="3" t="str">
        <f>HYPERLINK("http://mystore1.ru/price_items/search?utf8=%E2%9C%93&amp;oem=3545RGNH3FD","3545RGNH3FD")</f>
        <v>3545RGNH3FD</v>
      </c>
      <c r="B2369" s="1" t="s">
        <v>4580</v>
      </c>
      <c r="C2369" s="9" t="s">
        <v>891</v>
      </c>
      <c r="D2369" s="14" t="s">
        <v>4581</v>
      </c>
      <c r="E2369" s="9" t="s">
        <v>11</v>
      </c>
    </row>
    <row r="2370" spans="1:5" ht="15" customHeight="1" outlineLevel="2" x14ac:dyDescent="0.25">
      <c r="A2370" s="3" t="str">
        <f>HYPERLINK("http://mystore1.ru/price_items/search?utf8=%E2%9C%93&amp;oem=3545RGNH3RQ","3545RGNH3RQ")</f>
        <v>3545RGNH3RQ</v>
      </c>
      <c r="B2370" s="1" t="s">
        <v>4582</v>
      </c>
      <c r="C2370" s="9" t="s">
        <v>891</v>
      </c>
      <c r="D2370" s="14" t="s">
        <v>4583</v>
      </c>
      <c r="E2370" s="9" t="s">
        <v>11</v>
      </c>
    </row>
    <row r="2371" spans="1:5" ht="15" customHeight="1" outlineLevel="2" x14ac:dyDescent="0.25">
      <c r="A2371" s="3" t="str">
        <f>HYPERLINK("http://mystore1.ru/price_items/search?utf8=%E2%9C%93&amp;oem=3545RGNH5FD","3545RGNH5FD")</f>
        <v>3545RGNH5FD</v>
      </c>
      <c r="B2371" s="1" t="s">
        <v>4584</v>
      </c>
      <c r="C2371" s="9" t="s">
        <v>891</v>
      </c>
      <c r="D2371" s="14" t="s">
        <v>4585</v>
      </c>
      <c r="E2371" s="9" t="s">
        <v>11</v>
      </c>
    </row>
    <row r="2372" spans="1:5" ht="15" customHeight="1" outlineLevel="2" x14ac:dyDescent="0.25">
      <c r="A2372" s="3" t="str">
        <f>HYPERLINK("http://mystore1.ru/price_items/search?utf8=%E2%9C%93&amp;oem=3545RGNH5RD","3545RGNH5RD")</f>
        <v>3545RGNH5RD</v>
      </c>
      <c r="B2372" s="1" t="s">
        <v>4586</v>
      </c>
      <c r="C2372" s="9" t="s">
        <v>891</v>
      </c>
      <c r="D2372" s="14" t="s">
        <v>4587</v>
      </c>
      <c r="E2372" s="9" t="s">
        <v>11</v>
      </c>
    </row>
    <row r="2373" spans="1:5" outlineLevel="1" x14ac:dyDescent="0.25">
      <c r="A2373" s="2"/>
      <c r="B2373" s="6" t="s">
        <v>4588</v>
      </c>
      <c r="C2373" s="8"/>
      <c r="D2373" s="8"/>
      <c r="E2373" s="8"/>
    </row>
    <row r="2374" spans="1:5" ht="15" customHeight="1" outlineLevel="2" x14ac:dyDescent="0.25">
      <c r="A2374" s="3" t="str">
        <f>HYPERLINK("http://mystore1.ru/price_items/search?utf8=%E2%9C%93&amp;oem=AF38AGSBLVZ","AF38AGSBLVZ")</f>
        <v>AF38AGSBLVZ</v>
      </c>
      <c r="B2374" s="1" t="s">
        <v>4589</v>
      </c>
      <c r="C2374" s="9" t="s">
        <v>1171</v>
      </c>
      <c r="D2374" s="14" t="s">
        <v>4590</v>
      </c>
      <c r="E2374" s="9" t="s">
        <v>8</v>
      </c>
    </row>
    <row r="2375" spans="1:5" ht="15" customHeight="1" outlineLevel="2" x14ac:dyDescent="0.25">
      <c r="A2375" s="3" t="str">
        <f>HYPERLINK("http://mystore1.ru/price_items/search?utf8=%E2%9C%93&amp;oem=AL16AGSBLV","AL16AGSBLV")</f>
        <v>AL16AGSBLV</v>
      </c>
      <c r="B2375" s="1" t="s">
        <v>4591</v>
      </c>
      <c r="C2375" s="9" t="s">
        <v>1590</v>
      </c>
      <c r="D2375" s="14" t="s">
        <v>4592</v>
      </c>
      <c r="E2375" s="9" t="s">
        <v>8</v>
      </c>
    </row>
    <row r="2376" spans="1:5" ht="15" customHeight="1" outlineLevel="2" x14ac:dyDescent="0.25">
      <c r="A2376" s="3" t="str">
        <f>HYPERLINK("http://mystore1.ru/price_items/search?utf8=%E2%9C%93&amp;oem=AF38LGSR5FDW","AF38LGSR5FDW")</f>
        <v>AF38LGSR5FDW</v>
      </c>
      <c r="B2376" s="1" t="s">
        <v>4593</v>
      </c>
      <c r="C2376" s="9" t="s">
        <v>1171</v>
      </c>
      <c r="D2376" s="14" t="s">
        <v>4594</v>
      </c>
      <c r="E2376" s="9" t="s">
        <v>11</v>
      </c>
    </row>
    <row r="2377" spans="1:5" ht="15" customHeight="1" outlineLevel="2" x14ac:dyDescent="0.25">
      <c r="A2377" s="3" t="str">
        <f>HYPERLINK("http://mystore1.ru/price_items/search?utf8=%E2%9C%93&amp;oem=AF38RGSR5FDW","AF38RGSR5FDW")</f>
        <v>AF38RGSR5FDW</v>
      </c>
      <c r="B2377" s="1" t="s">
        <v>4595</v>
      </c>
      <c r="C2377" s="9" t="s">
        <v>1171</v>
      </c>
      <c r="D2377" s="14" t="s">
        <v>4596</v>
      </c>
      <c r="E2377" s="9" t="s">
        <v>11</v>
      </c>
    </row>
    <row r="2378" spans="1:5" ht="15" customHeight="1" outlineLevel="2" x14ac:dyDescent="0.25">
      <c r="A2378" s="3" t="str">
        <f>HYPERLINK("http://mystore1.ru/price_items/search?utf8=%E2%9C%93&amp;oem=AL16RGNR5FD","AL16RGNR5FD")</f>
        <v>AL16RGNR5FD</v>
      </c>
      <c r="B2378" s="1" t="s">
        <v>4597</v>
      </c>
      <c r="C2378" s="9" t="s">
        <v>1590</v>
      </c>
      <c r="D2378" s="14" t="s">
        <v>4598</v>
      </c>
      <c r="E2378" s="9" t="s">
        <v>11</v>
      </c>
    </row>
    <row r="2379" spans="1:5" outlineLevel="1" x14ac:dyDescent="0.25">
      <c r="A2379" s="2"/>
      <c r="B2379" s="6" t="s">
        <v>4599</v>
      </c>
      <c r="C2379" s="8"/>
      <c r="D2379" s="8"/>
      <c r="E2379" s="8"/>
    </row>
    <row r="2380" spans="1:5" ht="15" customHeight="1" outlineLevel="2" x14ac:dyDescent="0.25">
      <c r="A2380" s="3" t="str">
        <f>HYPERLINK("http://mystore1.ru/price_items/search?utf8=%E2%9C%93&amp;oem=AF55AGSBLW","AF55AGSBLW")</f>
        <v>AF55AGSBLW</v>
      </c>
      <c r="B2380" s="1" t="s">
        <v>4600</v>
      </c>
      <c r="C2380" s="9" t="s">
        <v>4601</v>
      </c>
      <c r="D2380" s="14" t="s">
        <v>4602</v>
      </c>
      <c r="E2380" s="9" t="s">
        <v>8</v>
      </c>
    </row>
    <row r="2381" spans="1:5" outlineLevel="1" x14ac:dyDescent="0.25">
      <c r="A2381" s="2"/>
      <c r="B2381" s="6" t="s">
        <v>4603</v>
      </c>
      <c r="C2381" s="8"/>
      <c r="D2381" s="8"/>
      <c r="E2381" s="8"/>
    </row>
    <row r="2382" spans="1:5" ht="15" customHeight="1" outlineLevel="2" x14ac:dyDescent="0.25">
      <c r="A2382" s="3" t="str">
        <f>HYPERLINK("http://mystore1.ru/price_items/search?utf8=%E2%9C%93&amp;oem=1417AGNBLW","1417AGNBLW")</f>
        <v>1417AGNBLW</v>
      </c>
      <c r="B2382" s="1" t="s">
        <v>4604</v>
      </c>
      <c r="C2382" s="9" t="s">
        <v>2373</v>
      </c>
      <c r="D2382" s="14" t="s">
        <v>4605</v>
      </c>
      <c r="E2382" s="9" t="s">
        <v>8</v>
      </c>
    </row>
    <row r="2383" spans="1:5" outlineLevel="1" x14ac:dyDescent="0.25">
      <c r="A2383" s="2"/>
      <c r="B2383" s="6" t="s">
        <v>4606</v>
      </c>
      <c r="C2383" s="8"/>
      <c r="D2383" s="8"/>
      <c r="E2383" s="8"/>
    </row>
    <row r="2384" spans="1:5" ht="15" customHeight="1" outlineLevel="2" x14ac:dyDescent="0.25">
      <c r="A2384" s="3" t="str">
        <f>HYPERLINK("http://mystore1.ru/price_items/search?utf8=%E2%9C%93&amp;oem=AF27AGSBLVZ","AF27AGSBLVZ")</f>
        <v>AF27AGSBLVZ</v>
      </c>
      <c r="B2384" s="1" t="s">
        <v>4607</v>
      </c>
      <c r="C2384" s="9" t="s">
        <v>22</v>
      </c>
      <c r="D2384" s="14" t="s">
        <v>4608</v>
      </c>
      <c r="E2384" s="9" t="s">
        <v>8</v>
      </c>
    </row>
    <row r="2385" spans="1:5" outlineLevel="1" x14ac:dyDescent="0.25">
      <c r="A2385" s="2"/>
      <c r="B2385" s="6" t="s">
        <v>4609</v>
      </c>
      <c r="C2385" s="8"/>
      <c r="D2385" s="8"/>
      <c r="E2385" s="8"/>
    </row>
    <row r="2386" spans="1:5" ht="15" customHeight="1" outlineLevel="2" x14ac:dyDescent="0.25">
      <c r="A2386" s="3" t="str">
        <f>HYPERLINK("http://mystore1.ru/price_items/search?utf8=%E2%9C%93&amp;oem=3549AGNBL","3549AGNBL")</f>
        <v>3549AGNBL</v>
      </c>
      <c r="B2386" s="1" t="s">
        <v>4610</v>
      </c>
      <c r="C2386" s="9" t="s">
        <v>4611</v>
      </c>
      <c r="D2386" s="14" t="s">
        <v>4612</v>
      </c>
      <c r="E2386" s="9" t="s">
        <v>8</v>
      </c>
    </row>
    <row r="2387" spans="1:5" outlineLevel="1" x14ac:dyDescent="0.25">
      <c r="A2387" s="2"/>
      <c r="B2387" s="6" t="s">
        <v>4613</v>
      </c>
      <c r="C2387" s="8"/>
      <c r="D2387" s="8"/>
      <c r="E2387" s="8"/>
    </row>
    <row r="2388" spans="1:5" ht="15" customHeight="1" outlineLevel="2" x14ac:dyDescent="0.25">
      <c r="A2388" s="3" t="str">
        <f>HYPERLINK("http://mystore1.ru/price_items/search?utf8=%E2%9C%93&amp;oem=1551AGN","1551AGN")</f>
        <v>1551AGN</v>
      </c>
      <c r="B2388" s="1" t="s">
        <v>4614</v>
      </c>
      <c r="C2388" s="9" t="s">
        <v>464</v>
      </c>
      <c r="D2388" s="14" t="s">
        <v>4615</v>
      </c>
      <c r="E2388" s="9" t="s">
        <v>8</v>
      </c>
    </row>
    <row r="2389" spans="1:5" outlineLevel="1" x14ac:dyDescent="0.25">
      <c r="A2389" s="2"/>
      <c r="B2389" s="6" t="s">
        <v>4616</v>
      </c>
      <c r="C2389" s="8"/>
      <c r="D2389" s="8"/>
      <c r="E2389" s="8"/>
    </row>
    <row r="2390" spans="1:5" ht="15" customHeight="1" outlineLevel="2" x14ac:dyDescent="0.25">
      <c r="A2390" s="3" t="str">
        <f>HYPERLINK("http://mystore1.ru/price_items/search?utf8=%E2%9C%93&amp;oem=3532ACL","3532ACL")</f>
        <v>3532ACL</v>
      </c>
      <c r="B2390" s="1" t="s">
        <v>4617</v>
      </c>
      <c r="C2390" s="9" t="s">
        <v>4618</v>
      </c>
      <c r="D2390" s="14" t="s">
        <v>4619</v>
      </c>
      <c r="E2390" s="9" t="s">
        <v>8</v>
      </c>
    </row>
    <row r="2391" spans="1:5" ht="15" customHeight="1" outlineLevel="2" x14ac:dyDescent="0.25">
      <c r="A2391" s="3" t="str">
        <f>HYPERLINK("http://mystore1.ru/price_items/search?utf8=%E2%9C%93&amp;oem=3532LCLH3FD","3532LCLH3FD")</f>
        <v>3532LCLH3FD</v>
      </c>
      <c r="B2391" s="1" t="s">
        <v>4620</v>
      </c>
      <c r="C2391" s="9" t="s">
        <v>4618</v>
      </c>
      <c r="D2391" s="14" t="s">
        <v>4621</v>
      </c>
      <c r="E2391" s="9" t="s">
        <v>11</v>
      </c>
    </row>
    <row r="2392" spans="1:5" ht="15" customHeight="1" outlineLevel="2" x14ac:dyDescent="0.25">
      <c r="A2392" s="3" t="str">
        <f>HYPERLINK("http://mystore1.ru/price_items/search?utf8=%E2%9C%93&amp;oem=3532LCLH3FV","3532LCLH3FV")</f>
        <v>3532LCLH3FV</v>
      </c>
      <c r="B2392" s="1" t="s">
        <v>4622</v>
      </c>
      <c r="C2392" s="9" t="s">
        <v>4618</v>
      </c>
      <c r="D2392" s="14" t="s">
        <v>4623</v>
      </c>
      <c r="E2392" s="9" t="s">
        <v>11</v>
      </c>
    </row>
    <row r="2393" spans="1:5" ht="15" customHeight="1" outlineLevel="2" x14ac:dyDescent="0.25">
      <c r="A2393" s="3" t="str">
        <f>HYPERLINK("http://mystore1.ru/price_items/search?utf8=%E2%9C%93&amp;oem=3532LGNH3FD","3532LGNH3FD")</f>
        <v>3532LGNH3FD</v>
      </c>
      <c r="B2393" s="1" t="s">
        <v>4624</v>
      </c>
      <c r="C2393" s="9" t="s">
        <v>4618</v>
      </c>
      <c r="D2393" s="14" t="s">
        <v>4625</v>
      </c>
      <c r="E2393" s="9" t="s">
        <v>11</v>
      </c>
    </row>
    <row r="2394" spans="1:5" ht="15" customHeight="1" outlineLevel="2" x14ac:dyDescent="0.25">
      <c r="A2394" s="3" t="str">
        <f>HYPERLINK("http://mystore1.ru/price_items/search?utf8=%E2%9C%93&amp;oem=3532RCLH3FD","3532RCLH3FD")</f>
        <v>3532RCLH3FD</v>
      </c>
      <c r="B2394" s="1" t="s">
        <v>4626</v>
      </c>
      <c r="C2394" s="9" t="s">
        <v>4618</v>
      </c>
      <c r="D2394" s="14" t="s">
        <v>4627</v>
      </c>
      <c r="E2394" s="9" t="s">
        <v>11</v>
      </c>
    </row>
    <row r="2395" spans="1:5" ht="15" customHeight="1" outlineLevel="2" x14ac:dyDescent="0.25">
      <c r="A2395" s="3" t="str">
        <f>HYPERLINK("http://mystore1.ru/price_items/search?utf8=%E2%9C%93&amp;oem=3532RCLH3FV","3532RCLH3FV")</f>
        <v>3532RCLH3FV</v>
      </c>
      <c r="B2395" s="1" t="s">
        <v>4628</v>
      </c>
      <c r="C2395" s="9" t="s">
        <v>4618</v>
      </c>
      <c r="D2395" s="14" t="s">
        <v>4629</v>
      </c>
      <c r="E2395" s="9" t="s">
        <v>11</v>
      </c>
    </row>
    <row r="2396" spans="1:5" outlineLevel="1" x14ac:dyDescent="0.25">
      <c r="A2396" s="2"/>
      <c r="B2396" s="6" t="s">
        <v>4630</v>
      </c>
      <c r="C2396" s="8"/>
      <c r="D2396" s="8"/>
      <c r="E2396" s="8"/>
    </row>
    <row r="2397" spans="1:5" ht="15" customHeight="1" outlineLevel="2" x14ac:dyDescent="0.25">
      <c r="A2397" s="3" t="str">
        <f>HYPERLINK("http://mystore1.ru/price_items/search?utf8=%E2%9C%93&amp;oem=3536ACL","3536ACL")</f>
        <v>3536ACL</v>
      </c>
      <c r="B2397" s="1" t="s">
        <v>4631</v>
      </c>
      <c r="C2397" s="9" t="s">
        <v>4632</v>
      </c>
      <c r="D2397" s="14" t="s">
        <v>4633</v>
      </c>
      <c r="E2397" s="9" t="s">
        <v>8</v>
      </c>
    </row>
    <row r="2398" spans="1:5" ht="15" customHeight="1" outlineLevel="2" x14ac:dyDescent="0.25">
      <c r="A2398" s="3" t="str">
        <f>HYPERLINK("http://mystore1.ru/price_items/search?utf8=%E2%9C%93&amp;oem=3536AGN","3536AGN")</f>
        <v>3536AGN</v>
      </c>
      <c r="B2398" s="1" t="s">
        <v>4634</v>
      </c>
      <c r="C2398" s="9" t="s">
        <v>4632</v>
      </c>
      <c r="D2398" s="14" t="s">
        <v>4635</v>
      </c>
      <c r="E2398" s="9" t="s">
        <v>8</v>
      </c>
    </row>
    <row r="2399" spans="1:5" ht="15" customHeight="1" outlineLevel="2" x14ac:dyDescent="0.25">
      <c r="A2399" s="3" t="str">
        <f>HYPERLINK("http://mystore1.ru/price_items/search?utf8=%E2%9C%93&amp;oem=3536AGNBL","3536AGNBL")</f>
        <v>3536AGNBL</v>
      </c>
      <c r="B2399" s="1" t="s">
        <v>4636</v>
      </c>
      <c r="C2399" s="9" t="s">
        <v>4632</v>
      </c>
      <c r="D2399" s="14" t="s">
        <v>4637</v>
      </c>
      <c r="E2399" s="9" t="s">
        <v>8</v>
      </c>
    </row>
    <row r="2400" spans="1:5" ht="15" customHeight="1" outlineLevel="2" x14ac:dyDescent="0.25">
      <c r="A2400" s="3" t="str">
        <f>HYPERLINK("http://mystore1.ru/price_items/search?utf8=%E2%9C%93&amp;oem=3536ASRH1H","3536ASRH1H")</f>
        <v>3536ASRH1H</v>
      </c>
      <c r="B2400" s="1" t="s">
        <v>4638</v>
      </c>
      <c r="C2400" s="9" t="s">
        <v>25</v>
      </c>
      <c r="D2400" s="14" t="s">
        <v>4639</v>
      </c>
      <c r="E2400" s="9" t="s">
        <v>27</v>
      </c>
    </row>
    <row r="2401" spans="1:5" ht="15" customHeight="1" outlineLevel="2" x14ac:dyDescent="0.25">
      <c r="A2401" s="3" t="str">
        <f>HYPERLINK("http://mystore1.ru/price_items/search?utf8=%E2%9C%93&amp;oem=3536BCLH","3536BCLH")</f>
        <v>3536BCLH</v>
      </c>
      <c r="B2401" s="1" t="s">
        <v>4640</v>
      </c>
      <c r="C2401" s="9" t="s">
        <v>4632</v>
      </c>
      <c r="D2401" s="14" t="s">
        <v>4641</v>
      </c>
      <c r="E2401" s="9" t="s">
        <v>30</v>
      </c>
    </row>
    <row r="2402" spans="1:5" ht="15" customHeight="1" outlineLevel="2" x14ac:dyDescent="0.25">
      <c r="A2402" s="3" t="str">
        <f>HYPERLINK("http://mystore1.ru/price_items/search?utf8=%E2%9C%93&amp;oem=3536BGNH","3536BGNH")</f>
        <v>3536BGNH</v>
      </c>
      <c r="B2402" s="1" t="s">
        <v>4642</v>
      </c>
      <c r="C2402" s="9" t="s">
        <v>4632</v>
      </c>
      <c r="D2402" s="14" t="s">
        <v>4643</v>
      </c>
      <c r="E2402" s="9" t="s">
        <v>30</v>
      </c>
    </row>
    <row r="2403" spans="1:5" outlineLevel="1" x14ac:dyDescent="0.25">
      <c r="A2403" s="2"/>
      <c r="B2403" s="6" t="s">
        <v>4644</v>
      </c>
      <c r="C2403" s="8"/>
      <c r="D2403" s="8"/>
      <c r="E2403" s="8"/>
    </row>
    <row r="2404" spans="1:5" ht="15" customHeight="1" outlineLevel="2" x14ac:dyDescent="0.25">
      <c r="A2404" s="3" t="str">
        <f>HYPERLINK("http://mystore1.ru/price_items/search?utf8=%E2%9C%93&amp;oem=3544ACL","3544ACL")</f>
        <v>3544ACL</v>
      </c>
      <c r="B2404" s="1" t="s">
        <v>4645</v>
      </c>
      <c r="C2404" s="9" t="s">
        <v>4646</v>
      </c>
      <c r="D2404" s="14" t="s">
        <v>4647</v>
      </c>
      <c r="E2404" s="9" t="s">
        <v>8</v>
      </c>
    </row>
    <row r="2405" spans="1:5" ht="15" customHeight="1" outlineLevel="2" x14ac:dyDescent="0.25">
      <c r="A2405" s="3" t="str">
        <f>HYPERLINK("http://mystore1.ru/price_items/search?utf8=%E2%9C%93&amp;oem=3544AGN","3544AGN")</f>
        <v>3544AGN</v>
      </c>
      <c r="B2405" s="1" t="s">
        <v>4648</v>
      </c>
      <c r="C2405" s="9" t="s">
        <v>4646</v>
      </c>
      <c r="D2405" s="14" t="s">
        <v>4649</v>
      </c>
      <c r="E2405" s="9" t="s">
        <v>8</v>
      </c>
    </row>
    <row r="2406" spans="1:5" ht="15" customHeight="1" outlineLevel="2" x14ac:dyDescent="0.25">
      <c r="A2406" s="3" t="str">
        <f>HYPERLINK("http://mystore1.ru/price_items/search?utf8=%E2%9C%93&amp;oem=3544AGNBL","3544AGNBL")</f>
        <v>3544AGNBL</v>
      </c>
      <c r="B2406" s="1" t="s">
        <v>4650</v>
      </c>
      <c r="C2406" s="9" t="s">
        <v>4646</v>
      </c>
      <c r="D2406" s="14" t="s">
        <v>4651</v>
      </c>
      <c r="E2406" s="9" t="s">
        <v>8</v>
      </c>
    </row>
    <row r="2407" spans="1:5" ht="15" customHeight="1" outlineLevel="2" x14ac:dyDescent="0.25">
      <c r="A2407" s="3" t="str">
        <f>HYPERLINK("http://mystore1.ru/price_items/search?utf8=%E2%9C%93&amp;oem=3544AGNGN","3544AGNGN")</f>
        <v>3544AGNGN</v>
      </c>
      <c r="B2407" s="1" t="s">
        <v>4652</v>
      </c>
      <c r="C2407" s="9" t="s">
        <v>4646</v>
      </c>
      <c r="D2407" s="14" t="s">
        <v>4653</v>
      </c>
      <c r="E2407" s="9" t="s">
        <v>8</v>
      </c>
    </row>
    <row r="2408" spans="1:5" ht="15" customHeight="1" outlineLevel="2" x14ac:dyDescent="0.25">
      <c r="A2408" s="3" t="str">
        <f>HYPERLINK("http://mystore1.ru/price_items/search?utf8=%E2%9C%93&amp;oem=3544ASRH","3544ASRH")</f>
        <v>3544ASRH</v>
      </c>
      <c r="B2408" s="1" t="s">
        <v>4654</v>
      </c>
      <c r="C2408" s="9" t="s">
        <v>25</v>
      </c>
      <c r="D2408" s="14" t="s">
        <v>4655</v>
      </c>
      <c r="E2408" s="9" t="s">
        <v>27</v>
      </c>
    </row>
    <row r="2409" spans="1:5" ht="15" customHeight="1" outlineLevel="2" x14ac:dyDescent="0.25">
      <c r="A2409" s="3" t="str">
        <f>HYPERLINK("http://mystore1.ru/price_items/search?utf8=%E2%9C%93&amp;oem=3544BCLH","3544BCLH")</f>
        <v>3544BCLH</v>
      </c>
      <c r="B2409" s="1" t="s">
        <v>4656</v>
      </c>
      <c r="C2409" s="9" t="s">
        <v>4646</v>
      </c>
      <c r="D2409" s="14" t="s">
        <v>4657</v>
      </c>
      <c r="E2409" s="9" t="s">
        <v>30</v>
      </c>
    </row>
    <row r="2410" spans="1:5" ht="15" customHeight="1" outlineLevel="2" x14ac:dyDescent="0.25">
      <c r="A2410" s="3" t="str">
        <f>HYPERLINK("http://mystore1.ru/price_items/search?utf8=%E2%9C%93&amp;oem=3544BCLVL","3544BCLVL")</f>
        <v>3544BCLVL</v>
      </c>
      <c r="B2410" s="1" t="s">
        <v>4658</v>
      </c>
      <c r="C2410" s="9" t="s">
        <v>4646</v>
      </c>
      <c r="D2410" s="14" t="s">
        <v>4659</v>
      </c>
      <c r="E2410" s="9" t="s">
        <v>30</v>
      </c>
    </row>
    <row r="2411" spans="1:5" ht="15" customHeight="1" outlineLevel="2" x14ac:dyDescent="0.25">
      <c r="A2411" s="3" t="str">
        <f>HYPERLINK("http://mystore1.ru/price_items/search?utf8=%E2%9C%93&amp;oem=3544BCLVR","3544BCLVR")</f>
        <v>3544BCLVR</v>
      </c>
      <c r="B2411" s="1" t="s">
        <v>4660</v>
      </c>
      <c r="C2411" s="9" t="s">
        <v>4646</v>
      </c>
      <c r="D2411" s="14" t="s">
        <v>4661</v>
      </c>
      <c r="E2411" s="9" t="s">
        <v>30</v>
      </c>
    </row>
    <row r="2412" spans="1:5" ht="15" customHeight="1" outlineLevel="2" x14ac:dyDescent="0.25">
      <c r="A2412" s="3" t="str">
        <f>HYPERLINK("http://mystore1.ru/price_items/search?utf8=%E2%9C%93&amp;oem=3544BGNH","3544BGNH")</f>
        <v>3544BGNH</v>
      </c>
      <c r="B2412" s="1" t="s">
        <v>4662</v>
      </c>
      <c r="C2412" s="9" t="s">
        <v>4646</v>
      </c>
      <c r="D2412" s="14" t="s">
        <v>4663</v>
      </c>
      <c r="E2412" s="9" t="s">
        <v>30</v>
      </c>
    </row>
    <row r="2413" spans="1:5" ht="15" customHeight="1" outlineLevel="2" x14ac:dyDescent="0.25">
      <c r="A2413" s="3" t="str">
        <f>HYPERLINK("http://mystore1.ru/price_items/search?utf8=%E2%9C%93&amp;oem=3544BSRH","3544BSRH")</f>
        <v>3544BSRH</v>
      </c>
      <c r="B2413" s="1" t="s">
        <v>4664</v>
      </c>
      <c r="C2413" s="9" t="s">
        <v>25</v>
      </c>
      <c r="D2413" s="14" t="s">
        <v>4665</v>
      </c>
      <c r="E2413" s="9" t="s">
        <v>27</v>
      </c>
    </row>
    <row r="2414" spans="1:5" ht="15" customHeight="1" outlineLevel="2" x14ac:dyDescent="0.25">
      <c r="A2414" s="3" t="str">
        <f>HYPERLINK("http://mystore1.ru/price_items/search?utf8=%E2%9C%93&amp;oem=3544LCLH3FD","3544LCLH3FD")</f>
        <v>3544LCLH3FD</v>
      </c>
      <c r="B2414" s="1" t="s">
        <v>4666</v>
      </c>
      <c r="C2414" s="9" t="s">
        <v>4646</v>
      </c>
      <c r="D2414" s="14" t="s">
        <v>4667</v>
      </c>
      <c r="E2414" s="9" t="s">
        <v>11</v>
      </c>
    </row>
    <row r="2415" spans="1:5" ht="15" customHeight="1" outlineLevel="2" x14ac:dyDescent="0.25">
      <c r="A2415" s="3" t="str">
        <f>HYPERLINK("http://mystore1.ru/price_items/search?utf8=%E2%9C%93&amp;oem=3544LCLH3RQ","3544LCLH3RQ")</f>
        <v>3544LCLH3RQ</v>
      </c>
      <c r="B2415" s="1" t="s">
        <v>4668</v>
      </c>
      <c r="C2415" s="9" t="s">
        <v>4646</v>
      </c>
      <c r="D2415" s="14" t="s">
        <v>4669</v>
      </c>
      <c r="E2415" s="9" t="s">
        <v>11</v>
      </c>
    </row>
    <row r="2416" spans="1:5" ht="15" customHeight="1" outlineLevel="2" x14ac:dyDescent="0.25">
      <c r="A2416" s="3" t="str">
        <f>HYPERLINK("http://mystore1.ru/price_items/search?utf8=%E2%9C%93&amp;oem=3544LCLH5FD","3544LCLH5FD")</f>
        <v>3544LCLH5FD</v>
      </c>
      <c r="B2416" s="1" t="s">
        <v>4670</v>
      </c>
      <c r="C2416" s="9" t="s">
        <v>4646</v>
      </c>
      <c r="D2416" s="14" t="s">
        <v>4671</v>
      </c>
      <c r="E2416" s="9" t="s">
        <v>11</v>
      </c>
    </row>
    <row r="2417" spans="1:5" ht="15" customHeight="1" outlineLevel="2" x14ac:dyDescent="0.25">
      <c r="A2417" s="3" t="str">
        <f>HYPERLINK("http://mystore1.ru/price_items/search?utf8=%E2%9C%93&amp;oem=3544LCLH5RD","3544LCLH5RD")</f>
        <v>3544LCLH5RD</v>
      </c>
      <c r="B2417" s="1" t="s">
        <v>4672</v>
      </c>
      <c r="C2417" s="9" t="s">
        <v>4646</v>
      </c>
      <c r="D2417" s="14" t="s">
        <v>4673</v>
      </c>
      <c r="E2417" s="9" t="s">
        <v>11</v>
      </c>
    </row>
    <row r="2418" spans="1:5" ht="15" customHeight="1" outlineLevel="2" x14ac:dyDescent="0.25">
      <c r="A2418" s="3" t="str">
        <f>HYPERLINK("http://mystore1.ru/price_items/search?utf8=%E2%9C%93&amp;oem=3544LCLH5RV","3544LCLH5RV")</f>
        <v>3544LCLH5RV</v>
      </c>
      <c r="B2418" s="1" t="s">
        <v>4674</v>
      </c>
      <c r="C2418" s="9" t="s">
        <v>4646</v>
      </c>
      <c r="D2418" s="14" t="s">
        <v>4675</v>
      </c>
      <c r="E2418" s="9" t="s">
        <v>11</v>
      </c>
    </row>
    <row r="2419" spans="1:5" ht="15" customHeight="1" outlineLevel="2" x14ac:dyDescent="0.25">
      <c r="A2419" s="3" t="str">
        <f>HYPERLINK("http://mystore1.ru/price_items/search?utf8=%E2%9C%93&amp;oem=3544LGNH3FD","3544LGNH3FD")</f>
        <v>3544LGNH3FD</v>
      </c>
      <c r="B2419" s="1" t="s">
        <v>4676</v>
      </c>
      <c r="C2419" s="9" t="s">
        <v>4646</v>
      </c>
      <c r="D2419" s="14" t="s">
        <v>4677</v>
      </c>
      <c r="E2419" s="9" t="s">
        <v>11</v>
      </c>
    </row>
    <row r="2420" spans="1:5" ht="15" customHeight="1" outlineLevel="2" x14ac:dyDescent="0.25">
      <c r="A2420" s="3" t="str">
        <f>HYPERLINK("http://mystore1.ru/price_items/search?utf8=%E2%9C%93&amp;oem=3544LGNH3RQ","3544LGNH3RQ")</f>
        <v>3544LGNH3RQ</v>
      </c>
      <c r="B2420" s="1" t="s">
        <v>4678</v>
      </c>
      <c r="C2420" s="9" t="s">
        <v>4646</v>
      </c>
      <c r="D2420" s="14" t="s">
        <v>4679</v>
      </c>
      <c r="E2420" s="9" t="s">
        <v>11</v>
      </c>
    </row>
    <row r="2421" spans="1:5" ht="15" customHeight="1" outlineLevel="2" x14ac:dyDescent="0.25">
      <c r="A2421" s="3" t="str">
        <f>HYPERLINK("http://mystore1.ru/price_items/search?utf8=%E2%9C%93&amp;oem=3544LGNH3RQO","3544LGNH3RQO")</f>
        <v>3544LGNH3RQO</v>
      </c>
      <c r="B2421" s="1" t="s">
        <v>4680</v>
      </c>
      <c r="C2421" s="9" t="s">
        <v>4646</v>
      </c>
      <c r="D2421" s="14" t="s">
        <v>4681</v>
      </c>
      <c r="E2421" s="9" t="s">
        <v>11</v>
      </c>
    </row>
    <row r="2422" spans="1:5" ht="15" customHeight="1" outlineLevel="2" x14ac:dyDescent="0.25">
      <c r="A2422" s="3" t="str">
        <f>HYPERLINK("http://mystore1.ru/price_items/search?utf8=%E2%9C%93&amp;oem=3544LGNH5FD","3544LGNH5FD")</f>
        <v>3544LGNH5FD</v>
      </c>
      <c r="B2422" s="1" t="s">
        <v>4682</v>
      </c>
      <c r="C2422" s="9" t="s">
        <v>4646</v>
      </c>
      <c r="D2422" s="14" t="s">
        <v>4683</v>
      </c>
      <c r="E2422" s="9" t="s">
        <v>11</v>
      </c>
    </row>
    <row r="2423" spans="1:5" ht="15" customHeight="1" outlineLevel="2" x14ac:dyDescent="0.25">
      <c r="A2423" s="3" t="str">
        <f>HYPERLINK("http://mystore1.ru/price_items/search?utf8=%E2%9C%93&amp;oem=3544LGNH5RD","3544LGNH5RD")</f>
        <v>3544LGNH5RD</v>
      </c>
      <c r="B2423" s="1" t="s">
        <v>4684</v>
      </c>
      <c r="C2423" s="9" t="s">
        <v>4646</v>
      </c>
      <c r="D2423" s="14" t="s">
        <v>4685</v>
      </c>
      <c r="E2423" s="9" t="s">
        <v>11</v>
      </c>
    </row>
    <row r="2424" spans="1:5" ht="15" customHeight="1" outlineLevel="2" x14ac:dyDescent="0.25">
      <c r="A2424" s="3" t="str">
        <f>HYPERLINK("http://mystore1.ru/price_items/search?utf8=%E2%9C%93&amp;oem=3544LGNH5RV","3544LGNH5RV")</f>
        <v>3544LGNH5RV</v>
      </c>
      <c r="B2424" s="1" t="s">
        <v>4686</v>
      </c>
      <c r="C2424" s="9" t="s">
        <v>4646</v>
      </c>
      <c r="D2424" s="14" t="s">
        <v>4687</v>
      </c>
      <c r="E2424" s="9" t="s">
        <v>11</v>
      </c>
    </row>
    <row r="2425" spans="1:5" ht="15" customHeight="1" outlineLevel="2" x14ac:dyDescent="0.25">
      <c r="A2425" s="3" t="str">
        <f>HYPERLINK("http://mystore1.ru/price_items/search?utf8=%E2%9C%93&amp;oem=3544RCLH3FD","3544RCLH3FD")</f>
        <v>3544RCLH3FD</v>
      </c>
      <c r="B2425" s="1" t="s">
        <v>4688</v>
      </c>
      <c r="C2425" s="9" t="s">
        <v>4646</v>
      </c>
      <c r="D2425" s="14" t="s">
        <v>4689</v>
      </c>
      <c r="E2425" s="9" t="s">
        <v>11</v>
      </c>
    </row>
    <row r="2426" spans="1:5" ht="15" customHeight="1" outlineLevel="2" x14ac:dyDescent="0.25">
      <c r="A2426" s="3" t="str">
        <f>HYPERLINK("http://mystore1.ru/price_items/search?utf8=%E2%9C%93&amp;oem=3544RCLH3RQ","3544RCLH3RQ")</f>
        <v>3544RCLH3RQ</v>
      </c>
      <c r="B2426" s="1" t="s">
        <v>4690</v>
      </c>
      <c r="C2426" s="9" t="s">
        <v>4646</v>
      </c>
      <c r="D2426" s="14" t="s">
        <v>4691</v>
      </c>
      <c r="E2426" s="9" t="s">
        <v>11</v>
      </c>
    </row>
    <row r="2427" spans="1:5" ht="15" customHeight="1" outlineLevel="2" x14ac:dyDescent="0.25">
      <c r="A2427" s="3" t="str">
        <f>HYPERLINK("http://mystore1.ru/price_items/search?utf8=%E2%9C%93&amp;oem=3544RCLH5FD","3544RCLH5FD")</f>
        <v>3544RCLH5FD</v>
      </c>
      <c r="B2427" s="1" t="s">
        <v>4692</v>
      </c>
      <c r="C2427" s="9" t="s">
        <v>4646</v>
      </c>
      <c r="D2427" s="14" t="s">
        <v>4693</v>
      </c>
      <c r="E2427" s="9" t="s">
        <v>11</v>
      </c>
    </row>
    <row r="2428" spans="1:5" ht="15" customHeight="1" outlineLevel="2" x14ac:dyDescent="0.25">
      <c r="A2428" s="3" t="str">
        <f>HYPERLINK("http://mystore1.ru/price_items/search?utf8=%E2%9C%93&amp;oem=3544RCLH5RD","3544RCLH5RD")</f>
        <v>3544RCLH5RD</v>
      </c>
      <c r="B2428" s="1" t="s">
        <v>4694</v>
      </c>
      <c r="C2428" s="9" t="s">
        <v>4646</v>
      </c>
      <c r="D2428" s="14" t="s">
        <v>4695</v>
      </c>
      <c r="E2428" s="9" t="s">
        <v>11</v>
      </c>
    </row>
    <row r="2429" spans="1:5" ht="15" customHeight="1" outlineLevel="2" x14ac:dyDescent="0.25">
      <c r="A2429" s="3" t="str">
        <f>HYPERLINK("http://mystore1.ru/price_items/search?utf8=%E2%9C%93&amp;oem=3544RCLH5RV","3544RCLH5RV")</f>
        <v>3544RCLH5RV</v>
      </c>
      <c r="B2429" s="1" t="s">
        <v>4696</v>
      </c>
      <c r="C2429" s="9" t="s">
        <v>4646</v>
      </c>
      <c r="D2429" s="14" t="s">
        <v>4697</v>
      </c>
      <c r="E2429" s="9" t="s">
        <v>11</v>
      </c>
    </row>
    <row r="2430" spans="1:5" ht="15" customHeight="1" outlineLevel="2" x14ac:dyDescent="0.25">
      <c r="A2430" s="3" t="str">
        <f>HYPERLINK("http://mystore1.ru/price_items/search?utf8=%E2%9C%93&amp;oem=3544RGNH3FD","3544RGNH3FD")</f>
        <v>3544RGNH3FD</v>
      </c>
      <c r="B2430" s="1" t="s">
        <v>4698</v>
      </c>
      <c r="C2430" s="9" t="s">
        <v>4646</v>
      </c>
      <c r="D2430" s="14" t="s">
        <v>4699</v>
      </c>
      <c r="E2430" s="9" t="s">
        <v>11</v>
      </c>
    </row>
    <row r="2431" spans="1:5" ht="15" customHeight="1" outlineLevel="2" x14ac:dyDescent="0.25">
      <c r="A2431" s="3" t="str">
        <f>HYPERLINK("http://mystore1.ru/price_items/search?utf8=%E2%9C%93&amp;oem=3544RGNH3RQ","3544RGNH3RQ")</f>
        <v>3544RGNH3RQ</v>
      </c>
      <c r="B2431" s="1" t="s">
        <v>4700</v>
      </c>
      <c r="C2431" s="9" t="s">
        <v>4646</v>
      </c>
      <c r="D2431" s="14" t="s">
        <v>4701</v>
      </c>
      <c r="E2431" s="9" t="s">
        <v>11</v>
      </c>
    </row>
    <row r="2432" spans="1:5" ht="15" customHeight="1" outlineLevel="2" x14ac:dyDescent="0.25">
      <c r="A2432" s="3" t="str">
        <f>HYPERLINK("http://mystore1.ru/price_items/search?utf8=%E2%9C%93&amp;oem=3544RGNH3RQO","3544RGNH3RQO")</f>
        <v>3544RGNH3RQO</v>
      </c>
      <c r="B2432" s="1" t="s">
        <v>4702</v>
      </c>
      <c r="C2432" s="9" t="s">
        <v>4646</v>
      </c>
      <c r="D2432" s="14" t="s">
        <v>4703</v>
      </c>
      <c r="E2432" s="9" t="s">
        <v>11</v>
      </c>
    </row>
    <row r="2433" spans="1:5" ht="15" customHeight="1" outlineLevel="2" x14ac:dyDescent="0.25">
      <c r="A2433" s="3" t="str">
        <f>HYPERLINK("http://mystore1.ru/price_items/search?utf8=%E2%9C%93&amp;oem=3544RGNH5FD","3544RGNH5FD")</f>
        <v>3544RGNH5FD</v>
      </c>
      <c r="B2433" s="1" t="s">
        <v>4704</v>
      </c>
      <c r="C2433" s="9" t="s">
        <v>4646</v>
      </c>
      <c r="D2433" s="14" t="s">
        <v>4705</v>
      </c>
      <c r="E2433" s="9" t="s">
        <v>11</v>
      </c>
    </row>
    <row r="2434" spans="1:5" ht="15" customHeight="1" outlineLevel="2" x14ac:dyDescent="0.25">
      <c r="A2434" s="3" t="str">
        <f>HYPERLINK("http://mystore1.ru/price_items/search?utf8=%E2%9C%93&amp;oem=3544RGNH5RD","3544RGNH5RD")</f>
        <v>3544RGNH5RD</v>
      </c>
      <c r="B2434" s="1" t="s">
        <v>4706</v>
      </c>
      <c r="C2434" s="9" t="s">
        <v>4646</v>
      </c>
      <c r="D2434" s="14" t="s">
        <v>4707</v>
      </c>
      <c r="E2434" s="9" t="s">
        <v>11</v>
      </c>
    </row>
    <row r="2435" spans="1:5" ht="15" customHeight="1" outlineLevel="2" x14ac:dyDescent="0.25">
      <c r="A2435" s="3" t="str">
        <f>HYPERLINK("http://mystore1.ru/price_items/search?utf8=%E2%9C%93&amp;oem=3544RGNH5RV","3544RGNH5RV")</f>
        <v>3544RGNH5RV</v>
      </c>
      <c r="B2435" s="1" t="s">
        <v>4708</v>
      </c>
      <c r="C2435" s="9" t="s">
        <v>4646</v>
      </c>
      <c r="D2435" s="14" t="s">
        <v>4709</v>
      </c>
      <c r="E2435" s="9" t="s">
        <v>11</v>
      </c>
    </row>
    <row r="2436" spans="1:5" outlineLevel="1" x14ac:dyDescent="0.25">
      <c r="A2436" s="2"/>
      <c r="B2436" s="6" t="s">
        <v>4710</v>
      </c>
      <c r="C2436" s="8"/>
      <c r="D2436" s="8"/>
      <c r="E2436" s="8"/>
    </row>
    <row r="2437" spans="1:5" ht="15" customHeight="1" outlineLevel="2" x14ac:dyDescent="0.25">
      <c r="A2437" s="3" t="str">
        <f>HYPERLINK("http://mystore1.ru/price_items/search?utf8=%E2%9C%93&amp;oem=3552ACL","3552ACL")</f>
        <v>3552ACL</v>
      </c>
      <c r="B2437" s="1" t="s">
        <v>4711</v>
      </c>
      <c r="C2437" s="9" t="s">
        <v>1625</v>
      </c>
      <c r="D2437" s="14" t="s">
        <v>4712</v>
      </c>
      <c r="E2437" s="9" t="s">
        <v>8</v>
      </c>
    </row>
    <row r="2438" spans="1:5" ht="15" customHeight="1" outlineLevel="2" x14ac:dyDescent="0.25">
      <c r="A2438" s="3" t="str">
        <f>HYPERLINK("http://mystore1.ru/price_items/search?utf8=%E2%9C%93&amp;oem=3552ACL1B","3552ACL1B")</f>
        <v>3552ACL1B</v>
      </c>
      <c r="B2438" s="1" t="s">
        <v>4713</v>
      </c>
      <c r="C2438" s="9" t="s">
        <v>4714</v>
      </c>
      <c r="D2438" s="14" t="s">
        <v>4715</v>
      </c>
      <c r="E2438" s="9" t="s">
        <v>8</v>
      </c>
    </row>
    <row r="2439" spans="1:5" ht="15" customHeight="1" outlineLevel="2" x14ac:dyDescent="0.25">
      <c r="A2439" s="3" t="str">
        <f>HYPERLINK("http://mystore1.ru/price_items/search?utf8=%E2%9C%93&amp;oem=3552AGN","3552AGN")</f>
        <v>3552AGN</v>
      </c>
      <c r="B2439" s="1" t="s">
        <v>4716</v>
      </c>
      <c r="C2439" s="9" t="s">
        <v>1625</v>
      </c>
      <c r="D2439" s="14" t="s">
        <v>4717</v>
      </c>
      <c r="E2439" s="9" t="s">
        <v>8</v>
      </c>
    </row>
    <row r="2440" spans="1:5" ht="15" customHeight="1" outlineLevel="2" x14ac:dyDescent="0.25">
      <c r="A2440" s="3" t="str">
        <f>HYPERLINK("http://mystore1.ru/price_items/search?utf8=%E2%9C%93&amp;oem=3552AGN1B","3552AGN1B")</f>
        <v>3552AGN1B</v>
      </c>
      <c r="B2440" s="1" t="s">
        <v>4718</v>
      </c>
      <c r="C2440" s="9" t="s">
        <v>4714</v>
      </c>
      <c r="D2440" s="14" t="s">
        <v>4719</v>
      </c>
      <c r="E2440" s="9" t="s">
        <v>8</v>
      </c>
    </row>
    <row r="2441" spans="1:5" ht="15" customHeight="1" outlineLevel="2" x14ac:dyDescent="0.25">
      <c r="A2441" s="3" t="str">
        <f>HYPERLINK("http://mystore1.ru/price_items/search?utf8=%E2%9C%93&amp;oem=3552AGNBL","3552AGNBL")</f>
        <v>3552AGNBL</v>
      </c>
      <c r="B2441" s="1" t="s">
        <v>4720</v>
      </c>
      <c r="C2441" s="9" t="s">
        <v>1625</v>
      </c>
      <c r="D2441" s="14" t="s">
        <v>4721</v>
      </c>
      <c r="E2441" s="9" t="s">
        <v>8</v>
      </c>
    </row>
    <row r="2442" spans="1:5" ht="15" customHeight="1" outlineLevel="2" x14ac:dyDescent="0.25">
      <c r="A2442" s="3" t="str">
        <f>HYPERLINK("http://mystore1.ru/price_items/search?utf8=%E2%9C%93&amp;oem=3552AGNBL1B","3552AGNBL1B")</f>
        <v>3552AGNBL1B</v>
      </c>
      <c r="B2442" s="1" t="s">
        <v>4722</v>
      </c>
      <c r="C2442" s="9" t="s">
        <v>4714</v>
      </c>
      <c r="D2442" s="14" t="s">
        <v>4723</v>
      </c>
      <c r="E2442" s="9" t="s">
        <v>8</v>
      </c>
    </row>
    <row r="2443" spans="1:5" ht="15" customHeight="1" outlineLevel="2" x14ac:dyDescent="0.25">
      <c r="A2443" s="3" t="str">
        <f>HYPERLINK("http://mystore1.ru/price_items/search?utf8=%E2%9C%93&amp;oem=3552AGNGN","3552AGNGN")</f>
        <v>3552AGNGN</v>
      </c>
      <c r="B2443" s="1" t="s">
        <v>4724</v>
      </c>
      <c r="C2443" s="9" t="s">
        <v>1625</v>
      </c>
      <c r="D2443" s="14" t="s">
        <v>4725</v>
      </c>
      <c r="E2443" s="9" t="s">
        <v>8</v>
      </c>
    </row>
    <row r="2444" spans="1:5" ht="15" customHeight="1" outlineLevel="2" x14ac:dyDescent="0.25">
      <c r="A2444" s="3" t="str">
        <f>HYPERLINK("http://mystore1.ru/price_items/search?utf8=%E2%9C%93&amp;oem=3552AGNH1B","3552AGNH1B")</f>
        <v>3552AGNH1B</v>
      </c>
      <c r="B2444" s="1" t="s">
        <v>4726</v>
      </c>
      <c r="C2444" s="9" t="s">
        <v>4714</v>
      </c>
      <c r="D2444" s="14" t="s">
        <v>4727</v>
      </c>
      <c r="E2444" s="9" t="s">
        <v>8</v>
      </c>
    </row>
    <row r="2445" spans="1:5" ht="15" customHeight="1" outlineLevel="2" x14ac:dyDescent="0.25">
      <c r="A2445" s="3" t="str">
        <f>HYPERLINK("http://mystore1.ru/price_items/search?utf8=%E2%9C%93&amp;oem=3552ASMH","3552ASMH")</f>
        <v>3552ASMH</v>
      </c>
      <c r="B2445" s="1" t="s">
        <v>4728</v>
      </c>
      <c r="C2445" s="9" t="s">
        <v>25</v>
      </c>
      <c r="D2445" s="14" t="s">
        <v>4729</v>
      </c>
      <c r="E2445" s="9" t="s">
        <v>27</v>
      </c>
    </row>
    <row r="2446" spans="1:5" ht="15" customHeight="1" outlineLevel="2" x14ac:dyDescent="0.25">
      <c r="A2446" s="3" t="str">
        <f>HYPERLINK("http://mystore1.ru/price_items/search?utf8=%E2%9C%93&amp;oem=3552BCLH","3552BCLH")</f>
        <v>3552BCLH</v>
      </c>
      <c r="B2446" s="1" t="s">
        <v>4730</v>
      </c>
      <c r="C2446" s="9" t="s">
        <v>1625</v>
      </c>
      <c r="D2446" s="14" t="s">
        <v>4731</v>
      </c>
      <c r="E2446" s="9" t="s">
        <v>30</v>
      </c>
    </row>
    <row r="2447" spans="1:5" ht="15" customHeight="1" outlineLevel="2" x14ac:dyDescent="0.25">
      <c r="A2447" s="3" t="str">
        <f>HYPERLINK("http://mystore1.ru/price_items/search?utf8=%E2%9C%93&amp;oem=3552BCLVLU","3552BCLVLU")</f>
        <v>3552BCLVLU</v>
      </c>
      <c r="B2447" s="1" t="s">
        <v>4732</v>
      </c>
      <c r="C2447" s="9" t="s">
        <v>1625</v>
      </c>
      <c r="D2447" s="14" t="s">
        <v>4733</v>
      </c>
      <c r="E2447" s="9" t="s">
        <v>30</v>
      </c>
    </row>
    <row r="2448" spans="1:5" ht="15" customHeight="1" outlineLevel="2" x14ac:dyDescent="0.25">
      <c r="A2448" s="3" t="str">
        <f>HYPERLINK("http://mystore1.ru/price_items/search?utf8=%E2%9C%93&amp;oem=3552BGNH","3552BGNH")</f>
        <v>3552BGNH</v>
      </c>
      <c r="B2448" s="1" t="s">
        <v>4734</v>
      </c>
      <c r="C2448" s="9" t="s">
        <v>1625</v>
      </c>
      <c r="D2448" s="14" t="s">
        <v>4735</v>
      </c>
      <c r="E2448" s="9" t="s">
        <v>30</v>
      </c>
    </row>
    <row r="2449" spans="1:5" ht="15" customHeight="1" outlineLevel="2" x14ac:dyDescent="0.25">
      <c r="A2449" s="3" t="str">
        <f>HYPERLINK("http://mystore1.ru/price_items/search?utf8=%E2%9C%93&amp;oem=3552BGNHB","3552BGNHB")</f>
        <v>3552BGNHB</v>
      </c>
      <c r="B2449" s="1" t="s">
        <v>4736</v>
      </c>
      <c r="C2449" s="9" t="s">
        <v>1625</v>
      </c>
      <c r="D2449" s="14" t="s">
        <v>4737</v>
      </c>
      <c r="E2449" s="9" t="s">
        <v>30</v>
      </c>
    </row>
    <row r="2450" spans="1:5" ht="15" customHeight="1" outlineLevel="2" x14ac:dyDescent="0.25">
      <c r="A2450" s="3" t="str">
        <f>HYPERLINK("http://mystore1.ru/price_items/search?utf8=%E2%9C%93&amp;oem=3552BSRH","3552BSRH")</f>
        <v>3552BSRH</v>
      </c>
      <c r="B2450" s="1" t="s">
        <v>4738</v>
      </c>
      <c r="C2450" s="9" t="s">
        <v>25</v>
      </c>
      <c r="D2450" s="14" t="s">
        <v>4739</v>
      </c>
      <c r="E2450" s="9" t="s">
        <v>27</v>
      </c>
    </row>
    <row r="2451" spans="1:5" ht="15" customHeight="1" outlineLevel="2" x14ac:dyDescent="0.25">
      <c r="A2451" s="3" t="str">
        <f>HYPERLINK("http://mystore1.ru/price_items/search?utf8=%E2%9C%93&amp;oem=3552LCLH3FD","3552LCLH3FD")</f>
        <v>3552LCLH3FD</v>
      </c>
      <c r="B2451" s="1" t="s">
        <v>4740</v>
      </c>
      <c r="C2451" s="9" t="s">
        <v>1625</v>
      </c>
      <c r="D2451" s="14" t="s">
        <v>4741</v>
      </c>
      <c r="E2451" s="9" t="s">
        <v>11</v>
      </c>
    </row>
    <row r="2452" spans="1:5" ht="15" customHeight="1" outlineLevel="2" x14ac:dyDescent="0.25">
      <c r="A2452" s="3" t="str">
        <f>HYPERLINK("http://mystore1.ru/price_items/search?utf8=%E2%9C%93&amp;oem=3552LCLH5FD","3552LCLH5FD")</f>
        <v>3552LCLH5FD</v>
      </c>
      <c r="B2452" s="1" t="s">
        <v>4742</v>
      </c>
      <c r="C2452" s="9" t="s">
        <v>1625</v>
      </c>
      <c r="D2452" s="14" t="s">
        <v>4743</v>
      </c>
      <c r="E2452" s="9" t="s">
        <v>11</v>
      </c>
    </row>
    <row r="2453" spans="1:5" ht="15" customHeight="1" outlineLevel="2" x14ac:dyDescent="0.25">
      <c r="A2453" s="3" t="str">
        <f>HYPERLINK("http://mystore1.ru/price_items/search?utf8=%E2%9C%93&amp;oem=3552LCLH5RD","3552LCLH5RD")</f>
        <v>3552LCLH5RD</v>
      </c>
      <c r="B2453" s="1" t="s">
        <v>4744</v>
      </c>
      <c r="C2453" s="9" t="s">
        <v>1625</v>
      </c>
      <c r="D2453" s="14" t="s">
        <v>4745</v>
      </c>
      <c r="E2453" s="9" t="s">
        <v>11</v>
      </c>
    </row>
    <row r="2454" spans="1:5" ht="15" customHeight="1" outlineLevel="2" x14ac:dyDescent="0.25">
      <c r="A2454" s="3" t="str">
        <f>HYPERLINK("http://mystore1.ru/price_items/search?utf8=%E2%9C%93&amp;oem=3552LCLH5RV","3552LCLH5RV")</f>
        <v>3552LCLH5RV</v>
      </c>
      <c r="B2454" s="1" t="s">
        <v>4746</v>
      </c>
      <c r="C2454" s="9" t="s">
        <v>1625</v>
      </c>
      <c r="D2454" s="14" t="s">
        <v>4747</v>
      </c>
      <c r="E2454" s="9" t="s">
        <v>11</v>
      </c>
    </row>
    <row r="2455" spans="1:5" ht="15" customHeight="1" outlineLevel="2" x14ac:dyDescent="0.25">
      <c r="A2455" s="3" t="str">
        <f>HYPERLINK("http://mystore1.ru/price_items/search?utf8=%E2%9C%93&amp;oem=3552LGNH3FD","3552LGNH3FD")</f>
        <v>3552LGNH3FD</v>
      </c>
      <c r="B2455" s="1" t="s">
        <v>4748</v>
      </c>
      <c r="C2455" s="9" t="s">
        <v>1625</v>
      </c>
      <c r="D2455" s="14" t="s">
        <v>4749</v>
      </c>
      <c r="E2455" s="9" t="s">
        <v>11</v>
      </c>
    </row>
    <row r="2456" spans="1:5" ht="15" customHeight="1" outlineLevel="2" x14ac:dyDescent="0.25">
      <c r="A2456" s="3" t="str">
        <f>HYPERLINK("http://mystore1.ru/price_items/search?utf8=%E2%9C%93&amp;oem=3552LGNH3RQ","3552LGNH3RQ")</f>
        <v>3552LGNH3RQ</v>
      </c>
      <c r="B2456" s="1" t="s">
        <v>4750</v>
      </c>
      <c r="C2456" s="9" t="s">
        <v>1625</v>
      </c>
      <c r="D2456" s="14" t="s">
        <v>4751</v>
      </c>
      <c r="E2456" s="9" t="s">
        <v>11</v>
      </c>
    </row>
    <row r="2457" spans="1:5" ht="15" customHeight="1" outlineLevel="2" x14ac:dyDescent="0.25">
      <c r="A2457" s="3" t="str">
        <f>HYPERLINK("http://mystore1.ru/price_items/search?utf8=%E2%9C%93&amp;oem=3552LGNH3RQO","3552LGNH3RQO")</f>
        <v>3552LGNH3RQO</v>
      </c>
      <c r="B2457" s="1" t="s">
        <v>4752</v>
      </c>
      <c r="C2457" s="9" t="s">
        <v>1625</v>
      </c>
      <c r="D2457" s="14" t="s">
        <v>4753</v>
      </c>
      <c r="E2457" s="9" t="s">
        <v>11</v>
      </c>
    </row>
    <row r="2458" spans="1:5" ht="15" customHeight="1" outlineLevel="2" x14ac:dyDescent="0.25">
      <c r="A2458" s="3" t="str">
        <f>HYPERLINK("http://mystore1.ru/price_items/search?utf8=%E2%9C%93&amp;oem=3552LGNH5FD","3552LGNH5FD")</f>
        <v>3552LGNH5FD</v>
      </c>
      <c r="B2458" s="1" t="s">
        <v>4754</v>
      </c>
      <c r="C2458" s="9" t="s">
        <v>1625</v>
      </c>
      <c r="D2458" s="14" t="s">
        <v>4755</v>
      </c>
      <c r="E2458" s="9" t="s">
        <v>11</v>
      </c>
    </row>
    <row r="2459" spans="1:5" ht="15" customHeight="1" outlineLevel="2" x14ac:dyDescent="0.25">
      <c r="A2459" s="3" t="str">
        <f>HYPERLINK("http://mystore1.ru/price_items/search?utf8=%E2%9C%93&amp;oem=3552LGNH5RD","3552LGNH5RD")</f>
        <v>3552LGNH5RD</v>
      </c>
      <c r="B2459" s="1" t="s">
        <v>4756</v>
      </c>
      <c r="C2459" s="9" t="s">
        <v>1625</v>
      </c>
      <c r="D2459" s="14" t="s">
        <v>4757</v>
      </c>
      <c r="E2459" s="9" t="s">
        <v>11</v>
      </c>
    </row>
    <row r="2460" spans="1:5" ht="15" customHeight="1" outlineLevel="2" x14ac:dyDescent="0.25">
      <c r="A2460" s="3" t="str">
        <f>HYPERLINK("http://mystore1.ru/price_items/search?utf8=%E2%9C%93&amp;oem=3552LGNH5RV","3552LGNH5RV")</f>
        <v>3552LGNH5RV</v>
      </c>
      <c r="B2460" s="1" t="s">
        <v>4758</v>
      </c>
      <c r="C2460" s="9" t="s">
        <v>1625</v>
      </c>
      <c r="D2460" s="14" t="s">
        <v>4759</v>
      </c>
      <c r="E2460" s="9" t="s">
        <v>11</v>
      </c>
    </row>
    <row r="2461" spans="1:5" ht="15" customHeight="1" outlineLevel="2" x14ac:dyDescent="0.25">
      <c r="A2461" s="3" t="str">
        <f>HYPERLINK("http://mystore1.ru/price_items/search?utf8=%E2%9C%93&amp;oem=3552RCLH3FD","3552RCLH3FD")</f>
        <v>3552RCLH3FD</v>
      </c>
      <c r="B2461" s="1" t="s">
        <v>4760</v>
      </c>
      <c r="C2461" s="9" t="s">
        <v>1625</v>
      </c>
      <c r="D2461" s="14" t="s">
        <v>4761</v>
      </c>
      <c r="E2461" s="9" t="s">
        <v>11</v>
      </c>
    </row>
    <row r="2462" spans="1:5" ht="15" customHeight="1" outlineLevel="2" x14ac:dyDescent="0.25">
      <c r="A2462" s="3" t="str">
        <f>HYPERLINK("http://mystore1.ru/price_items/search?utf8=%E2%9C%93&amp;oem=3552RCLH3RQ","3552RCLH3RQ")</f>
        <v>3552RCLH3RQ</v>
      </c>
      <c r="B2462" s="1" t="s">
        <v>4762</v>
      </c>
      <c r="C2462" s="9" t="s">
        <v>1625</v>
      </c>
      <c r="D2462" s="14" t="s">
        <v>4763</v>
      </c>
      <c r="E2462" s="9" t="s">
        <v>11</v>
      </c>
    </row>
    <row r="2463" spans="1:5" ht="15" customHeight="1" outlineLevel="2" x14ac:dyDescent="0.25">
      <c r="A2463" s="3" t="str">
        <f>HYPERLINK("http://mystore1.ru/price_items/search?utf8=%E2%9C%93&amp;oem=3552RCLH5FD","3552RCLH5FD")</f>
        <v>3552RCLH5FD</v>
      </c>
      <c r="B2463" s="1" t="s">
        <v>4764</v>
      </c>
      <c r="C2463" s="9" t="s">
        <v>1625</v>
      </c>
      <c r="D2463" s="14" t="s">
        <v>4765</v>
      </c>
      <c r="E2463" s="9" t="s">
        <v>11</v>
      </c>
    </row>
    <row r="2464" spans="1:5" ht="15" customHeight="1" outlineLevel="2" x14ac:dyDescent="0.25">
      <c r="A2464" s="3" t="str">
        <f>HYPERLINK("http://mystore1.ru/price_items/search?utf8=%E2%9C%93&amp;oem=3552RCLH5RD","3552RCLH5RD")</f>
        <v>3552RCLH5RD</v>
      </c>
      <c r="B2464" s="1" t="s">
        <v>4766</v>
      </c>
      <c r="C2464" s="9" t="s">
        <v>1625</v>
      </c>
      <c r="D2464" s="14" t="s">
        <v>4767</v>
      </c>
      <c r="E2464" s="9" t="s">
        <v>11</v>
      </c>
    </row>
    <row r="2465" spans="1:5" ht="15" customHeight="1" outlineLevel="2" x14ac:dyDescent="0.25">
      <c r="A2465" s="3" t="str">
        <f>HYPERLINK("http://mystore1.ru/price_items/search?utf8=%E2%9C%93&amp;oem=3552RCLH5RV","3552RCLH5RV")</f>
        <v>3552RCLH5RV</v>
      </c>
      <c r="B2465" s="1" t="s">
        <v>4768</v>
      </c>
      <c r="C2465" s="9" t="s">
        <v>1625</v>
      </c>
      <c r="D2465" s="14" t="s">
        <v>4769</v>
      </c>
      <c r="E2465" s="9" t="s">
        <v>11</v>
      </c>
    </row>
    <row r="2466" spans="1:5" ht="15" customHeight="1" outlineLevel="2" x14ac:dyDescent="0.25">
      <c r="A2466" s="3" t="str">
        <f>HYPERLINK("http://mystore1.ru/price_items/search?utf8=%E2%9C%93&amp;oem=3552RGNH3FD","3552RGNH3FD")</f>
        <v>3552RGNH3FD</v>
      </c>
      <c r="B2466" s="1" t="s">
        <v>4770</v>
      </c>
      <c r="C2466" s="9" t="s">
        <v>1625</v>
      </c>
      <c r="D2466" s="14" t="s">
        <v>4771</v>
      </c>
      <c r="E2466" s="9" t="s">
        <v>11</v>
      </c>
    </row>
    <row r="2467" spans="1:5" ht="15" customHeight="1" outlineLevel="2" x14ac:dyDescent="0.25">
      <c r="A2467" s="3" t="str">
        <f>HYPERLINK("http://mystore1.ru/price_items/search?utf8=%E2%9C%93&amp;oem=3552RGNH3RQ","3552RGNH3RQ")</f>
        <v>3552RGNH3RQ</v>
      </c>
      <c r="B2467" s="1" t="s">
        <v>4772</v>
      </c>
      <c r="C2467" s="9" t="s">
        <v>1625</v>
      </c>
      <c r="D2467" s="14" t="s">
        <v>4773</v>
      </c>
      <c r="E2467" s="9" t="s">
        <v>11</v>
      </c>
    </row>
    <row r="2468" spans="1:5" ht="15" customHeight="1" outlineLevel="2" x14ac:dyDescent="0.25">
      <c r="A2468" s="3" t="str">
        <f>HYPERLINK("http://mystore1.ru/price_items/search?utf8=%E2%9C%93&amp;oem=3552RGNH5FD","3552RGNH5FD")</f>
        <v>3552RGNH5FD</v>
      </c>
      <c r="B2468" s="1" t="s">
        <v>4774</v>
      </c>
      <c r="C2468" s="9" t="s">
        <v>1625</v>
      </c>
      <c r="D2468" s="14" t="s">
        <v>4775</v>
      </c>
      <c r="E2468" s="9" t="s">
        <v>11</v>
      </c>
    </row>
    <row r="2469" spans="1:5" ht="15" customHeight="1" outlineLevel="2" x14ac:dyDescent="0.25">
      <c r="A2469" s="3" t="str">
        <f>HYPERLINK("http://mystore1.ru/price_items/search?utf8=%E2%9C%93&amp;oem=3552RGNH5RD","3552RGNH5RD")</f>
        <v>3552RGNH5RD</v>
      </c>
      <c r="B2469" s="1" t="s">
        <v>4776</v>
      </c>
      <c r="C2469" s="9" t="s">
        <v>1625</v>
      </c>
      <c r="D2469" s="14" t="s">
        <v>4777</v>
      </c>
      <c r="E2469" s="9" t="s">
        <v>11</v>
      </c>
    </row>
    <row r="2470" spans="1:5" ht="15" customHeight="1" outlineLevel="2" x14ac:dyDescent="0.25">
      <c r="A2470" s="3" t="str">
        <f>HYPERLINK("http://mystore1.ru/price_items/search?utf8=%E2%9C%93&amp;oem=3552RGNH5RV","3552RGNH5RV")</f>
        <v>3552RGNH5RV</v>
      </c>
      <c r="B2470" s="1" t="s">
        <v>4778</v>
      </c>
      <c r="C2470" s="9" t="s">
        <v>1625</v>
      </c>
      <c r="D2470" s="14" t="s">
        <v>4779</v>
      </c>
      <c r="E2470" s="9" t="s">
        <v>11</v>
      </c>
    </row>
    <row r="2471" spans="1:5" outlineLevel="1" x14ac:dyDescent="0.25">
      <c r="A2471" s="2"/>
      <c r="B2471" s="6" t="s">
        <v>4780</v>
      </c>
      <c r="C2471" s="8"/>
      <c r="D2471" s="8"/>
      <c r="E2471" s="8"/>
    </row>
    <row r="2472" spans="1:5" ht="15" customHeight="1" outlineLevel="2" x14ac:dyDescent="0.25">
      <c r="A2472" s="3" t="str">
        <f>HYPERLINK("http://mystore1.ru/price_items/search?utf8=%E2%9C%93&amp;oem=3562AGSHVW","3562AGSHVW")</f>
        <v>3562AGSHVW</v>
      </c>
      <c r="B2472" s="1" t="s">
        <v>4781</v>
      </c>
      <c r="C2472" s="9" t="s">
        <v>4782</v>
      </c>
      <c r="D2472" s="14" t="s">
        <v>4783</v>
      </c>
      <c r="E2472" s="9" t="s">
        <v>8</v>
      </c>
    </row>
    <row r="2473" spans="1:5" ht="15" customHeight="1" outlineLevel="2" x14ac:dyDescent="0.25">
      <c r="A2473" s="3" t="str">
        <f>HYPERLINK("http://mystore1.ru/price_items/search?utf8=%E2%9C%93&amp;oem=3562AGSVW","3562AGSVW")</f>
        <v>3562AGSVW</v>
      </c>
      <c r="B2473" s="1" t="s">
        <v>4784</v>
      </c>
      <c r="C2473" s="9" t="s">
        <v>4782</v>
      </c>
      <c r="D2473" s="14" t="s">
        <v>4785</v>
      </c>
      <c r="E2473" s="9" t="s">
        <v>8</v>
      </c>
    </row>
    <row r="2474" spans="1:5" ht="15" customHeight="1" outlineLevel="2" x14ac:dyDescent="0.25">
      <c r="A2474" s="3" t="str">
        <f>HYPERLINK("http://mystore1.ru/price_items/search?utf8=%E2%9C%93&amp;oem=3562ASMH","3562ASMH")</f>
        <v>3562ASMH</v>
      </c>
      <c r="B2474" s="1" t="s">
        <v>4786</v>
      </c>
      <c r="C2474" s="9" t="s">
        <v>25</v>
      </c>
      <c r="D2474" s="14" t="s">
        <v>4787</v>
      </c>
      <c r="E2474" s="9" t="s">
        <v>27</v>
      </c>
    </row>
    <row r="2475" spans="1:5" ht="15" customHeight="1" outlineLevel="2" x14ac:dyDescent="0.25">
      <c r="A2475" s="3" t="str">
        <f>HYPERLINK("http://mystore1.ru/price_items/search?utf8=%E2%9C%93&amp;oem=3562BGSHI","3562BGSHI")</f>
        <v>3562BGSHI</v>
      </c>
      <c r="B2475" s="1" t="s">
        <v>4788</v>
      </c>
      <c r="C2475" s="9" t="s">
        <v>4782</v>
      </c>
      <c r="D2475" s="14" t="s">
        <v>4789</v>
      </c>
      <c r="E2475" s="9" t="s">
        <v>30</v>
      </c>
    </row>
    <row r="2476" spans="1:5" ht="15" customHeight="1" outlineLevel="2" x14ac:dyDescent="0.25">
      <c r="A2476" s="3" t="str">
        <f>HYPERLINK("http://mystore1.ru/price_items/search?utf8=%E2%9C%93&amp;oem=3562BGSHI1J","3562BGSHI1J")</f>
        <v>3562BGSHI1J</v>
      </c>
      <c r="B2476" s="1" t="s">
        <v>4790</v>
      </c>
      <c r="C2476" s="9" t="s">
        <v>4782</v>
      </c>
      <c r="D2476" s="14" t="s">
        <v>4791</v>
      </c>
      <c r="E2476" s="9" t="s">
        <v>30</v>
      </c>
    </row>
    <row r="2477" spans="1:5" ht="15" customHeight="1" outlineLevel="2" x14ac:dyDescent="0.25">
      <c r="A2477" s="3" t="str">
        <f>HYPERLINK("http://mystore1.ru/price_items/search?utf8=%E2%9C%93&amp;oem=3562LGSH3FD","3562LGSH3FD")</f>
        <v>3562LGSH3FD</v>
      </c>
      <c r="B2477" s="1" t="s">
        <v>4792</v>
      </c>
      <c r="C2477" s="9" t="s">
        <v>4782</v>
      </c>
      <c r="D2477" s="14" t="s">
        <v>4793</v>
      </c>
      <c r="E2477" s="9" t="s">
        <v>11</v>
      </c>
    </row>
    <row r="2478" spans="1:5" ht="15" customHeight="1" outlineLevel="2" x14ac:dyDescent="0.25">
      <c r="A2478" s="3" t="str">
        <f>HYPERLINK("http://mystore1.ru/price_items/search?utf8=%E2%9C%93&amp;oem=3562LGSH5FDW1M","3562LGSH5FDW1M")</f>
        <v>3562LGSH5FDW1M</v>
      </c>
      <c r="B2478" s="1" t="s">
        <v>4794</v>
      </c>
      <c r="C2478" s="9" t="s">
        <v>4782</v>
      </c>
      <c r="D2478" s="14" t="s">
        <v>4795</v>
      </c>
      <c r="E2478" s="9" t="s">
        <v>11</v>
      </c>
    </row>
    <row r="2479" spans="1:5" ht="15" customHeight="1" outlineLevel="2" x14ac:dyDescent="0.25">
      <c r="A2479" s="3" t="str">
        <f>HYPERLINK("http://mystore1.ru/price_items/search?utf8=%E2%9C%93&amp;oem=3562LGSH5RD","3562LGSH5RD")</f>
        <v>3562LGSH5RD</v>
      </c>
      <c r="B2479" s="1" t="s">
        <v>4796</v>
      </c>
      <c r="C2479" s="9" t="s">
        <v>4782</v>
      </c>
      <c r="D2479" s="14" t="s">
        <v>4797</v>
      </c>
      <c r="E2479" s="9" t="s">
        <v>11</v>
      </c>
    </row>
    <row r="2480" spans="1:5" ht="15" customHeight="1" outlineLevel="2" x14ac:dyDescent="0.25">
      <c r="A2480" s="3" t="str">
        <f>HYPERLINK("http://mystore1.ru/price_items/search?utf8=%E2%9C%93&amp;oem=3562LGSH5RQW","3562LGSH5RQW")</f>
        <v>3562LGSH5RQW</v>
      </c>
      <c r="B2480" s="1" t="s">
        <v>4798</v>
      </c>
      <c r="C2480" s="9" t="s">
        <v>4782</v>
      </c>
      <c r="D2480" s="14" t="s">
        <v>4799</v>
      </c>
      <c r="E2480" s="9" t="s">
        <v>11</v>
      </c>
    </row>
    <row r="2481" spans="1:5" ht="15" customHeight="1" outlineLevel="2" x14ac:dyDescent="0.25">
      <c r="A2481" s="3" t="str">
        <f>HYPERLINK("http://mystore1.ru/price_items/search?utf8=%E2%9C%93&amp;oem=3562RGSH3FD","3562RGSH3FD")</f>
        <v>3562RGSH3FD</v>
      </c>
      <c r="B2481" s="1" t="s">
        <v>4800</v>
      </c>
      <c r="C2481" s="9" t="s">
        <v>4782</v>
      </c>
      <c r="D2481" s="14" t="s">
        <v>4801</v>
      </c>
      <c r="E2481" s="9" t="s">
        <v>11</v>
      </c>
    </row>
    <row r="2482" spans="1:5" ht="15" customHeight="1" outlineLevel="2" x14ac:dyDescent="0.25">
      <c r="A2482" s="3" t="str">
        <f>HYPERLINK("http://mystore1.ru/price_items/search?utf8=%E2%9C%93&amp;oem=3562RGSH3RQW","3562RGSH3RQW")</f>
        <v>3562RGSH3RQW</v>
      </c>
      <c r="B2482" s="1" t="s">
        <v>4802</v>
      </c>
      <c r="C2482" s="9" t="s">
        <v>4782</v>
      </c>
      <c r="D2482" s="14" t="s">
        <v>4803</v>
      </c>
      <c r="E2482" s="9" t="s">
        <v>11</v>
      </c>
    </row>
    <row r="2483" spans="1:5" ht="15" customHeight="1" outlineLevel="2" x14ac:dyDescent="0.25">
      <c r="A2483" s="3" t="str">
        <f>HYPERLINK("http://mystore1.ru/price_items/search?utf8=%E2%9C%93&amp;oem=3562RGSH5FDW1M","3562RGSH5FDW1M")</f>
        <v>3562RGSH5FDW1M</v>
      </c>
      <c r="B2483" s="1" t="s">
        <v>4804</v>
      </c>
      <c r="C2483" s="9" t="s">
        <v>4782</v>
      </c>
      <c r="D2483" s="14" t="s">
        <v>4805</v>
      </c>
      <c r="E2483" s="9" t="s">
        <v>11</v>
      </c>
    </row>
    <row r="2484" spans="1:5" ht="15" customHeight="1" outlineLevel="2" x14ac:dyDescent="0.25">
      <c r="A2484" s="3" t="str">
        <f>HYPERLINK("http://mystore1.ru/price_items/search?utf8=%E2%9C%93&amp;oem=3562RGSH5RD","3562RGSH5RD")</f>
        <v>3562RGSH5RD</v>
      </c>
      <c r="B2484" s="1" t="s">
        <v>4806</v>
      </c>
      <c r="C2484" s="9" t="s">
        <v>4782</v>
      </c>
      <c r="D2484" s="14" t="s">
        <v>4807</v>
      </c>
      <c r="E2484" s="9" t="s">
        <v>11</v>
      </c>
    </row>
    <row r="2485" spans="1:5" outlineLevel="1" x14ac:dyDescent="0.25">
      <c r="A2485" s="2"/>
      <c r="B2485" s="6" t="s">
        <v>4808</v>
      </c>
      <c r="C2485" s="8"/>
      <c r="D2485" s="8"/>
      <c r="E2485" s="8"/>
    </row>
    <row r="2486" spans="1:5" ht="15" customHeight="1" outlineLevel="2" x14ac:dyDescent="0.25">
      <c r="A2486" s="3" t="str">
        <f>HYPERLINK("http://mystore1.ru/price_items/search?utf8=%E2%9C%93&amp;oem=3572AGSVW","3572AGSVW")</f>
        <v>3572AGSVW</v>
      </c>
      <c r="B2486" s="1" t="s">
        <v>4809</v>
      </c>
      <c r="C2486" s="9" t="s">
        <v>642</v>
      </c>
      <c r="D2486" s="14" t="s">
        <v>4810</v>
      </c>
      <c r="E2486" s="9" t="s">
        <v>8</v>
      </c>
    </row>
    <row r="2487" spans="1:5" ht="15" customHeight="1" outlineLevel="2" x14ac:dyDescent="0.25">
      <c r="A2487" s="3" t="str">
        <f>HYPERLINK("http://mystore1.ru/price_items/search?utf8=%E2%9C%93&amp;oem=3572AGSMVW1P","3572AGSMVW1P")</f>
        <v>3572AGSMVW1P</v>
      </c>
      <c r="B2487" s="1" t="s">
        <v>4811</v>
      </c>
      <c r="C2487" s="9" t="s">
        <v>642</v>
      </c>
      <c r="D2487" s="14" t="s">
        <v>4812</v>
      </c>
      <c r="E2487" s="9" t="s">
        <v>8</v>
      </c>
    </row>
    <row r="2488" spans="1:5" ht="15" customHeight="1" outlineLevel="2" x14ac:dyDescent="0.25">
      <c r="A2488" s="3" t="str">
        <f>HYPERLINK("http://mystore1.ru/price_items/search?utf8=%E2%9C%93&amp;oem=3572LGSH5FD1M","3572LGSH5FD1M")</f>
        <v>3572LGSH5FD1M</v>
      </c>
      <c r="B2488" s="1" t="s">
        <v>4813</v>
      </c>
      <c r="C2488" s="9" t="s">
        <v>642</v>
      </c>
      <c r="D2488" s="14" t="s">
        <v>4814</v>
      </c>
      <c r="E2488" s="9" t="s">
        <v>11</v>
      </c>
    </row>
    <row r="2489" spans="1:5" ht="15" customHeight="1" outlineLevel="2" x14ac:dyDescent="0.25">
      <c r="A2489" s="3" t="str">
        <f>HYPERLINK("http://mystore1.ru/price_items/search?utf8=%E2%9C%93&amp;oem=3572LGSH5RD","3572LGSH5RD")</f>
        <v>3572LGSH5RD</v>
      </c>
      <c r="B2489" s="1" t="s">
        <v>4815</v>
      </c>
      <c r="C2489" s="9" t="s">
        <v>642</v>
      </c>
      <c r="D2489" s="14" t="s">
        <v>4816</v>
      </c>
      <c r="E2489" s="9" t="s">
        <v>11</v>
      </c>
    </row>
    <row r="2490" spans="1:5" ht="15" customHeight="1" outlineLevel="2" x14ac:dyDescent="0.25">
      <c r="A2490" s="3" t="str">
        <f>HYPERLINK("http://mystore1.ru/price_items/search?utf8=%E2%9C%93&amp;oem=3572LGSH3FD1M","3572LGSH3FD1M")</f>
        <v>3572LGSH3FD1M</v>
      </c>
      <c r="B2490" s="1" t="s">
        <v>4817</v>
      </c>
      <c r="C2490" s="9" t="s">
        <v>642</v>
      </c>
      <c r="D2490" s="14" t="s">
        <v>4818</v>
      </c>
      <c r="E2490" s="9" t="s">
        <v>11</v>
      </c>
    </row>
    <row r="2491" spans="1:5" ht="15" customHeight="1" outlineLevel="2" x14ac:dyDescent="0.25">
      <c r="A2491" s="3" t="str">
        <f>HYPERLINK("http://mystore1.ru/price_items/search?utf8=%E2%9C%93&amp;oem=3572LYPH5RD","3572LYPH5RD")</f>
        <v>3572LYPH5RD</v>
      </c>
      <c r="B2491" s="1" t="s">
        <v>4819</v>
      </c>
      <c r="C2491" s="9" t="s">
        <v>642</v>
      </c>
      <c r="D2491" s="14" t="s">
        <v>4820</v>
      </c>
      <c r="E2491" s="9" t="s">
        <v>11</v>
      </c>
    </row>
    <row r="2492" spans="1:5" ht="15" customHeight="1" outlineLevel="2" x14ac:dyDescent="0.25">
      <c r="A2492" s="3" t="str">
        <f>HYPERLINK("http://mystore1.ru/price_items/search?utf8=%E2%9C%93&amp;oem=3572RGSH5FD1M","3572RGSH5FD1M")</f>
        <v>3572RGSH5FD1M</v>
      </c>
      <c r="B2492" s="1" t="s">
        <v>4821</v>
      </c>
      <c r="C2492" s="9" t="s">
        <v>642</v>
      </c>
      <c r="D2492" s="14" t="s">
        <v>4822</v>
      </c>
      <c r="E2492" s="9" t="s">
        <v>11</v>
      </c>
    </row>
    <row r="2493" spans="1:5" ht="15" customHeight="1" outlineLevel="2" x14ac:dyDescent="0.25">
      <c r="A2493" s="3" t="str">
        <f>HYPERLINK("http://mystore1.ru/price_items/search?utf8=%E2%9C%93&amp;oem=3572RGSH3FD1M","3572RGSH3FD1M")</f>
        <v>3572RGSH3FD1M</v>
      </c>
      <c r="B2493" s="1" t="s">
        <v>4823</v>
      </c>
      <c r="C2493" s="9" t="s">
        <v>642</v>
      </c>
      <c r="D2493" s="14" t="s">
        <v>4824</v>
      </c>
      <c r="E2493" s="9" t="s">
        <v>11</v>
      </c>
    </row>
    <row r="2494" spans="1:5" ht="15" customHeight="1" outlineLevel="2" x14ac:dyDescent="0.25">
      <c r="A2494" s="3" t="str">
        <f>HYPERLINK("http://mystore1.ru/price_items/search?utf8=%E2%9C%93&amp;oem=3572RGSH5RD","3572RGSH5RD")</f>
        <v>3572RGSH5RD</v>
      </c>
      <c r="B2494" s="1" t="s">
        <v>4825</v>
      </c>
      <c r="C2494" s="9" t="s">
        <v>642</v>
      </c>
      <c r="D2494" s="14" t="s">
        <v>4826</v>
      </c>
      <c r="E2494" s="9" t="s">
        <v>11</v>
      </c>
    </row>
    <row r="2495" spans="1:5" ht="15" customHeight="1" outlineLevel="2" x14ac:dyDescent="0.25">
      <c r="A2495" s="3" t="str">
        <f>HYPERLINK("http://mystore1.ru/price_items/search?utf8=%E2%9C%93&amp;oem=3572RYPH5RD","3572RYPH5RD")</f>
        <v>3572RYPH5RD</v>
      </c>
      <c r="B2495" s="1" t="s">
        <v>4827</v>
      </c>
      <c r="C2495" s="9" t="s">
        <v>642</v>
      </c>
      <c r="D2495" s="14" t="s">
        <v>4828</v>
      </c>
      <c r="E2495" s="9" t="s">
        <v>11</v>
      </c>
    </row>
    <row r="2496" spans="1:5" outlineLevel="1" x14ac:dyDescent="0.25">
      <c r="A2496" s="2"/>
      <c r="B2496" s="6" t="s">
        <v>4829</v>
      </c>
      <c r="C2496" s="8"/>
      <c r="D2496" s="8"/>
      <c r="E2496" s="8"/>
    </row>
    <row r="2497" spans="1:5" ht="15" customHeight="1" outlineLevel="2" x14ac:dyDescent="0.25">
      <c r="A2497" s="3" t="str">
        <f>HYPERLINK("http://mystore1.ru/price_items/search?utf8=%E2%9C%93&amp;oem=3556AGSBLVW","3556AGSBLVW")</f>
        <v>3556AGSBLVW</v>
      </c>
      <c r="B2497" s="1" t="s">
        <v>4830</v>
      </c>
      <c r="C2497" s="9" t="s">
        <v>564</v>
      </c>
      <c r="D2497" s="14" t="s">
        <v>4831</v>
      </c>
      <c r="E2497" s="9" t="s">
        <v>8</v>
      </c>
    </row>
    <row r="2498" spans="1:5" ht="15" customHeight="1" outlineLevel="2" x14ac:dyDescent="0.25">
      <c r="A2498" s="3" t="str">
        <f>HYPERLINK("http://mystore1.ru/price_items/search?utf8=%E2%9C%93&amp;oem=3556AGSGNVW","3556AGSGNVW")</f>
        <v>3556AGSGNVW</v>
      </c>
      <c r="B2498" s="1" t="s">
        <v>4832</v>
      </c>
      <c r="C2498" s="9" t="s">
        <v>564</v>
      </c>
      <c r="D2498" s="14" t="s">
        <v>4833</v>
      </c>
      <c r="E2498" s="9" t="s">
        <v>8</v>
      </c>
    </row>
    <row r="2499" spans="1:5" ht="15" customHeight="1" outlineLevel="2" x14ac:dyDescent="0.25">
      <c r="A2499" s="3" t="str">
        <f>HYPERLINK("http://mystore1.ru/price_items/search?utf8=%E2%9C%93&amp;oem=3556AGSHVW","3556AGSHVW")</f>
        <v>3556AGSHVW</v>
      </c>
      <c r="B2499" s="1" t="s">
        <v>4834</v>
      </c>
      <c r="C2499" s="9" t="s">
        <v>564</v>
      </c>
      <c r="D2499" s="14" t="s">
        <v>4835</v>
      </c>
      <c r="E2499" s="9" t="s">
        <v>8</v>
      </c>
    </row>
    <row r="2500" spans="1:5" ht="15" customHeight="1" outlineLevel="2" x14ac:dyDescent="0.25">
      <c r="A2500" s="3" t="str">
        <f>HYPERLINK("http://mystore1.ru/price_items/search?utf8=%E2%9C%93&amp;oem=3556AGSHVW1E","3556AGSHVW1E")</f>
        <v>3556AGSHVW1E</v>
      </c>
      <c r="B2500" s="1" t="s">
        <v>4836</v>
      </c>
      <c r="C2500" s="9" t="s">
        <v>4837</v>
      </c>
      <c r="D2500" s="14" t="s">
        <v>4838</v>
      </c>
      <c r="E2500" s="9" t="s">
        <v>8</v>
      </c>
    </row>
    <row r="2501" spans="1:5" ht="15" customHeight="1" outlineLevel="2" x14ac:dyDescent="0.25">
      <c r="A2501" s="3" t="str">
        <f>HYPERLINK("http://mystore1.ru/price_items/search?utf8=%E2%9C%93&amp;oem=3556AGSVW","3556AGSVW")</f>
        <v>3556AGSVW</v>
      </c>
      <c r="B2501" s="1" t="s">
        <v>4839</v>
      </c>
      <c r="C2501" s="9" t="s">
        <v>564</v>
      </c>
      <c r="D2501" s="14" t="s">
        <v>4840</v>
      </c>
      <c r="E2501" s="9" t="s">
        <v>8</v>
      </c>
    </row>
    <row r="2502" spans="1:5" ht="15" customHeight="1" outlineLevel="2" x14ac:dyDescent="0.25">
      <c r="A2502" s="3" t="str">
        <f>HYPERLINK("http://mystore1.ru/price_items/search?utf8=%E2%9C%93&amp;oem=3556AGSV","3556AGSV")</f>
        <v>3556AGSV</v>
      </c>
      <c r="B2502" s="1" t="s">
        <v>4841</v>
      </c>
      <c r="C2502" s="9" t="s">
        <v>564</v>
      </c>
      <c r="D2502" s="14" t="s">
        <v>4842</v>
      </c>
      <c r="E2502" s="9" t="s">
        <v>8</v>
      </c>
    </row>
    <row r="2503" spans="1:5" ht="15" customHeight="1" outlineLevel="2" x14ac:dyDescent="0.25">
      <c r="A2503" s="3" t="str">
        <f>HYPERLINK("http://mystore1.ru/price_items/search?utf8=%E2%9C%93&amp;oem=3556ASMH","3556ASMH")</f>
        <v>3556ASMH</v>
      </c>
      <c r="B2503" s="1" t="s">
        <v>4843</v>
      </c>
      <c r="C2503" s="9" t="s">
        <v>25</v>
      </c>
      <c r="D2503" s="14" t="s">
        <v>4844</v>
      </c>
      <c r="E2503" s="9" t="s">
        <v>27</v>
      </c>
    </row>
    <row r="2504" spans="1:5" ht="15" customHeight="1" outlineLevel="2" x14ac:dyDescent="0.25">
      <c r="A2504" s="3" t="str">
        <f>HYPERLINK("http://mystore1.ru/price_items/search?utf8=%E2%9C%93&amp;oem=3556BGSEB","3556BGSEB")</f>
        <v>3556BGSEB</v>
      </c>
      <c r="B2504" s="1" t="s">
        <v>4845</v>
      </c>
      <c r="C2504" s="9" t="s">
        <v>564</v>
      </c>
      <c r="D2504" s="14" t="s">
        <v>4846</v>
      </c>
      <c r="E2504" s="9" t="s">
        <v>30</v>
      </c>
    </row>
    <row r="2505" spans="1:5" ht="15" customHeight="1" outlineLevel="2" x14ac:dyDescent="0.25">
      <c r="A2505" s="3" t="str">
        <f>HYPERLINK("http://mystore1.ru/price_items/search?utf8=%E2%9C%93&amp;oem=3556BGSH","3556BGSH")</f>
        <v>3556BGSH</v>
      </c>
      <c r="B2505" s="1" t="s">
        <v>4847</v>
      </c>
      <c r="C2505" s="9" t="s">
        <v>564</v>
      </c>
      <c r="D2505" s="14" t="s">
        <v>4848</v>
      </c>
      <c r="E2505" s="9" t="s">
        <v>30</v>
      </c>
    </row>
    <row r="2506" spans="1:5" ht="15" customHeight="1" outlineLevel="2" x14ac:dyDescent="0.25">
      <c r="A2506" s="3" t="str">
        <f>HYPERLINK("http://mystore1.ru/price_items/search?utf8=%E2%9C%93&amp;oem=3556BGSS","3556BGSS")</f>
        <v>3556BGSS</v>
      </c>
      <c r="B2506" s="1" t="s">
        <v>4849</v>
      </c>
      <c r="C2506" s="9" t="s">
        <v>564</v>
      </c>
      <c r="D2506" s="14" t="s">
        <v>4850</v>
      </c>
      <c r="E2506" s="9" t="s">
        <v>30</v>
      </c>
    </row>
    <row r="2507" spans="1:5" ht="15" customHeight="1" outlineLevel="2" x14ac:dyDescent="0.25">
      <c r="A2507" s="3" t="str">
        <f>HYPERLINK("http://mystore1.ru/price_items/search?utf8=%E2%9C%93&amp;oem=3556LGSE5RDW","3556LGSE5RDW")</f>
        <v>3556LGSE5RDW</v>
      </c>
      <c r="B2507" s="1" t="s">
        <v>4851</v>
      </c>
      <c r="C2507" s="9" t="s">
        <v>564</v>
      </c>
      <c r="D2507" s="14" t="s">
        <v>4852</v>
      </c>
      <c r="E2507" s="9" t="s">
        <v>11</v>
      </c>
    </row>
    <row r="2508" spans="1:5" ht="15" customHeight="1" outlineLevel="2" x14ac:dyDescent="0.25">
      <c r="A2508" s="3" t="str">
        <f>HYPERLINK("http://mystore1.ru/price_items/search?utf8=%E2%9C%93&amp;oem=3556LGSE5RQ","3556LGSE5RQ")</f>
        <v>3556LGSE5RQ</v>
      </c>
      <c r="B2508" s="1" t="s">
        <v>4853</v>
      </c>
      <c r="C2508" s="9" t="s">
        <v>564</v>
      </c>
      <c r="D2508" s="14" t="s">
        <v>4854</v>
      </c>
      <c r="E2508" s="9" t="s">
        <v>11</v>
      </c>
    </row>
    <row r="2509" spans="1:5" ht="15" customHeight="1" outlineLevel="2" x14ac:dyDescent="0.25">
      <c r="A2509" s="3" t="str">
        <f>HYPERLINK("http://mystore1.ru/price_items/search?utf8=%E2%9C%93&amp;oem=3556LGSH3FD","3556LGSH3FD")</f>
        <v>3556LGSH3FD</v>
      </c>
      <c r="B2509" s="1" t="s">
        <v>4855</v>
      </c>
      <c r="C2509" s="9" t="s">
        <v>564</v>
      </c>
      <c r="D2509" s="14" t="s">
        <v>4856</v>
      </c>
      <c r="E2509" s="9" t="s">
        <v>11</v>
      </c>
    </row>
    <row r="2510" spans="1:5" ht="15" customHeight="1" outlineLevel="2" x14ac:dyDescent="0.25">
      <c r="A2510" s="3" t="str">
        <f>HYPERLINK("http://mystore1.ru/price_items/search?utf8=%E2%9C%93&amp;oem=3556LGSH3RQ","3556LGSH3RQ")</f>
        <v>3556LGSH3RQ</v>
      </c>
      <c r="B2510" s="1" t="s">
        <v>4857</v>
      </c>
      <c r="C2510" s="9" t="s">
        <v>564</v>
      </c>
      <c r="D2510" s="14" t="s">
        <v>4858</v>
      </c>
      <c r="E2510" s="9" t="s">
        <v>11</v>
      </c>
    </row>
    <row r="2511" spans="1:5" ht="15" customHeight="1" outlineLevel="2" x14ac:dyDescent="0.25">
      <c r="A2511" s="3" t="str">
        <f>HYPERLINK("http://mystore1.ru/price_items/search?utf8=%E2%9C%93&amp;oem=3556LGSH5FD","3556LGSH5FD")</f>
        <v>3556LGSH5FD</v>
      </c>
      <c r="B2511" s="1" t="s">
        <v>4859</v>
      </c>
      <c r="C2511" s="9" t="s">
        <v>564</v>
      </c>
      <c r="D2511" s="14" t="s">
        <v>4860</v>
      </c>
      <c r="E2511" s="9" t="s">
        <v>11</v>
      </c>
    </row>
    <row r="2512" spans="1:5" ht="15" customHeight="1" outlineLevel="2" x14ac:dyDescent="0.25">
      <c r="A2512" s="3" t="str">
        <f>HYPERLINK("http://mystore1.ru/price_items/search?utf8=%E2%9C%93&amp;oem=3556LGSH5RDW","3556LGSH5RDW")</f>
        <v>3556LGSH5RDW</v>
      </c>
      <c r="B2512" s="1" t="s">
        <v>4861</v>
      </c>
      <c r="C2512" s="9" t="s">
        <v>564</v>
      </c>
      <c r="D2512" s="14" t="s">
        <v>4862</v>
      </c>
      <c r="E2512" s="9" t="s">
        <v>11</v>
      </c>
    </row>
    <row r="2513" spans="1:5" ht="15" customHeight="1" outlineLevel="2" x14ac:dyDescent="0.25">
      <c r="A2513" s="3" t="str">
        <f>HYPERLINK("http://mystore1.ru/price_items/search?utf8=%E2%9C%93&amp;oem=3556LGSH5RQ","3556LGSH5RQ")</f>
        <v>3556LGSH5RQ</v>
      </c>
      <c r="B2513" s="1" t="s">
        <v>4863</v>
      </c>
      <c r="C2513" s="9" t="s">
        <v>564</v>
      </c>
      <c r="D2513" s="14" t="s">
        <v>4864</v>
      </c>
      <c r="E2513" s="9" t="s">
        <v>11</v>
      </c>
    </row>
    <row r="2514" spans="1:5" ht="15" customHeight="1" outlineLevel="2" x14ac:dyDescent="0.25">
      <c r="A2514" s="3" t="str">
        <f>HYPERLINK("http://mystore1.ru/price_items/search?utf8=%E2%9C%93&amp;oem=3556LGSS4RQ","3556LGSS4RQ")</f>
        <v>3556LGSS4RQ</v>
      </c>
      <c r="B2514" s="1" t="s">
        <v>4865</v>
      </c>
      <c r="C2514" s="9" t="s">
        <v>564</v>
      </c>
      <c r="D2514" s="14" t="s">
        <v>4866</v>
      </c>
      <c r="E2514" s="9" t="s">
        <v>11</v>
      </c>
    </row>
    <row r="2515" spans="1:5" ht="15" customHeight="1" outlineLevel="2" x14ac:dyDescent="0.25">
      <c r="A2515" s="3" t="str">
        <f>HYPERLINK("http://mystore1.ru/price_items/search?utf8=%E2%9C%93&amp;oem=3556RGSE5RDW","3556RGSE5RDW")</f>
        <v>3556RGSE5RDW</v>
      </c>
      <c r="B2515" s="1" t="s">
        <v>4867</v>
      </c>
      <c r="C2515" s="9" t="s">
        <v>564</v>
      </c>
      <c r="D2515" s="14" t="s">
        <v>4868</v>
      </c>
      <c r="E2515" s="9" t="s">
        <v>11</v>
      </c>
    </row>
    <row r="2516" spans="1:5" ht="15" customHeight="1" outlineLevel="2" x14ac:dyDescent="0.25">
      <c r="A2516" s="3" t="str">
        <f>HYPERLINK("http://mystore1.ru/price_items/search?utf8=%E2%9C%93&amp;oem=3556RGSE5RQ","3556RGSE5RQ")</f>
        <v>3556RGSE5RQ</v>
      </c>
      <c r="B2516" s="1" t="s">
        <v>4869</v>
      </c>
      <c r="C2516" s="9" t="s">
        <v>564</v>
      </c>
      <c r="D2516" s="14" t="s">
        <v>4870</v>
      </c>
      <c r="E2516" s="9" t="s">
        <v>11</v>
      </c>
    </row>
    <row r="2517" spans="1:5" ht="15" customHeight="1" outlineLevel="2" x14ac:dyDescent="0.25">
      <c r="A2517" s="3" t="str">
        <f>HYPERLINK("http://mystore1.ru/price_items/search?utf8=%E2%9C%93&amp;oem=3556RGSH3FD","3556RGSH3FD")</f>
        <v>3556RGSH3FD</v>
      </c>
      <c r="B2517" s="1" t="s">
        <v>4871</v>
      </c>
      <c r="C2517" s="9" t="s">
        <v>564</v>
      </c>
      <c r="D2517" s="14" t="s">
        <v>4872</v>
      </c>
      <c r="E2517" s="9" t="s">
        <v>11</v>
      </c>
    </row>
    <row r="2518" spans="1:5" ht="15" customHeight="1" outlineLevel="2" x14ac:dyDescent="0.25">
      <c r="A2518" s="3" t="str">
        <f>HYPERLINK("http://mystore1.ru/price_items/search?utf8=%E2%9C%93&amp;oem=3556RGSH3RQ","3556RGSH3RQ")</f>
        <v>3556RGSH3RQ</v>
      </c>
      <c r="B2518" s="1" t="s">
        <v>4873</v>
      </c>
      <c r="C2518" s="9" t="s">
        <v>564</v>
      </c>
      <c r="D2518" s="14" t="s">
        <v>4874</v>
      </c>
      <c r="E2518" s="9" t="s">
        <v>11</v>
      </c>
    </row>
    <row r="2519" spans="1:5" ht="15" customHeight="1" outlineLevel="2" x14ac:dyDescent="0.25">
      <c r="A2519" s="3" t="str">
        <f>HYPERLINK("http://mystore1.ru/price_items/search?utf8=%E2%9C%93&amp;oem=3556RGSH5FD","3556RGSH5FD")</f>
        <v>3556RGSH5FD</v>
      </c>
      <c r="B2519" s="1" t="s">
        <v>4875</v>
      </c>
      <c r="C2519" s="9" t="s">
        <v>564</v>
      </c>
      <c r="D2519" s="14" t="s">
        <v>4876</v>
      </c>
      <c r="E2519" s="9" t="s">
        <v>11</v>
      </c>
    </row>
    <row r="2520" spans="1:5" ht="15" customHeight="1" outlineLevel="2" x14ac:dyDescent="0.25">
      <c r="A2520" s="3" t="str">
        <f>HYPERLINK("http://mystore1.ru/price_items/search?utf8=%E2%9C%93&amp;oem=3556RGSH5RDW","3556RGSH5RDW")</f>
        <v>3556RGSH5RDW</v>
      </c>
      <c r="B2520" s="1" t="s">
        <v>4877</v>
      </c>
      <c r="C2520" s="9" t="s">
        <v>564</v>
      </c>
      <c r="D2520" s="14" t="s">
        <v>4878</v>
      </c>
      <c r="E2520" s="9" t="s">
        <v>11</v>
      </c>
    </row>
    <row r="2521" spans="1:5" ht="15" customHeight="1" outlineLevel="2" x14ac:dyDescent="0.25">
      <c r="A2521" s="3" t="str">
        <f>HYPERLINK("http://mystore1.ru/price_items/search?utf8=%E2%9C%93&amp;oem=3556RGSH5RQ","3556RGSH5RQ")</f>
        <v>3556RGSH5RQ</v>
      </c>
      <c r="B2521" s="1" t="s">
        <v>4879</v>
      </c>
      <c r="C2521" s="9" t="s">
        <v>564</v>
      </c>
      <c r="D2521" s="14" t="s">
        <v>4880</v>
      </c>
      <c r="E2521" s="9" t="s">
        <v>11</v>
      </c>
    </row>
    <row r="2522" spans="1:5" ht="15" customHeight="1" outlineLevel="2" x14ac:dyDescent="0.25">
      <c r="A2522" s="3" t="str">
        <f>HYPERLINK("http://mystore1.ru/price_items/search?utf8=%E2%9C%93&amp;oem=3556RGSS4RQ","3556RGSS4RQ")</f>
        <v>3556RGSS4RQ</v>
      </c>
      <c r="B2522" s="1" t="s">
        <v>4881</v>
      </c>
      <c r="C2522" s="9" t="s">
        <v>564</v>
      </c>
      <c r="D2522" s="14" t="s">
        <v>4882</v>
      </c>
      <c r="E2522" s="9" t="s">
        <v>11</v>
      </c>
    </row>
    <row r="2523" spans="1:5" outlineLevel="1" x14ac:dyDescent="0.25">
      <c r="A2523" s="2"/>
      <c r="B2523" s="6" t="s">
        <v>4883</v>
      </c>
      <c r="C2523" s="8"/>
      <c r="D2523" s="8"/>
      <c r="E2523" s="8"/>
    </row>
    <row r="2524" spans="1:5" ht="15" customHeight="1" outlineLevel="2" x14ac:dyDescent="0.25">
      <c r="A2524" s="3" t="str">
        <f>HYPERLINK("http://mystore1.ru/price_items/search?utf8=%E2%9C%93&amp;oem=3566AGSHMVW6X","3566AGSHMVW6X")</f>
        <v>3566AGSHMVW6X</v>
      </c>
      <c r="B2524" s="1" t="s">
        <v>4884</v>
      </c>
      <c r="C2524" s="9" t="s">
        <v>212</v>
      </c>
      <c r="D2524" s="14" t="s">
        <v>4885</v>
      </c>
      <c r="E2524" s="9" t="s">
        <v>8</v>
      </c>
    </row>
    <row r="2525" spans="1:5" ht="15" customHeight="1" outlineLevel="2" x14ac:dyDescent="0.25">
      <c r="A2525" s="3" t="str">
        <f>HYPERLINK("http://mystore1.ru/price_items/search?utf8=%E2%9C%93&amp;oem=3566AGSHMVW7X","3566AGSHMVW7X")</f>
        <v>3566AGSHMVW7X</v>
      </c>
      <c r="B2525" s="1" t="s">
        <v>4886</v>
      </c>
      <c r="C2525" s="9" t="s">
        <v>212</v>
      </c>
      <c r="D2525" s="14" t="s">
        <v>4887</v>
      </c>
      <c r="E2525" s="9" t="s">
        <v>8</v>
      </c>
    </row>
    <row r="2526" spans="1:5" ht="15" customHeight="1" outlineLevel="2" x14ac:dyDescent="0.25">
      <c r="A2526" s="3" t="str">
        <f>HYPERLINK("http://mystore1.ru/price_items/search?utf8=%E2%9C%93&amp;oem=3566AGSHVW1R","3566AGSHVW1R")</f>
        <v>3566AGSHVW1R</v>
      </c>
      <c r="B2526" s="1" t="s">
        <v>4888</v>
      </c>
      <c r="C2526" s="9" t="s">
        <v>212</v>
      </c>
      <c r="D2526" s="14" t="s">
        <v>4889</v>
      </c>
      <c r="E2526" s="9" t="s">
        <v>8</v>
      </c>
    </row>
    <row r="2527" spans="1:5" ht="15" customHeight="1" outlineLevel="2" x14ac:dyDescent="0.25">
      <c r="A2527" s="3" t="str">
        <f>HYPERLINK("http://mystore1.ru/price_items/search?utf8=%E2%9C%93&amp;oem=3566AGSHVW2R","3566AGSHVW2R")</f>
        <v>3566AGSHVW2R</v>
      </c>
      <c r="B2527" s="1" t="s">
        <v>4890</v>
      </c>
      <c r="C2527" s="9" t="s">
        <v>212</v>
      </c>
      <c r="D2527" s="14" t="s">
        <v>4891</v>
      </c>
      <c r="E2527" s="9" t="s">
        <v>8</v>
      </c>
    </row>
    <row r="2528" spans="1:5" ht="15" customHeight="1" outlineLevel="2" x14ac:dyDescent="0.25">
      <c r="A2528" s="3" t="str">
        <f>HYPERLINK("http://mystore1.ru/price_items/search?utf8=%E2%9C%93&amp;oem=3566AGSMVW6X","3566AGSMVW6X")</f>
        <v>3566AGSMVW6X</v>
      </c>
      <c r="B2528" s="1" t="s">
        <v>4892</v>
      </c>
      <c r="C2528" s="9" t="s">
        <v>212</v>
      </c>
      <c r="D2528" s="14" t="s">
        <v>4893</v>
      </c>
      <c r="E2528" s="9" t="s">
        <v>8</v>
      </c>
    </row>
    <row r="2529" spans="1:5" ht="15" customHeight="1" outlineLevel="2" x14ac:dyDescent="0.25">
      <c r="A2529" s="3" t="str">
        <f>HYPERLINK("http://mystore1.ru/price_items/search?utf8=%E2%9C%93&amp;oem=3566AGSMVW7X","3566AGSMVW7X")</f>
        <v>3566AGSMVW7X</v>
      </c>
      <c r="B2529" s="1" t="s">
        <v>4894</v>
      </c>
      <c r="C2529" s="9" t="s">
        <v>212</v>
      </c>
      <c r="D2529" s="14" t="s">
        <v>4895</v>
      </c>
      <c r="E2529" s="9" t="s">
        <v>8</v>
      </c>
    </row>
    <row r="2530" spans="1:5" ht="15" customHeight="1" outlineLevel="2" x14ac:dyDescent="0.25">
      <c r="A2530" s="3" t="str">
        <f>HYPERLINK("http://mystore1.ru/price_items/search?utf8=%E2%9C%93&amp;oem=3566AGSVW1R","3566AGSVW1R")</f>
        <v>3566AGSVW1R</v>
      </c>
      <c r="B2530" s="1" t="s">
        <v>4896</v>
      </c>
      <c r="C2530" s="9" t="s">
        <v>212</v>
      </c>
      <c r="D2530" s="14" t="s">
        <v>4897</v>
      </c>
      <c r="E2530" s="9" t="s">
        <v>8</v>
      </c>
    </row>
    <row r="2531" spans="1:5" ht="15" customHeight="1" outlineLevel="2" x14ac:dyDescent="0.25">
      <c r="A2531" s="3" t="str">
        <f>HYPERLINK("http://mystore1.ru/price_items/search?utf8=%E2%9C%93&amp;oem=3566AGSV2R","3566AGSV2R")</f>
        <v>3566AGSV2R</v>
      </c>
      <c r="B2531" s="1" t="s">
        <v>4898</v>
      </c>
      <c r="C2531" s="9" t="s">
        <v>212</v>
      </c>
      <c r="D2531" s="14" t="s">
        <v>4899</v>
      </c>
      <c r="E2531" s="9" t="s">
        <v>8</v>
      </c>
    </row>
    <row r="2532" spans="1:5" ht="15" customHeight="1" outlineLevel="2" x14ac:dyDescent="0.25">
      <c r="A2532" s="3" t="str">
        <f>HYPERLINK("http://mystore1.ru/price_items/search?utf8=%E2%9C%93&amp;oem=3566AGSVW2R","3566AGSVW2R")</f>
        <v>3566AGSVW2R</v>
      </c>
      <c r="B2532" s="1" t="s">
        <v>4900</v>
      </c>
      <c r="C2532" s="9" t="s">
        <v>212</v>
      </c>
      <c r="D2532" s="14" t="s">
        <v>4901</v>
      </c>
      <c r="E2532" s="9" t="s">
        <v>8</v>
      </c>
    </row>
    <row r="2533" spans="1:5" ht="15" customHeight="1" outlineLevel="2" x14ac:dyDescent="0.25">
      <c r="A2533" s="3" t="str">
        <f>HYPERLINK("http://mystore1.ru/price_items/search?utf8=%E2%9C%93&amp;oem=3566ASMH","3566ASMH")</f>
        <v>3566ASMH</v>
      </c>
      <c r="B2533" s="1" t="s">
        <v>4902</v>
      </c>
      <c r="C2533" s="9" t="s">
        <v>25</v>
      </c>
      <c r="D2533" s="14" t="s">
        <v>4903</v>
      </c>
      <c r="E2533" s="9" t="s">
        <v>27</v>
      </c>
    </row>
    <row r="2534" spans="1:5" ht="15" customHeight="1" outlineLevel="2" x14ac:dyDescent="0.25">
      <c r="A2534" s="3" t="str">
        <f>HYPERLINK("http://mystore1.ru/price_items/search?utf8=%E2%9C%93&amp;oem=3566ASMHB","3566ASMHB")</f>
        <v>3566ASMHB</v>
      </c>
      <c r="B2534" s="1" t="s">
        <v>4904</v>
      </c>
      <c r="C2534" s="9" t="s">
        <v>25</v>
      </c>
      <c r="D2534" s="14" t="s">
        <v>4905</v>
      </c>
      <c r="E2534" s="9" t="s">
        <v>27</v>
      </c>
    </row>
    <row r="2535" spans="1:5" ht="15" customHeight="1" outlineLevel="2" x14ac:dyDescent="0.25">
      <c r="A2535" s="3" t="str">
        <f>HYPERLINK("http://mystore1.ru/price_items/search?utf8=%E2%9C%93&amp;oem=3566BGSE","3566BGSE")</f>
        <v>3566BGSE</v>
      </c>
      <c r="B2535" s="1" t="s">
        <v>4906</v>
      </c>
      <c r="C2535" s="9" t="s">
        <v>212</v>
      </c>
      <c r="D2535" s="14" t="s">
        <v>4907</v>
      </c>
      <c r="E2535" s="9" t="s">
        <v>30</v>
      </c>
    </row>
    <row r="2536" spans="1:5" ht="15" customHeight="1" outlineLevel="2" x14ac:dyDescent="0.25">
      <c r="A2536" s="3" t="str">
        <f>HYPERLINK("http://mystore1.ru/price_items/search?utf8=%E2%9C%93&amp;oem=3566BGSH","3566BGSH")</f>
        <v>3566BGSH</v>
      </c>
      <c r="B2536" s="1" t="s">
        <v>4908</v>
      </c>
      <c r="C2536" s="9" t="s">
        <v>212</v>
      </c>
      <c r="D2536" s="14" t="s">
        <v>4909</v>
      </c>
      <c r="E2536" s="9" t="s">
        <v>30</v>
      </c>
    </row>
    <row r="2537" spans="1:5" ht="15" customHeight="1" outlineLevel="2" x14ac:dyDescent="0.25">
      <c r="A2537" s="3" t="str">
        <f>HYPERLINK("http://mystore1.ru/price_items/search?utf8=%E2%9C%93&amp;oem=3566BGSH1J","3566BGSH1J")</f>
        <v>3566BGSH1J</v>
      </c>
      <c r="B2537" s="1" t="s">
        <v>4910</v>
      </c>
      <c r="C2537" s="9" t="s">
        <v>212</v>
      </c>
      <c r="D2537" s="14" t="s">
        <v>4911</v>
      </c>
      <c r="E2537" s="9" t="s">
        <v>30</v>
      </c>
    </row>
    <row r="2538" spans="1:5" ht="15" customHeight="1" outlineLevel="2" x14ac:dyDescent="0.25">
      <c r="A2538" s="3" t="str">
        <f>HYPERLINK("http://mystore1.ru/price_items/search?utf8=%E2%9C%93&amp;oem=3566BGSSB","3566BGSSB")</f>
        <v>3566BGSSB</v>
      </c>
      <c r="B2538" s="1" t="s">
        <v>4912</v>
      </c>
      <c r="C2538" s="9" t="s">
        <v>212</v>
      </c>
      <c r="D2538" s="14" t="s">
        <v>4913</v>
      </c>
      <c r="E2538" s="9" t="s">
        <v>30</v>
      </c>
    </row>
    <row r="2539" spans="1:5" ht="15" customHeight="1" outlineLevel="2" x14ac:dyDescent="0.25">
      <c r="A2539" s="3" t="str">
        <f>HYPERLINK("http://mystore1.ru/price_items/search?utf8=%E2%9C%93&amp;oem=3566LGSE5RD","3566LGSE5RD")</f>
        <v>3566LGSE5RD</v>
      </c>
      <c r="B2539" s="1" t="s">
        <v>4914</v>
      </c>
      <c r="C2539" s="9" t="s">
        <v>212</v>
      </c>
      <c r="D2539" s="14" t="s">
        <v>4915</v>
      </c>
      <c r="E2539" s="9" t="s">
        <v>11</v>
      </c>
    </row>
    <row r="2540" spans="1:5" ht="15" customHeight="1" outlineLevel="2" x14ac:dyDescent="0.25">
      <c r="A2540" s="3" t="str">
        <f>HYPERLINK("http://mystore1.ru/price_items/search?utf8=%E2%9C%93&amp;oem=3566LGSH5RD","3566LGSH5RD")</f>
        <v>3566LGSH5RD</v>
      </c>
      <c r="B2540" s="1" t="s">
        <v>4916</v>
      </c>
      <c r="C2540" s="9" t="s">
        <v>212</v>
      </c>
      <c r="D2540" s="14" t="s">
        <v>4917</v>
      </c>
      <c r="E2540" s="9" t="s">
        <v>11</v>
      </c>
    </row>
    <row r="2541" spans="1:5" ht="15" customHeight="1" outlineLevel="2" x14ac:dyDescent="0.25">
      <c r="A2541" s="3" t="str">
        <f>HYPERLINK("http://mystore1.ru/price_items/search?utf8=%E2%9C%93&amp;oem=3566LGSE5RQW","3566LGSE5RQW")</f>
        <v>3566LGSE5RQW</v>
      </c>
      <c r="B2541" s="1" t="s">
        <v>4918</v>
      </c>
      <c r="C2541" s="9" t="s">
        <v>212</v>
      </c>
      <c r="D2541" s="14" t="s">
        <v>4919</v>
      </c>
      <c r="E2541" s="9" t="s">
        <v>11</v>
      </c>
    </row>
    <row r="2542" spans="1:5" ht="15" customHeight="1" outlineLevel="2" x14ac:dyDescent="0.25">
      <c r="A2542" s="3" t="str">
        <f>HYPERLINK("http://mystore1.ru/price_items/search?utf8=%E2%9C%93&amp;oem=3566LGSH3FD1M","3566LGSH3FD1M")</f>
        <v>3566LGSH3FD1M</v>
      </c>
      <c r="B2542" s="1" t="s">
        <v>4920</v>
      </c>
      <c r="C2542" s="9" t="s">
        <v>212</v>
      </c>
      <c r="D2542" s="14" t="s">
        <v>4921</v>
      </c>
      <c r="E2542" s="9" t="s">
        <v>11</v>
      </c>
    </row>
    <row r="2543" spans="1:5" ht="15" customHeight="1" outlineLevel="2" x14ac:dyDescent="0.25">
      <c r="A2543" s="3" t="str">
        <f>HYPERLINK("http://mystore1.ru/price_items/search?utf8=%E2%9C%93&amp;oem=3566LGSH5FD1M","3566LGSH5FD1M")</f>
        <v>3566LGSH5FD1M</v>
      </c>
      <c r="B2543" s="1" t="s">
        <v>4922</v>
      </c>
      <c r="C2543" s="9" t="s">
        <v>212</v>
      </c>
      <c r="D2543" s="14" t="s">
        <v>4923</v>
      </c>
      <c r="E2543" s="9" t="s">
        <v>11</v>
      </c>
    </row>
    <row r="2544" spans="1:5" ht="15" customHeight="1" outlineLevel="2" x14ac:dyDescent="0.25">
      <c r="A2544" s="3" t="str">
        <f>HYPERLINK("http://mystore1.ru/price_items/search?utf8=%E2%9C%93&amp;oem=3566LGSH3RQW","3566LGSH3RQW")</f>
        <v>3566LGSH3RQW</v>
      </c>
      <c r="B2544" s="1" t="s">
        <v>4924</v>
      </c>
      <c r="C2544" s="9" t="s">
        <v>212</v>
      </c>
      <c r="D2544" s="14" t="s">
        <v>4925</v>
      </c>
      <c r="E2544" s="9" t="s">
        <v>11</v>
      </c>
    </row>
    <row r="2545" spans="1:5" ht="15" customHeight="1" outlineLevel="2" x14ac:dyDescent="0.25">
      <c r="A2545" s="3" t="str">
        <f>HYPERLINK("http://mystore1.ru/price_items/search?utf8=%E2%9C%93&amp;oem=3566LGSH5RQW","3566LGSH5RQW")</f>
        <v>3566LGSH5RQW</v>
      </c>
      <c r="B2545" s="1" t="s">
        <v>4926</v>
      </c>
      <c r="C2545" s="9" t="s">
        <v>212</v>
      </c>
      <c r="D2545" s="14" t="s">
        <v>4925</v>
      </c>
      <c r="E2545" s="9" t="s">
        <v>11</v>
      </c>
    </row>
    <row r="2546" spans="1:5" ht="15" customHeight="1" outlineLevel="2" x14ac:dyDescent="0.25">
      <c r="A2546" s="3" t="str">
        <f>HYPERLINK("http://mystore1.ru/price_items/search?utf8=%E2%9C%93&amp;oem=3566LGSH5RQ","3566LGSH5RQ")</f>
        <v>3566LGSH5RQ</v>
      </c>
      <c r="B2546" s="1" t="s">
        <v>4927</v>
      </c>
      <c r="C2546" s="9" t="s">
        <v>212</v>
      </c>
      <c r="D2546" s="14" t="s">
        <v>4928</v>
      </c>
      <c r="E2546" s="9" t="s">
        <v>11</v>
      </c>
    </row>
    <row r="2547" spans="1:5" ht="15" customHeight="1" outlineLevel="2" x14ac:dyDescent="0.25">
      <c r="A2547" s="3" t="str">
        <f>HYPERLINK("http://mystore1.ru/price_items/search?utf8=%E2%9C%93&amp;oem=3566LGSS4RQ","3566LGSS4RQ")</f>
        <v>3566LGSS4RQ</v>
      </c>
      <c r="B2547" s="1" t="s">
        <v>4929</v>
      </c>
      <c r="C2547" s="9" t="s">
        <v>212</v>
      </c>
      <c r="D2547" s="14" t="s">
        <v>4930</v>
      </c>
      <c r="E2547" s="9" t="s">
        <v>11</v>
      </c>
    </row>
    <row r="2548" spans="1:5" ht="15" customHeight="1" outlineLevel="2" x14ac:dyDescent="0.25">
      <c r="A2548" s="3" t="str">
        <f>HYPERLINK("http://mystore1.ru/price_items/search?utf8=%E2%9C%93&amp;oem=3566RGSE5RD","3566RGSE5RD")</f>
        <v>3566RGSE5RD</v>
      </c>
      <c r="B2548" s="1" t="s">
        <v>4931</v>
      </c>
      <c r="C2548" s="9" t="s">
        <v>212</v>
      </c>
      <c r="D2548" s="14" t="s">
        <v>4932</v>
      </c>
      <c r="E2548" s="9" t="s">
        <v>11</v>
      </c>
    </row>
    <row r="2549" spans="1:5" ht="15" customHeight="1" outlineLevel="2" x14ac:dyDescent="0.25">
      <c r="A2549" s="3" t="str">
        <f>HYPERLINK("http://mystore1.ru/price_items/search?utf8=%E2%9C%93&amp;oem=3566RGSE5RQW","3566RGSE5RQW")</f>
        <v>3566RGSE5RQW</v>
      </c>
      <c r="B2549" s="1" t="s">
        <v>4933</v>
      </c>
      <c r="C2549" s="9" t="s">
        <v>212</v>
      </c>
      <c r="D2549" s="14" t="s">
        <v>4934</v>
      </c>
      <c r="E2549" s="9" t="s">
        <v>11</v>
      </c>
    </row>
    <row r="2550" spans="1:5" ht="15" customHeight="1" outlineLevel="2" x14ac:dyDescent="0.25">
      <c r="A2550" s="3" t="str">
        <f>HYPERLINK("http://mystore1.ru/price_items/search?utf8=%E2%9C%93&amp;oem=3566RGSH3FD1M","3566RGSH3FD1M")</f>
        <v>3566RGSH3FD1M</v>
      </c>
      <c r="B2550" s="1" t="s">
        <v>4935</v>
      </c>
      <c r="C2550" s="9" t="s">
        <v>212</v>
      </c>
      <c r="D2550" s="14" t="s">
        <v>4936</v>
      </c>
      <c r="E2550" s="9" t="s">
        <v>11</v>
      </c>
    </row>
    <row r="2551" spans="1:5" ht="15" customHeight="1" outlineLevel="2" x14ac:dyDescent="0.25">
      <c r="A2551" s="3" t="str">
        <f>HYPERLINK("http://mystore1.ru/price_items/search?utf8=%E2%9C%93&amp;oem=3566RGSH3RQW","3566RGSH3RQW")</f>
        <v>3566RGSH3RQW</v>
      </c>
      <c r="B2551" s="1" t="s">
        <v>4937</v>
      </c>
      <c r="C2551" s="9" t="s">
        <v>212</v>
      </c>
      <c r="D2551" s="14" t="s">
        <v>4938</v>
      </c>
      <c r="E2551" s="9" t="s">
        <v>11</v>
      </c>
    </row>
    <row r="2552" spans="1:5" ht="15" customHeight="1" outlineLevel="2" x14ac:dyDescent="0.25">
      <c r="A2552" s="3" t="str">
        <f>HYPERLINK("http://mystore1.ru/price_items/search?utf8=%E2%9C%93&amp;oem=3566RGSH5RQ","3566RGSH5RQ")</f>
        <v>3566RGSH5RQ</v>
      </c>
      <c r="B2552" s="1" t="s">
        <v>4939</v>
      </c>
      <c r="C2552" s="9" t="s">
        <v>212</v>
      </c>
      <c r="D2552" s="14" t="s">
        <v>4940</v>
      </c>
      <c r="E2552" s="9" t="s">
        <v>11</v>
      </c>
    </row>
    <row r="2553" spans="1:5" ht="15" customHeight="1" outlineLevel="2" x14ac:dyDescent="0.25">
      <c r="A2553" s="3" t="str">
        <f>HYPERLINK("http://mystore1.ru/price_items/search?utf8=%E2%9C%93&amp;oem=3566RGSS4RQ","3566RGSS4RQ")</f>
        <v>3566RGSS4RQ</v>
      </c>
      <c r="B2553" s="1" t="s">
        <v>4941</v>
      </c>
      <c r="C2553" s="9" t="s">
        <v>212</v>
      </c>
      <c r="D2553" s="14" t="s">
        <v>4942</v>
      </c>
      <c r="E2553" s="9" t="s">
        <v>11</v>
      </c>
    </row>
    <row r="2554" spans="1:5" ht="15" customHeight="1" outlineLevel="2" x14ac:dyDescent="0.25">
      <c r="A2554" s="3" t="str">
        <f>HYPERLINK("http://mystore1.ru/price_items/search?utf8=%E2%9C%93&amp;oem=3566RGSH5FD1M","3566RGSH5FD1M")</f>
        <v>3566RGSH5FD1M</v>
      </c>
      <c r="B2554" s="1" t="s">
        <v>4943</v>
      </c>
      <c r="C2554" s="9" t="s">
        <v>212</v>
      </c>
      <c r="D2554" s="14" t="s">
        <v>4944</v>
      </c>
      <c r="E2554" s="9" t="s">
        <v>11</v>
      </c>
    </row>
    <row r="2555" spans="1:5" ht="15" customHeight="1" outlineLevel="2" x14ac:dyDescent="0.25">
      <c r="A2555" s="3" t="str">
        <f>HYPERLINK("http://mystore1.ru/price_items/search?utf8=%E2%9C%93&amp;oem=3566RGSH5RD","3566RGSH5RD")</f>
        <v>3566RGSH5RD</v>
      </c>
      <c r="B2555" s="1" t="s">
        <v>4945</v>
      </c>
      <c r="C2555" s="9" t="s">
        <v>212</v>
      </c>
      <c r="D2555" s="14" t="s">
        <v>4946</v>
      </c>
      <c r="E2555" s="9" t="s">
        <v>11</v>
      </c>
    </row>
    <row r="2556" spans="1:5" ht="15" customHeight="1" outlineLevel="2" x14ac:dyDescent="0.25">
      <c r="A2556" s="3" t="str">
        <f>HYPERLINK("http://mystore1.ru/price_items/search?utf8=%E2%9C%93&amp;oem=3566RGSH5RQW","3566RGSH5RQW")</f>
        <v>3566RGSH5RQW</v>
      </c>
      <c r="B2556" s="1" t="s">
        <v>4947</v>
      </c>
      <c r="C2556" s="9" t="s">
        <v>212</v>
      </c>
      <c r="D2556" s="14" t="s">
        <v>4938</v>
      </c>
      <c r="E2556" s="9" t="s">
        <v>11</v>
      </c>
    </row>
    <row r="2557" spans="1:5" outlineLevel="1" x14ac:dyDescent="0.25">
      <c r="A2557" s="2"/>
      <c r="B2557" s="6" t="s">
        <v>4948</v>
      </c>
      <c r="C2557" s="8"/>
      <c r="D2557" s="8"/>
      <c r="E2557" s="8"/>
    </row>
    <row r="2558" spans="1:5" ht="15" customHeight="1" outlineLevel="2" x14ac:dyDescent="0.25">
      <c r="A2558" s="3" t="str">
        <f>HYPERLINK("http://mystore1.ru/price_items/search?utf8=%E2%9C%93&amp;oem=3578AGSHMVW3P","3578AGSHMVW3P")</f>
        <v>3578AGSHMVW3P</v>
      </c>
      <c r="B2558" s="1" t="s">
        <v>4949</v>
      </c>
      <c r="C2558" s="9" t="s">
        <v>601</v>
      </c>
      <c r="D2558" s="14" t="s">
        <v>4950</v>
      </c>
      <c r="E2558" s="9" t="s">
        <v>8</v>
      </c>
    </row>
    <row r="2559" spans="1:5" ht="15" customHeight="1" outlineLevel="2" x14ac:dyDescent="0.25">
      <c r="A2559" s="3" t="str">
        <f>HYPERLINK("http://mystore1.ru/price_items/search?utf8=%E2%9C%93&amp;oem=3578AGSHVW1B","3578AGSHVW1B")</f>
        <v>3578AGSHVW1B</v>
      </c>
      <c r="B2559" s="1" t="s">
        <v>4951</v>
      </c>
      <c r="C2559" s="9" t="s">
        <v>601</v>
      </c>
      <c r="D2559" s="14" t="s">
        <v>4952</v>
      </c>
      <c r="E2559" s="9" t="s">
        <v>8</v>
      </c>
    </row>
    <row r="2560" spans="1:5" ht="15" customHeight="1" outlineLevel="2" x14ac:dyDescent="0.25">
      <c r="A2560" s="3" t="str">
        <f>HYPERLINK("http://mystore1.ru/price_items/search?utf8=%E2%9C%93&amp;oem=3578AGSMVW1P","3578AGSMVW1P")</f>
        <v>3578AGSMVW1P</v>
      </c>
      <c r="B2560" s="1" t="s">
        <v>4953</v>
      </c>
      <c r="C2560" s="9" t="s">
        <v>601</v>
      </c>
      <c r="D2560" s="14" t="s">
        <v>4954</v>
      </c>
      <c r="E2560" s="9" t="s">
        <v>8</v>
      </c>
    </row>
    <row r="2561" spans="1:5" ht="15" customHeight="1" outlineLevel="2" x14ac:dyDescent="0.25">
      <c r="A2561" s="3" t="str">
        <f>HYPERLINK("http://mystore1.ru/price_items/search?utf8=%E2%9C%93&amp;oem=3578AGSVW","3578AGSVW")</f>
        <v>3578AGSVW</v>
      </c>
      <c r="B2561" s="1" t="s">
        <v>4955</v>
      </c>
      <c r="C2561" s="9" t="s">
        <v>601</v>
      </c>
      <c r="D2561" s="14" t="s">
        <v>4956</v>
      </c>
      <c r="E2561" s="9" t="s">
        <v>8</v>
      </c>
    </row>
    <row r="2562" spans="1:5" ht="15" customHeight="1" outlineLevel="2" x14ac:dyDescent="0.25">
      <c r="A2562" s="3" t="str">
        <f>HYPERLINK("http://mystore1.ru/price_items/search?utf8=%E2%9C%93&amp;oem=3578AGAHMVW3P","3578AGAHMVW3P")</f>
        <v>3578AGAHMVW3P</v>
      </c>
      <c r="B2562" s="1" t="s">
        <v>4957</v>
      </c>
      <c r="C2562" s="9" t="s">
        <v>601</v>
      </c>
      <c r="D2562" s="14" t="s">
        <v>4958</v>
      </c>
      <c r="E2562" s="9" t="s">
        <v>8</v>
      </c>
    </row>
    <row r="2563" spans="1:5" ht="15" customHeight="1" outlineLevel="2" x14ac:dyDescent="0.25">
      <c r="A2563" s="3" t="str">
        <f>HYPERLINK("http://mystore1.ru/price_items/search?utf8=%E2%9C%93&amp;oem=3578AGAHVW1B","3578AGAHVW1B")</f>
        <v>3578AGAHVW1B</v>
      </c>
      <c r="B2563" s="1" t="s">
        <v>4959</v>
      </c>
      <c r="C2563" s="9" t="s">
        <v>601</v>
      </c>
      <c r="D2563" s="14" t="s">
        <v>4960</v>
      </c>
      <c r="E2563" s="9" t="s">
        <v>8</v>
      </c>
    </row>
    <row r="2564" spans="1:5" ht="15" customHeight="1" outlineLevel="2" x14ac:dyDescent="0.25">
      <c r="A2564" s="3" t="str">
        <f>HYPERLINK("http://mystore1.ru/price_items/search?utf8=%E2%9C%93&amp;oem=3578AGAMVW1P","3578AGAMVW1P")</f>
        <v>3578AGAMVW1P</v>
      </c>
      <c r="B2564" s="1" t="s">
        <v>4961</v>
      </c>
      <c r="C2564" s="9" t="s">
        <v>601</v>
      </c>
      <c r="D2564" s="14" t="s">
        <v>4962</v>
      </c>
      <c r="E2564" s="9" t="s">
        <v>8</v>
      </c>
    </row>
    <row r="2565" spans="1:5" ht="15" customHeight="1" outlineLevel="2" x14ac:dyDescent="0.25">
      <c r="A2565" s="3" t="str">
        <f>HYPERLINK("http://mystore1.ru/price_items/search?utf8=%E2%9C%93&amp;oem=3578AGAVW","3578AGAVW")</f>
        <v>3578AGAVW</v>
      </c>
      <c r="B2565" s="1" t="s">
        <v>4963</v>
      </c>
      <c r="C2565" s="9" t="s">
        <v>601</v>
      </c>
      <c r="D2565" s="14" t="s">
        <v>4964</v>
      </c>
      <c r="E2565" s="9" t="s">
        <v>8</v>
      </c>
    </row>
    <row r="2566" spans="1:5" ht="15" customHeight="1" outlineLevel="2" x14ac:dyDescent="0.25">
      <c r="A2566" s="3" t="str">
        <f>HYPERLINK("http://mystore1.ru/price_items/search?utf8=%E2%9C%93&amp;oem=3578LGSH5FD","3578LGSH5FD")</f>
        <v>3578LGSH5FD</v>
      </c>
      <c r="B2566" s="1" t="s">
        <v>4965</v>
      </c>
      <c r="C2566" s="9" t="s">
        <v>601</v>
      </c>
      <c r="D2566" s="14" t="s">
        <v>4966</v>
      </c>
      <c r="E2566" s="9" t="s">
        <v>11</v>
      </c>
    </row>
    <row r="2567" spans="1:5" ht="15" customHeight="1" outlineLevel="2" x14ac:dyDescent="0.25">
      <c r="A2567" s="3" t="str">
        <f>HYPERLINK("http://mystore1.ru/price_items/search?utf8=%E2%9C%93&amp;oem=3578RGSH5FD","3578RGSH5FD")</f>
        <v>3578RGSH5FD</v>
      </c>
      <c r="B2567" s="1" t="s">
        <v>4967</v>
      </c>
      <c r="C2567" s="9" t="s">
        <v>601</v>
      </c>
      <c r="D2567" s="14" t="s">
        <v>4968</v>
      </c>
      <c r="E2567" s="9" t="s">
        <v>11</v>
      </c>
    </row>
    <row r="2568" spans="1:5" outlineLevel="1" x14ac:dyDescent="0.25">
      <c r="A2568" s="2"/>
      <c r="B2568" s="6" t="s">
        <v>4969</v>
      </c>
      <c r="C2568" s="8"/>
      <c r="D2568" s="8"/>
      <c r="E2568" s="8"/>
    </row>
    <row r="2569" spans="1:5" ht="15" customHeight="1" outlineLevel="2" x14ac:dyDescent="0.25">
      <c r="A2569" s="3" t="str">
        <f>HYPERLINK("http://mystore1.ru/price_items/search?utf8=%E2%9C%93&amp;oem=3565AGSGYVW","3565AGSGYVW")</f>
        <v>3565AGSGYVW</v>
      </c>
      <c r="B2569" s="1" t="s">
        <v>4970</v>
      </c>
      <c r="C2569" s="9" t="s">
        <v>1201</v>
      </c>
      <c r="D2569" s="14" t="s">
        <v>4971</v>
      </c>
      <c r="E2569" s="9" t="s">
        <v>8</v>
      </c>
    </row>
    <row r="2570" spans="1:5" ht="15" customHeight="1" outlineLevel="2" x14ac:dyDescent="0.25">
      <c r="A2570" s="3" t="str">
        <f>HYPERLINK("http://mystore1.ru/price_items/search?utf8=%E2%9C%93&amp;oem=3565AGSHMVW1P","3565AGSHMVW1P")</f>
        <v>3565AGSHMVW1P</v>
      </c>
      <c r="B2570" s="1" t="s">
        <v>4972</v>
      </c>
      <c r="C2570" s="9" t="s">
        <v>1201</v>
      </c>
      <c r="D2570" s="14" t="s">
        <v>4973</v>
      </c>
      <c r="E2570" s="9" t="s">
        <v>8</v>
      </c>
    </row>
    <row r="2571" spans="1:5" ht="15" customHeight="1" outlineLevel="2" x14ac:dyDescent="0.25">
      <c r="A2571" s="3" t="str">
        <f>HYPERLINK("http://mystore1.ru/price_items/search?utf8=%E2%9C%93&amp;oem=3565AGSHMVW2P","3565AGSHMVW2P")</f>
        <v>3565AGSHMVW2P</v>
      </c>
      <c r="B2571" s="1" t="s">
        <v>4974</v>
      </c>
      <c r="C2571" s="9" t="s">
        <v>1629</v>
      </c>
      <c r="D2571" s="14" t="s">
        <v>4975</v>
      </c>
      <c r="E2571" s="9" t="s">
        <v>8</v>
      </c>
    </row>
    <row r="2572" spans="1:5" ht="15" customHeight="1" outlineLevel="2" x14ac:dyDescent="0.25">
      <c r="A2572" s="3" t="str">
        <f>HYPERLINK("http://mystore1.ru/price_items/search?utf8=%E2%9C%93&amp;oem=3565AGSHVW","3565AGSHVW")</f>
        <v>3565AGSHVW</v>
      </c>
      <c r="B2572" s="1" t="s">
        <v>4976</v>
      </c>
      <c r="C2572" s="9" t="s">
        <v>1201</v>
      </c>
      <c r="D2572" s="14" t="s">
        <v>4977</v>
      </c>
      <c r="E2572" s="9" t="s">
        <v>8</v>
      </c>
    </row>
    <row r="2573" spans="1:5" ht="15" customHeight="1" outlineLevel="2" x14ac:dyDescent="0.25">
      <c r="A2573" s="3" t="str">
        <f>HYPERLINK("http://mystore1.ru/price_items/search?utf8=%E2%9C%93&amp;oem=3565AGSHVW1B","3565AGSHVW1B")</f>
        <v>3565AGSHVW1B</v>
      </c>
      <c r="B2573" s="1" t="s">
        <v>4978</v>
      </c>
      <c r="C2573" s="9" t="s">
        <v>1629</v>
      </c>
      <c r="D2573" s="14" t="s">
        <v>4979</v>
      </c>
      <c r="E2573" s="9" t="s">
        <v>8</v>
      </c>
    </row>
    <row r="2574" spans="1:5" ht="15" customHeight="1" outlineLevel="2" x14ac:dyDescent="0.25">
      <c r="A2574" s="3" t="str">
        <f>HYPERLINK("http://mystore1.ru/price_items/search?utf8=%E2%9C%93&amp;oem=3565AGSMVW1P","3565AGSMVW1P")</f>
        <v>3565AGSMVW1P</v>
      </c>
      <c r="B2574" s="1" t="s">
        <v>4980</v>
      </c>
      <c r="C2574" s="9" t="s">
        <v>1201</v>
      </c>
      <c r="D2574" s="14" t="s">
        <v>4981</v>
      </c>
      <c r="E2574" s="9" t="s">
        <v>8</v>
      </c>
    </row>
    <row r="2575" spans="1:5" ht="15" customHeight="1" outlineLevel="2" x14ac:dyDescent="0.25">
      <c r="A2575" s="3" t="str">
        <f>HYPERLINK("http://mystore1.ru/price_items/search?utf8=%E2%9C%93&amp;oem=3565AGSMVW2P","3565AGSMVW2P")</f>
        <v>3565AGSMVW2P</v>
      </c>
      <c r="B2575" s="1" t="s">
        <v>4982</v>
      </c>
      <c r="C2575" s="9" t="s">
        <v>1629</v>
      </c>
      <c r="D2575" s="14" t="s">
        <v>4983</v>
      </c>
      <c r="E2575" s="9" t="s">
        <v>8</v>
      </c>
    </row>
    <row r="2576" spans="1:5" ht="15" customHeight="1" outlineLevel="2" x14ac:dyDescent="0.25">
      <c r="A2576" s="3" t="str">
        <f>HYPERLINK("http://mystore1.ru/price_items/search?utf8=%E2%9C%93&amp;oem=3565AGSVW","3565AGSVW")</f>
        <v>3565AGSVW</v>
      </c>
      <c r="B2576" s="1" t="s">
        <v>4984</v>
      </c>
      <c r="C2576" s="9" t="s">
        <v>1201</v>
      </c>
      <c r="D2576" s="14" t="s">
        <v>4985</v>
      </c>
      <c r="E2576" s="9" t="s">
        <v>8</v>
      </c>
    </row>
    <row r="2577" spans="1:5" ht="15" customHeight="1" outlineLevel="2" x14ac:dyDescent="0.25">
      <c r="A2577" s="3" t="str">
        <f>HYPERLINK("http://mystore1.ru/price_items/search?utf8=%E2%9C%93&amp;oem=3565AGSVW1B","3565AGSVW1B")</f>
        <v>3565AGSVW1B</v>
      </c>
      <c r="B2577" s="1" t="s">
        <v>4986</v>
      </c>
      <c r="C2577" s="9" t="s">
        <v>1629</v>
      </c>
      <c r="D2577" s="14" t="s">
        <v>4987</v>
      </c>
      <c r="E2577" s="9" t="s">
        <v>8</v>
      </c>
    </row>
    <row r="2578" spans="1:5" ht="15" customHeight="1" outlineLevel="2" x14ac:dyDescent="0.25">
      <c r="A2578" s="3" t="str">
        <f>HYPERLINK("http://mystore1.ru/price_items/search?utf8=%E2%9C%93&amp;oem=3565AGSBLVW","3565AGSBLVW")</f>
        <v>3565AGSBLVW</v>
      </c>
      <c r="B2578" s="1" t="s">
        <v>4988</v>
      </c>
      <c r="C2578" s="9" t="s">
        <v>1201</v>
      </c>
      <c r="D2578" s="14" t="s">
        <v>4989</v>
      </c>
      <c r="E2578" s="9" t="s">
        <v>8</v>
      </c>
    </row>
    <row r="2579" spans="1:5" ht="15" customHeight="1" outlineLevel="2" x14ac:dyDescent="0.25">
      <c r="A2579" s="3" t="str">
        <f>HYPERLINK("http://mystore1.ru/price_items/search?utf8=%E2%9C%93&amp;oem=3565ASMV","3565ASMV")</f>
        <v>3565ASMV</v>
      </c>
      <c r="B2579" s="1" t="s">
        <v>4990</v>
      </c>
      <c r="C2579" s="9" t="s">
        <v>25</v>
      </c>
      <c r="D2579" s="14" t="s">
        <v>4991</v>
      </c>
      <c r="E2579" s="9" t="s">
        <v>27</v>
      </c>
    </row>
    <row r="2580" spans="1:5" ht="15" customHeight="1" outlineLevel="2" x14ac:dyDescent="0.25">
      <c r="A2580" s="3" t="str">
        <f>HYPERLINK("http://mystore1.ru/price_items/search?utf8=%E2%9C%93&amp;oem=3565BGDV","3565BGDV")</f>
        <v>3565BGDV</v>
      </c>
      <c r="B2580" s="1" t="s">
        <v>4992</v>
      </c>
      <c r="C2580" s="9" t="s">
        <v>1201</v>
      </c>
      <c r="D2580" s="14" t="s">
        <v>4993</v>
      </c>
      <c r="E2580" s="9" t="s">
        <v>30</v>
      </c>
    </row>
    <row r="2581" spans="1:5" ht="15" customHeight="1" outlineLevel="2" x14ac:dyDescent="0.25">
      <c r="A2581" s="3" t="str">
        <f>HYPERLINK("http://mystore1.ru/price_items/search?utf8=%E2%9C%93&amp;oem=3565BGSV","3565BGSV")</f>
        <v>3565BGSV</v>
      </c>
      <c r="B2581" s="1" t="s">
        <v>4994</v>
      </c>
      <c r="C2581" s="9" t="s">
        <v>1201</v>
      </c>
      <c r="D2581" s="14" t="s">
        <v>4995</v>
      </c>
      <c r="E2581" s="9" t="s">
        <v>30</v>
      </c>
    </row>
    <row r="2582" spans="1:5" ht="15" customHeight="1" outlineLevel="2" x14ac:dyDescent="0.25">
      <c r="A2582" s="3" t="str">
        <f>HYPERLINK("http://mystore1.ru/price_items/search?utf8=%E2%9C%93&amp;oem=3565LGSV5FD","3565LGSV5FD")</f>
        <v>3565LGSV5FD</v>
      </c>
      <c r="B2582" s="1" t="s">
        <v>4996</v>
      </c>
      <c r="C2582" s="9" t="s">
        <v>1201</v>
      </c>
      <c r="D2582" s="14" t="s">
        <v>4997</v>
      </c>
      <c r="E2582" s="9" t="s">
        <v>11</v>
      </c>
    </row>
    <row r="2583" spans="1:5" ht="15" customHeight="1" outlineLevel="2" x14ac:dyDescent="0.25">
      <c r="A2583" s="3" t="str">
        <f>HYPERLINK("http://mystore1.ru/price_items/search?utf8=%E2%9C%93&amp;oem=3565LGSV5FD1M","3565LGSV5FD1M")</f>
        <v>3565LGSV5FD1M</v>
      </c>
      <c r="B2583" s="1" t="s">
        <v>4998</v>
      </c>
      <c r="C2583" s="9" t="s">
        <v>1201</v>
      </c>
      <c r="D2583" s="14" t="s">
        <v>4997</v>
      </c>
      <c r="E2583" s="9" t="s">
        <v>11</v>
      </c>
    </row>
    <row r="2584" spans="1:5" ht="15" customHeight="1" outlineLevel="2" x14ac:dyDescent="0.25">
      <c r="A2584" s="3" t="str">
        <f>HYPERLINK("http://mystore1.ru/price_items/search?utf8=%E2%9C%93&amp;oem=3565LGSV5FQZ","3565LGSV5FQZ")</f>
        <v>3565LGSV5FQZ</v>
      </c>
      <c r="B2584" s="1" t="s">
        <v>4999</v>
      </c>
      <c r="C2584" s="9" t="s">
        <v>1201</v>
      </c>
      <c r="D2584" s="14" t="s">
        <v>5000</v>
      </c>
      <c r="E2584" s="9" t="s">
        <v>11</v>
      </c>
    </row>
    <row r="2585" spans="1:5" ht="15" customHeight="1" outlineLevel="2" x14ac:dyDescent="0.25">
      <c r="A2585" s="3" t="str">
        <f>HYPERLINK("http://mystore1.ru/price_items/search?utf8=%E2%9C%93&amp;oem=3565LGSV5RD","3565LGSV5RD")</f>
        <v>3565LGSV5RD</v>
      </c>
      <c r="B2585" s="1" t="s">
        <v>5001</v>
      </c>
      <c r="C2585" s="9" t="s">
        <v>1201</v>
      </c>
      <c r="D2585" s="14" t="s">
        <v>5002</v>
      </c>
      <c r="E2585" s="9" t="s">
        <v>11</v>
      </c>
    </row>
    <row r="2586" spans="1:5" ht="15" customHeight="1" outlineLevel="2" x14ac:dyDescent="0.25">
      <c r="A2586" s="3" t="str">
        <f>HYPERLINK("http://mystore1.ru/price_items/search?utf8=%E2%9C%93&amp;oem=3565LGSV5RQ","3565LGSV5RQ")</f>
        <v>3565LGSV5RQ</v>
      </c>
      <c r="B2586" s="1" t="s">
        <v>5003</v>
      </c>
      <c r="C2586" s="9" t="s">
        <v>1201</v>
      </c>
      <c r="D2586" s="14" t="s">
        <v>5004</v>
      </c>
      <c r="E2586" s="9" t="s">
        <v>11</v>
      </c>
    </row>
    <row r="2587" spans="1:5" ht="15" customHeight="1" outlineLevel="2" x14ac:dyDescent="0.25">
      <c r="A2587" s="3" t="str">
        <f>HYPERLINK("http://mystore1.ru/price_items/search?utf8=%E2%9C%93&amp;oem=3565RGDV5RD","3565RGDV5RD")</f>
        <v>3565RGDV5RD</v>
      </c>
      <c r="B2587" s="1" t="s">
        <v>5005</v>
      </c>
      <c r="C2587" s="9" t="s">
        <v>1201</v>
      </c>
      <c r="D2587" s="14" t="s">
        <v>5006</v>
      </c>
      <c r="E2587" s="9" t="s">
        <v>11</v>
      </c>
    </row>
    <row r="2588" spans="1:5" ht="15" customHeight="1" outlineLevel="2" x14ac:dyDescent="0.25">
      <c r="A2588" s="3" t="str">
        <f>HYPERLINK("http://mystore1.ru/price_items/search?utf8=%E2%9C%93&amp;oem=3565RGSV5FD","3565RGSV5FD")</f>
        <v>3565RGSV5FD</v>
      </c>
      <c r="B2588" s="1" t="s">
        <v>5007</v>
      </c>
      <c r="C2588" s="9" t="s">
        <v>1201</v>
      </c>
      <c r="D2588" s="14" t="s">
        <v>5008</v>
      </c>
      <c r="E2588" s="9" t="s">
        <v>11</v>
      </c>
    </row>
    <row r="2589" spans="1:5" ht="15" customHeight="1" outlineLevel="2" x14ac:dyDescent="0.25">
      <c r="A2589" s="3" t="str">
        <f>HYPERLINK("http://mystore1.ru/price_items/search?utf8=%E2%9C%93&amp;oem=3565RGSV5FD1M","3565RGSV5FD1M")</f>
        <v>3565RGSV5FD1M</v>
      </c>
      <c r="B2589" s="1" t="s">
        <v>5009</v>
      </c>
      <c r="C2589" s="9" t="s">
        <v>1201</v>
      </c>
      <c r="D2589" s="14" t="s">
        <v>5008</v>
      </c>
      <c r="E2589" s="9" t="s">
        <v>11</v>
      </c>
    </row>
    <row r="2590" spans="1:5" ht="15" customHeight="1" outlineLevel="2" x14ac:dyDescent="0.25">
      <c r="A2590" s="3" t="str">
        <f>HYPERLINK("http://mystore1.ru/price_items/search?utf8=%E2%9C%93&amp;oem=3565RGSV5FQZ","3565RGSV5FQZ")</f>
        <v>3565RGSV5FQZ</v>
      </c>
      <c r="B2590" s="1" t="s">
        <v>5010</v>
      </c>
      <c r="C2590" s="9" t="s">
        <v>1201</v>
      </c>
      <c r="D2590" s="14" t="s">
        <v>5011</v>
      </c>
      <c r="E2590" s="9" t="s">
        <v>11</v>
      </c>
    </row>
    <row r="2591" spans="1:5" ht="15" customHeight="1" outlineLevel="2" x14ac:dyDescent="0.25">
      <c r="A2591" s="3" t="str">
        <f>HYPERLINK("http://mystore1.ru/price_items/search?utf8=%E2%9C%93&amp;oem=3565RGSV5RD","3565RGSV5RD")</f>
        <v>3565RGSV5RD</v>
      </c>
      <c r="B2591" s="1" t="s">
        <v>5012</v>
      </c>
      <c r="C2591" s="9" t="s">
        <v>1201</v>
      </c>
      <c r="D2591" s="14" t="s">
        <v>5013</v>
      </c>
      <c r="E2591" s="9" t="s">
        <v>11</v>
      </c>
    </row>
    <row r="2592" spans="1:5" ht="15" customHeight="1" outlineLevel="2" x14ac:dyDescent="0.25">
      <c r="A2592" s="3" t="str">
        <f>HYPERLINK("http://mystore1.ru/price_items/search?utf8=%E2%9C%93&amp;oem=3565RGSV5RQ","3565RGSV5RQ")</f>
        <v>3565RGSV5RQ</v>
      </c>
      <c r="B2592" s="1" t="s">
        <v>5014</v>
      </c>
      <c r="C2592" s="9" t="s">
        <v>1201</v>
      </c>
      <c r="D2592" s="14" t="s">
        <v>5015</v>
      </c>
      <c r="E2592" s="9" t="s">
        <v>11</v>
      </c>
    </row>
    <row r="2593" spans="1:5" outlineLevel="1" x14ac:dyDescent="0.25">
      <c r="A2593" s="2"/>
      <c r="B2593" s="6" t="s">
        <v>5016</v>
      </c>
      <c r="C2593" s="8"/>
      <c r="D2593" s="8"/>
      <c r="E2593" s="8"/>
    </row>
    <row r="2594" spans="1:5" ht="15" customHeight="1" outlineLevel="2" x14ac:dyDescent="0.25">
      <c r="A2594" s="3" t="str">
        <f>HYPERLINK("http://mystore1.ru/price_items/search?utf8=%E2%9C%93&amp;oem=3563AGSBLVW","3563AGSBLVW")</f>
        <v>3563AGSBLVW</v>
      </c>
      <c r="B2594" s="1" t="s">
        <v>5017</v>
      </c>
      <c r="C2594" s="9" t="s">
        <v>5018</v>
      </c>
      <c r="D2594" s="14" t="s">
        <v>5019</v>
      </c>
      <c r="E2594" s="9" t="s">
        <v>8</v>
      </c>
    </row>
    <row r="2595" spans="1:5" ht="15" customHeight="1" outlineLevel="2" x14ac:dyDescent="0.25">
      <c r="A2595" s="3" t="str">
        <f>HYPERLINK("http://mystore1.ru/price_items/search?utf8=%E2%9C%93&amp;oem=3563AGSHMVW1B","3563AGSHMVW1B")</f>
        <v>3563AGSHMVW1B</v>
      </c>
      <c r="B2595" s="1" t="s">
        <v>5020</v>
      </c>
      <c r="C2595" s="9" t="s">
        <v>1888</v>
      </c>
      <c r="D2595" s="14" t="s">
        <v>5021</v>
      </c>
      <c r="E2595" s="9" t="s">
        <v>8</v>
      </c>
    </row>
    <row r="2596" spans="1:5" ht="15" customHeight="1" outlineLevel="2" x14ac:dyDescent="0.25">
      <c r="A2596" s="3" t="str">
        <f>HYPERLINK("http://mystore1.ru/price_items/search?utf8=%E2%9C%93&amp;oem=3563AGSHVW","3563AGSHVW")</f>
        <v>3563AGSHVW</v>
      </c>
      <c r="B2596" s="1" t="s">
        <v>5022</v>
      </c>
      <c r="C2596" s="9" t="s">
        <v>5018</v>
      </c>
      <c r="D2596" s="14" t="s">
        <v>5023</v>
      </c>
      <c r="E2596" s="9" t="s">
        <v>8</v>
      </c>
    </row>
    <row r="2597" spans="1:5" ht="15" customHeight="1" outlineLevel="2" x14ac:dyDescent="0.25">
      <c r="A2597" s="3" t="str">
        <f>HYPERLINK("http://mystore1.ru/price_items/search?utf8=%E2%9C%93&amp;oem=3563AGSMVW1B","3563AGSMVW1B")</f>
        <v>3563AGSMVW1B</v>
      </c>
      <c r="B2597" s="1" t="s">
        <v>5024</v>
      </c>
      <c r="C2597" s="9" t="s">
        <v>1888</v>
      </c>
      <c r="D2597" s="14" t="s">
        <v>5025</v>
      </c>
      <c r="E2597" s="9" t="s">
        <v>8</v>
      </c>
    </row>
    <row r="2598" spans="1:5" ht="15" customHeight="1" outlineLevel="2" x14ac:dyDescent="0.25">
      <c r="A2598" s="3" t="str">
        <f>HYPERLINK("http://mystore1.ru/price_items/search?utf8=%E2%9C%93&amp;oem=3563AGSVW","3563AGSVW")</f>
        <v>3563AGSVW</v>
      </c>
      <c r="B2598" s="1" t="s">
        <v>5026</v>
      </c>
      <c r="C2598" s="9" t="s">
        <v>5018</v>
      </c>
      <c r="D2598" s="14" t="s">
        <v>5027</v>
      </c>
      <c r="E2598" s="9" t="s">
        <v>8</v>
      </c>
    </row>
    <row r="2599" spans="1:5" ht="15" customHeight="1" outlineLevel="2" x14ac:dyDescent="0.25">
      <c r="A2599" s="3" t="str">
        <f>HYPERLINK("http://mystore1.ru/price_items/search?utf8=%E2%9C%93&amp;oem=3563ASMV","3563ASMV")</f>
        <v>3563ASMV</v>
      </c>
      <c r="B2599" s="1" t="s">
        <v>5028</v>
      </c>
      <c r="C2599" s="9" t="s">
        <v>25</v>
      </c>
      <c r="D2599" s="14" t="s">
        <v>5029</v>
      </c>
      <c r="E2599" s="9" t="s">
        <v>27</v>
      </c>
    </row>
    <row r="2600" spans="1:5" ht="15" customHeight="1" outlineLevel="2" x14ac:dyDescent="0.25">
      <c r="A2600" s="3" t="str">
        <f>HYPERLINK("http://mystore1.ru/price_items/search?utf8=%E2%9C%93&amp;oem=3563BGSVI","3563BGSVI")</f>
        <v>3563BGSVI</v>
      </c>
      <c r="B2600" s="1" t="s">
        <v>5030</v>
      </c>
      <c r="C2600" s="9" t="s">
        <v>5018</v>
      </c>
      <c r="D2600" s="14" t="s">
        <v>5031</v>
      </c>
      <c r="E2600" s="9" t="s">
        <v>30</v>
      </c>
    </row>
    <row r="2601" spans="1:5" ht="15" customHeight="1" outlineLevel="2" x14ac:dyDescent="0.25">
      <c r="A2601" s="3" t="str">
        <f>HYPERLINK("http://mystore1.ru/price_items/search?utf8=%E2%9C%93&amp;oem=3563LGSV5FD","3563LGSV5FD")</f>
        <v>3563LGSV5FD</v>
      </c>
      <c r="B2601" s="1" t="s">
        <v>5032</v>
      </c>
      <c r="C2601" s="9" t="s">
        <v>5018</v>
      </c>
      <c r="D2601" s="14" t="s">
        <v>5033</v>
      </c>
      <c r="E2601" s="9" t="s">
        <v>11</v>
      </c>
    </row>
    <row r="2602" spans="1:5" ht="15" customHeight="1" outlineLevel="2" x14ac:dyDescent="0.25">
      <c r="A2602" s="3" t="str">
        <f>HYPERLINK("http://mystore1.ru/price_items/search?utf8=%E2%9C%93&amp;oem=3563LGSV5RD","3563LGSV5RD")</f>
        <v>3563LGSV5RD</v>
      </c>
      <c r="B2602" s="1" t="s">
        <v>5034</v>
      </c>
      <c r="C2602" s="9" t="s">
        <v>5018</v>
      </c>
      <c r="D2602" s="14" t="s">
        <v>5035</v>
      </c>
      <c r="E2602" s="9" t="s">
        <v>11</v>
      </c>
    </row>
    <row r="2603" spans="1:5" ht="15" customHeight="1" outlineLevel="2" x14ac:dyDescent="0.25">
      <c r="A2603" s="3" t="str">
        <f>HYPERLINK("http://mystore1.ru/price_items/search?utf8=%E2%9C%93&amp;oem=3563LGSV5RV","3563LGSV5RV")</f>
        <v>3563LGSV5RV</v>
      </c>
      <c r="B2603" s="1" t="s">
        <v>5036</v>
      </c>
      <c r="C2603" s="9" t="s">
        <v>4782</v>
      </c>
      <c r="D2603" s="14" t="s">
        <v>5037</v>
      </c>
      <c r="E2603" s="9" t="s">
        <v>11</v>
      </c>
    </row>
    <row r="2604" spans="1:5" ht="15" customHeight="1" outlineLevel="2" x14ac:dyDescent="0.25">
      <c r="A2604" s="3" t="str">
        <f>HYPERLINK("http://mystore1.ru/price_items/search?utf8=%E2%9C%93&amp;oem=3563RGSV5FD","3563RGSV5FD")</f>
        <v>3563RGSV5FD</v>
      </c>
      <c r="B2604" s="1" t="s">
        <v>5038</v>
      </c>
      <c r="C2604" s="9" t="s">
        <v>5018</v>
      </c>
      <c r="D2604" s="14" t="s">
        <v>5039</v>
      </c>
      <c r="E2604" s="9" t="s">
        <v>11</v>
      </c>
    </row>
    <row r="2605" spans="1:5" ht="15" customHeight="1" outlineLevel="2" x14ac:dyDescent="0.25">
      <c r="A2605" s="3" t="str">
        <f>HYPERLINK("http://mystore1.ru/price_items/search?utf8=%E2%9C%93&amp;oem=3563RGSV5RD","3563RGSV5RD")</f>
        <v>3563RGSV5RD</v>
      </c>
      <c r="B2605" s="1" t="s">
        <v>5040</v>
      </c>
      <c r="C2605" s="9" t="s">
        <v>5018</v>
      </c>
      <c r="D2605" s="14" t="s">
        <v>5041</v>
      </c>
      <c r="E2605" s="9" t="s">
        <v>11</v>
      </c>
    </row>
    <row r="2606" spans="1:5" ht="15" customHeight="1" outlineLevel="2" x14ac:dyDescent="0.25">
      <c r="A2606" s="3" t="str">
        <f>HYPERLINK("http://mystore1.ru/price_items/search?utf8=%E2%9C%93&amp;oem=3563RGSV5RV","3563RGSV5RV")</f>
        <v>3563RGSV5RV</v>
      </c>
      <c r="B2606" s="1" t="s">
        <v>5042</v>
      </c>
      <c r="C2606" s="9" t="s">
        <v>4782</v>
      </c>
      <c r="D2606" s="14" t="s">
        <v>5043</v>
      </c>
      <c r="E2606" s="9" t="s">
        <v>11</v>
      </c>
    </row>
    <row r="2607" spans="1:5" outlineLevel="1" x14ac:dyDescent="0.25">
      <c r="A2607" s="2"/>
      <c r="B2607" s="6" t="s">
        <v>5044</v>
      </c>
      <c r="C2607" s="8"/>
      <c r="D2607" s="8"/>
      <c r="E2607" s="8"/>
    </row>
    <row r="2608" spans="1:5" ht="15" customHeight="1" outlineLevel="2" x14ac:dyDescent="0.25">
      <c r="A2608" s="3" t="str">
        <f>HYPERLINK("http://mystore1.ru/price_items/search?utf8=%E2%9C%93&amp;oem=3550AGN","3550AGN")</f>
        <v>3550AGN</v>
      </c>
      <c r="B2608" s="1" t="s">
        <v>5045</v>
      </c>
      <c r="C2608" s="9" t="s">
        <v>5046</v>
      </c>
      <c r="D2608" s="14" t="s">
        <v>5047</v>
      </c>
      <c r="E2608" s="9" t="s">
        <v>8</v>
      </c>
    </row>
    <row r="2609" spans="1:5" ht="15" customHeight="1" outlineLevel="2" x14ac:dyDescent="0.25">
      <c r="A2609" s="3" t="str">
        <f>HYPERLINK("http://mystore1.ru/price_items/search?utf8=%E2%9C%93&amp;oem=3550AGNBL","3550AGNBL")</f>
        <v>3550AGNBL</v>
      </c>
      <c r="B2609" s="1" t="s">
        <v>5048</v>
      </c>
      <c r="C2609" s="9" t="s">
        <v>5046</v>
      </c>
      <c r="D2609" s="14" t="s">
        <v>5049</v>
      </c>
      <c r="E2609" s="9" t="s">
        <v>8</v>
      </c>
    </row>
    <row r="2610" spans="1:5" ht="15" customHeight="1" outlineLevel="2" x14ac:dyDescent="0.25">
      <c r="A2610" s="3" t="str">
        <f>HYPERLINK("http://mystore1.ru/price_items/search?utf8=%E2%9C%93&amp;oem=3550AGNBLHV2P","3550AGNBLHV2P")</f>
        <v>3550AGNBLHV2P</v>
      </c>
      <c r="B2610" s="1" t="s">
        <v>5050</v>
      </c>
      <c r="C2610" s="9" t="s">
        <v>1499</v>
      </c>
      <c r="D2610" s="14" t="s">
        <v>5051</v>
      </c>
      <c r="E2610" s="9" t="s">
        <v>8</v>
      </c>
    </row>
    <row r="2611" spans="1:5" ht="15" customHeight="1" outlineLevel="2" x14ac:dyDescent="0.25">
      <c r="A2611" s="3" t="str">
        <f>HYPERLINK("http://mystore1.ru/price_items/search?utf8=%E2%9C%93&amp;oem=3550AGNBLV2P","3550AGNBLV2P")</f>
        <v>3550AGNBLV2P</v>
      </c>
      <c r="B2611" s="1" t="s">
        <v>5052</v>
      </c>
      <c r="C2611" s="9" t="s">
        <v>1499</v>
      </c>
      <c r="D2611" s="14" t="s">
        <v>5053</v>
      </c>
      <c r="E2611" s="9" t="s">
        <v>8</v>
      </c>
    </row>
    <row r="2612" spans="1:5" ht="15" customHeight="1" outlineLevel="2" x14ac:dyDescent="0.25">
      <c r="A2612" s="3" t="str">
        <f>HYPERLINK("http://mystore1.ru/price_items/search?utf8=%E2%9C%93&amp;oem=3550AGNGN","3550AGNGN")</f>
        <v>3550AGNGN</v>
      </c>
      <c r="B2612" s="1" t="s">
        <v>5054</v>
      </c>
      <c r="C2612" s="9" t="s">
        <v>5046</v>
      </c>
      <c r="D2612" s="14" t="s">
        <v>5055</v>
      </c>
      <c r="E2612" s="9" t="s">
        <v>8</v>
      </c>
    </row>
    <row r="2613" spans="1:5" ht="15" customHeight="1" outlineLevel="2" x14ac:dyDescent="0.25">
      <c r="A2613" s="3" t="str">
        <f>HYPERLINK("http://mystore1.ru/price_items/search?utf8=%E2%9C%93&amp;oem=3550AGNGNV2P","3550AGNGNV2P")</f>
        <v>3550AGNGNV2P</v>
      </c>
      <c r="B2613" s="1" t="s">
        <v>5056</v>
      </c>
      <c r="C2613" s="9" t="s">
        <v>1499</v>
      </c>
      <c r="D2613" s="14" t="s">
        <v>5057</v>
      </c>
      <c r="E2613" s="9" t="s">
        <v>8</v>
      </c>
    </row>
    <row r="2614" spans="1:5" ht="15" customHeight="1" outlineLevel="2" x14ac:dyDescent="0.25">
      <c r="A2614" s="3" t="str">
        <f>HYPERLINK("http://mystore1.ru/price_items/search?utf8=%E2%9C%93&amp;oem=3550AGNHV1P","3550AGNHV1P")</f>
        <v>3550AGNHV1P</v>
      </c>
      <c r="B2614" s="1" t="s">
        <v>5058</v>
      </c>
      <c r="C2614" s="9" t="s">
        <v>5046</v>
      </c>
      <c r="D2614" s="14" t="s">
        <v>5059</v>
      </c>
      <c r="E2614" s="9" t="s">
        <v>8</v>
      </c>
    </row>
    <row r="2615" spans="1:5" ht="15" customHeight="1" outlineLevel="2" x14ac:dyDescent="0.25">
      <c r="A2615" s="3" t="str">
        <f>HYPERLINK("http://mystore1.ru/price_items/search?utf8=%E2%9C%93&amp;oem=3550AGNHV2P","3550AGNHV2P")</f>
        <v>3550AGNHV2P</v>
      </c>
      <c r="B2615" s="1" t="s">
        <v>5060</v>
      </c>
      <c r="C2615" s="9" t="s">
        <v>1499</v>
      </c>
      <c r="D2615" s="14" t="s">
        <v>5061</v>
      </c>
      <c r="E2615" s="9" t="s">
        <v>8</v>
      </c>
    </row>
    <row r="2616" spans="1:5" ht="15" customHeight="1" outlineLevel="2" x14ac:dyDescent="0.25">
      <c r="A2616" s="3" t="str">
        <f>HYPERLINK("http://mystore1.ru/price_items/search?utf8=%E2%9C%93&amp;oem=3550AGNV2P","3550AGNV2P")</f>
        <v>3550AGNV2P</v>
      </c>
      <c r="B2616" s="1" t="s">
        <v>5062</v>
      </c>
      <c r="C2616" s="9" t="s">
        <v>1499</v>
      </c>
      <c r="D2616" s="14" t="s">
        <v>5063</v>
      </c>
      <c r="E2616" s="9" t="s">
        <v>8</v>
      </c>
    </row>
    <row r="2617" spans="1:5" ht="15" customHeight="1" outlineLevel="2" x14ac:dyDescent="0.25">
      <c r="A2617" s="3" t="str">
        <f>HYPERLINK("http://mystore1.ru/price_items/search?utf8=%E2%9C%93&amp;oem=3550AGNVW2P","3550AGNVW2P")</f>
        <v>3550AGNVW2P</v>
      </c>
      <c r="B2617" s="1" t="s">
        <v>5064</v>
      </c>
      <c r="C2617" s="9" t="s">
        <v>1590</v>
      </c>
      <c r="D2617" s="14" t="s">
        <v>5065</v>
      </c>
      <c r="E2617" s="9" t="s">
        <v>8</v>
      </c>
    </row>
    <row r="2618" spans="1:5" ht="15" customHeight="1" outlineLevel="2" x14ac:dyDescent="0.25">
      <c r="A2618" s="3" t="str">
        <f>HYPERLINK("http://mystore1.ru/price_items/search?utf8=%E2%9C%93&amp;oem=3550ASMVT","3550ASMVT")</f>
        <v>3550ASMVT</v>
      </c>
      <c r="B2618" s="1" t="s">
        <v>5066</v>
      </c>
      <c r="C2618" s="9" t="s">
        <v>25</v>
      </c>
      <c r="D2618" s="14" t="s">
        <v>5067</v>
      </c>
      <c r="E2618" s="9" t="s">
        <v>27</v>
      </c>
    </row>
    <row r="2619" spans="1:5" ht="15" customHeight="1" outlineLevel="2" x14ac:dyDescent="0.25">
      <c r="A2619" s="3" t="str">
        <f>HYPERLINK("http://mystore1.ru/price_items/search?utf8=%E2%9C%93&amp;oem=3550BGNV","3550BGNV")</f>
        <v>3550BGNV</v>
      </c>
      <c r="B2619" s="1" t="s">
        <v>5068</v>
      </c>
      <c r="C2619" s="9" t="s">
        <v>5046</v>
      </c>
      <c r="D2619" s="14" t="s">
        <v>5069</v>
      </c>
      <c r="E2619" s="9" t="s">
        <v>30</v>
      </c>
    </row>
    <row r="2620" spans="1:5" ht="15" customHeight="1" outlineLevel="2" x14ac:dyDescent="0.25">
      <c r="A2620" s="3" t="str">
        <f>HYPERLINK("http://mystore1.ru/price_items/search?utf8=%E2%9C%93&amp;oem=3550BGNVB","3550BGNVB")</f>
        <v>3550BGNVB</v>
      </c>
      <c r="B2620" s="1" t="s">
        <v>5070</v>
      </c>
      <c r="C2620" s="9" t="s">
        <v>5046</v>
      </c>
      <c r="D2620" s="14" t="s">
        <v>5071</v>
      </c>
      <c r="E2620" s="9" t="s">
        <v>30</v>
      </c>
    </row>
    <row r="2621" spans="1:5" ht="15" customHeight="1" outlineLevel="2" x14ac:dyDescent="0.25">
      <c r="A2621" s="3" t="str">
        <f>HYPERLINK("http://mystore1.ru/price_items/search?utf8=%E2%9C%93&amp;oem=3550BGSVZ2N","3550BGSVZ2N")</f>
        <v>3550BGSVZ2N</v>
      </c>
      <c r="B2621" s="1" t="s">
        <v>5072</v>
      </c>
      <c r="C2621" s="9" t="s">
        <v>1499</v>
      </c>
      <c r="D2621" s="14" t="s">
        <v>5073</v>
      </c>
      <c r="E2621" s="9" t="s">
        <v>30</v>
      </c>
    </row>
    <row r="2622" spans="1:5" ht="15" customHeight="1" outlineLevel="2" x14ac:dyDescent="0.25">
      <c r="A2622" s="3" t="str">
        <f>HYPERLINK("http://mystore1.ru/price_items/search?utf8=%E2%9C%93&amp;oem=3550BSMV","3550BSMV")</f>
        <v>3550BSMV</v>
      </c>
      <c r="B2622" s="1" t="s">
        <v>5074</v>
      </c>
      <c r="C2622" s="9" t="s">
        <v>25</v>
      </c>
      <c r="D2622" s="14" t="s">
        <v>5075</v>
      </c>
      <c r="E2622" s="9" t="s">
        <v>27</v>
      </c>
    </row>
    <row r="2623" spans="1:5" ht="15" customHeight="1" outlineLevel="2" x14ac:dyDescent="0.25">
      <c r="A2623" s="3" t="str">
        <f>HYPERLINK("http://mystore1.ru/price_items/search?utf8=%E2%9C%93&amp;oem=3550LGNV5FD","3550LGNV5FD")</f>
        <v>3550LGNV5FD</v>
      </c>
      <c r="B2623" s="1" t="s">
        <v>5076</v>
      </c>
      <c r="C2623" s="9" t="s">
        <v>5046</v>
      </c>
      <c r="D2623" s="14" t="s">
        <v>5077</v>
      </c>
      <c r="E2623" s="9" t="s">
        <v>11</v>
      </c>
    </row>
    <row r="2624" spans="1:5" ht="15" customHeight="1" outlineLevel="2" x14ac:dyDescent="0.25">
      <c r="A2624" s="3" t="str">
        <f>HYPERLINK("http://mystore1.ru/price_items/search?utf8=%E2%9C%93&amp;oem=3550LGNV5RD","3550LGNV5RD")</f>
        <v>3550LGNV5RD</v>
      </c>
      <c r="B2624" s="1" t="s">
        <v>5078</v>
      </c>
      <c r="C2624" s="9" t="s">
        <v>5046</v>
      </c>
      <c r="D2624" s="14" t="s">
        <v>5079</v>
      </c>
      <c r="E2624" s="9" t="s">
        <v>11</v>
      </c>
    </row>
    <row r="2625" spans="1:5" ht="15" customHeight="1" outlineLevel="2" x14ac:dyDescent="0.25">
      <c r="A2625" s="3" t="str">
        <f>HYPERLINK("http://mystore1.ru/price_items/search?utf8=%E2%9C%93&amp;oem=3550RGNV5FD","3550RGNV5FD")</f>
        <v>3550RGNV5FD</v>
      </c>
      <c r="B2625" s="1" t="s">
        <v>5080</v>
      </c>
      <c r="C2625" s="9" t="s">
        <v>5046</v>
      </c>
      <c r="D2625" s="14" t="s">
        <v>5081</v>
      </c>
      <c r="E2625" s="9" t="s">
        <v>11</v>
      </c>
    </row>
    <row r="2626" spans="1:5" ht="15" customHeight="1" outlineLevel="2" x14ac:dyDescent="0.25">
      <c r="A2626" s="3" t="str">
        <f>HYPERLINK("http://mystore1.ru/price_items/search?utf8=%E2%9C%93&amp;oem=3550RGNV5RD","3550RGNV5RD")</f>
        <v>3550RGNV5RD</v>
      </c>
      <c r="B2626" s="1" t="s">
        <v>5082</v>
      </c>
      <c r="C2626" s="9" t="s">
        <v>5046</v>
      </c>
      <c r="D2626" s="14" t="s">
        <v>5083</v>
      </c>
      <c r="E2626" s="9" t="s">
        <v>11</v>
      </c>
    </row>
    <row r="2627" spans="1:5" outlineLevel="1" x14ac:dyDescent="0.25">
      <c r="A2627" s="2"/>
      <c r="B2627" s="6" t="s">
        <v>5084</v>
      </c>
      <c r="C2627" s="8"/>
      <c r="D2627" s="8"/>
      <c r="E2627" s="8"/>
    </row>
    <row r="2628" spans="1:5" ht="15" customHeight="1" outlineLevel="2" x14ac:dyDescent="0.25">
      <c r="A2628" s="3" t="str">
        <f>HYPERLINK("http://mystore1.ru/price_items/search?utf8=%E2%9C%93&amp;oem=3567AGSHMVW1P","3567AGSHMVW1P")</f>
        <v>3567AGSHMVW1P</v>
      </c>
      <c r="B2628" s="1" t="s">
        <v>5085</v>
      </c>
      <c r="C2628" s="9" t="s">
        <v>687</v>
      </c>
      <c r="D2628" s="14" t="s">
        <v>5086</v>
      </c>
      <c r="E2628" s="9" t="s">
        <v>8</v>
      </c>
    </row>
    <row r="2629" spans="1:5" ht="15" customHeight="1" outlineLevel="2" x14ac:dyDescent="0.25">
      <c r="A2629" s="3" t="str">
        <f>HYPERLINK("http://mystore1.ru/price_items/search?utf8=%E2%9C%93&amp;oem=3567AGSHVW","3567AGSHVW")</f>
        <v>3567AGSHVW</v>
      </c>
      <c r="B2629" s="1" t="s">
        <v>5087</v>
      </c>
      <c r="C2629" s="9" t="s">
        <v>687</v>
      </c>
      <c r="D2629" s="14" t="s">
        <v>5088</v>
      </c>
      <c r="E2629" s="9" t="s">
        <v>8</v>
      </c>
    </row>
    <row r="2630" spans="1:5" ht="15" customHeight="1" outlineLevel="2" x14ac:dyDescent="0.25">
      <c r="A2630" s="3" t="str">
        <f>HYPERLINK("http://mystore1.ru/price_items/search?utf8=%E2%9C%93&amp;oem=3567AGSMVW1P","3567AGSMVW1P")</f>
        <v>3567AGSMVW1P</v>
      </c>
      <c r="B2630" s="1" t="s">
        <v>5089</v>
      </c>
      <c r="C2630" s="9" t="s">
        <v>687</v>
      </c>
      <c r="D2630" s="14" t="s">
        <v>5090</v>
      </c>
      <c r="E2630" s="9" t="s">
        <v>8</v>
      </c>
    </row>
    <row r="2631" spans="1:5" ht="15" customHeight="1" outlineLevel="2" x14ac:dyDescent="0.25">
      <c r="A2631" s="3" t="str">
        <f>HYPERLINK("http://mystore1.ru/price_items/search?utf8=%E2%9C%93&amp;oem=3567AGSVW","3567AGSVW")</f>
        <v>3567AGSVW</v>
      </c>
      <c r="B2631" s="1" t="s">
        <v>5091</v>
      </c>
      <c r="C2631" s="9" t="s">
        <v>687</v>
      </c>
      <c r="D2631" s="14" t="s">
        <v>5092</v>
      </c>
      <c r="E2631" s="9" t="s">
        <v>8</v>
      </c>
    </row>
    <row r="2632" spans="1:5" ht="15" customHeight="1" outlineLevel="2" x14ac:dyDescent="0.25">
      <c r="A2632" s="3" t="str">
        <f>HYPERLINK("http://mystore1.ru/price_items/search?utf8=%E2%9C%93&amp;oem=3567BGSMW","3567BGSMW")</f>
        <v>3567BGSMW</v>
      </c>
      <c r="B2632" s="1" t="s">
        <v>5093</v>
      </c>
      <c r="C2632" s="9" t="s">
        <v>687</v>
      </c>
      <c r="D2632" s="14" t="s">
        <v>5094</v>
      </c>
      <c r="E2632" s="9" t="s">
        <v>30</v>
      </c>
    </row>
    <row r="2633" spans="1:5" ht="15" customHeight="1" outlineLevel="2" x14ac:dyDescent="0.25">
      <c r="A2633" s="3" t="str">
        <f>HYPERLINK("http://mystore1.ru/price_items/search?utf8=%E2%9C%93&amp;oem=3567LGSM5FD1M","3567LGSM5FD1M")</f>
        <v>3567LGSM5FD1M</v>
      </c>
      <c r="B2633" s="1" t="s">
        <v>5095</v>
      </c>
      <c r="C2633" s="9" t="s">
        <v>687</v>
      </c>
      <c r="D2633" s="14" t="s">
        <v>5096</v>
      </c>
      <c r="E2633" s="9" t="s">
        <v>11</v>
      </c>
    </row>
    <row r="2634" spans="1:5" ht="15" customHeight="1" outlineLevel="2" x14ac:dyDescent="0.25">
      <c r="A2634" s="3" t="str">
        <f>HYPERLINK("http://mystore1.ru/price_items/search?utf8=%E2%9C%93&amp;oem=3567LGSM5RD","3567LGSM5RD")</f>
        <v>3567LGSM5RD</v>
      </c>
      <c r="B2634" s="1" t="s">
        <v>5097</v>
      </c>
      <c r="C2634" s="9" t="s">
        <v>687</v>
      </c>
      <c r="D2634" s="14" t="s">
        <v>5098</v>
      </c>
      <c r="E2634" s="9" t="s">
        <v>11</v>
      </c>
    </row>
    <row r="2635" spans="1:5" ht="15" customHeight="1" outlineLevel="2" x14ac:dyDescent="0.25">
      <c r="A2635" s="3" t="str">
        <f>HYPERLINK("http://mystore1.ru/price_items/search?utf8=%E2%9C%93&amp;oem=3567RGSM5RD","3567RGSM5RD")</f>
        <v>3567RGSM5RD</v>
      </c>
      <c r="B2635" s="1" t="s">
        <v>5099</v>
      </c>
      <c r="C2635" s="9" t="s">
        <v>687</v>
      </c>
      <c r="D2635" s="14" t="s">
        <v>5100</v>
      </c>
      <c r="E2635" s="9" t="s">
        <v>11</v>
      </c>
    </row>
    <row r="2636" spans="1:5" outlineLevel="1" x14ac:dyDescent="0.25">
      <c r="A2636" s="2"/>
      <c r="B2636" s="6" t="s">
        <v>5101</v>
      </c>
      <c r="C2636" s="8"/>
      <c r="D2636" s="8"/>
      <c r="E2636" s="8"/>
    </row>
    <row r="2637" spans="1:5" ht="15" customHeight="1" outlineLevel="2" x14ac:dyDescent="0.25">
      <c r="A2637" s="3" t="str">
        <f>HYPERLINK("http://mystore1.ru/price_items/search?utf8=%E2%9C%93&amp;oem=3554AGN1B","3554AGN1B")</f>
        <v>3554AGN1B</v>
      </c>
      <c r="B2637" s="1" t="s">
        <v>5102</v>
      </c>
      <c r="C2637" s="9" t="s">
        <v>2199</v>
      </c>
      <c r="D2637" s="14" t="s">
        <v>5103</v>
      </c>
      <c r="E2637" s="9" t="s">
        <v>8</v>
      </c>
    </row>
    <row r="2638" spans="1:5" ht="15" customHeight="1" outlineLevel="2" x14ac:dyDescent="0.25">
      <c r="A2638" s="3" t="str">
        <f>HYPERLINK("http://mystore1.ru/price_items/search?utf8=%E2%9C%93&amp;oem=3554AGNBL1B","3554AGNBL1B")</f>
        <v>3554AGNBL1B</v>
      </c>
      <c r="B2638" s="1" t="s">
        <v>5104</v>
      </c>
      <c r="C2638" s="9" t="s">
        <v>2199</v>
      </c>
      <c r="D2638" s="14" t="s">
        <v>5105</v>
      </c>
      <c r="E2638" s="9" t="s">
        <v>8</v>
      </c>
    </row>
    <row r="2639" spans="1:5" ht="15" customHeight="1" outlineLevel="2" x14ac:dyDescent="0.25">
      <c r="A2639" s="3" t="str">
        <f>HYPERLINK("http://mystore1.ru/price_items/search?utf8=%E2%9C%93&amp;oem=3554AGNGN1B","3554AGNGN1B")</f>
        <v>3554AGNGN1B</v>
      </c>
      <c r="B2639" s="1" t="s">
        <v>5106</v>
      </c>
      <c r="C2639" s="9" t="s">
        <v>2199</v>
      </c>
      <c r="D2639" s="14" t="s">
        <v>5107</v>
      </c>
      <c r="E2639" s="9" t="s">
        <v>8</v>
      </c>
    </row>
    <row r="2640" spans="1:5" ht="15" customHeight="1" outlineLevel="2" x14ac:dyDescent="0.25">
      <c r="A2640" s="3" t="str">
        <f>HYPERLINK("http://mystore1.ru/price_items/search?utf8=%E2%9C%93&amp;oem=3554ASMH","3554ASMH")</f>
        <v>3554ASMH</v>
      </c>
      <c r="B2640" s="1" t="s">
        <v>5108</v>
      </c>
      <c r="C2640" s="9" t="s">
        <v>25</v>
      </c>
      <c r="D2640" s="14" t="s">
        <v>5109</v>
      </c>
      <c r="E2640" s="9" t="s">
        <v>27</v>
      </c>
    </row>
    <row r="2641" spans="1:5" ht="15" customHeight="1" outlineLevel="2" x14ac:dyDescent="0.25">
      <c r="A2641" s="3" t="str">
        <f>HYPERLINK("http://mystore1.ru/price_items/search?utf8=%E2%9C%93&amp;oem=3554BGNH","3554BGNH")</f>
        <v>3554BGNH</v>
      </c>
      <c r="B2641" s="1" t="s">
        <v>5110</v>
      </c>
      <c r="C2641" s="9" t="s">
        <v>2199</v>
      </c>
      <c r="D2641" s="14" t="s">
        <v>5111</v>
      </c>
      <c r="E2641" s="9" t="s">
        <v>30</v>
      </c>
    </row>
    <row r="2642" spans="1:5" ht="15" customHeight="1" outlineLevel="2" x14ac:dyDescent="0.25">
      <c r="A2642" s="3" t="str">
        <f>HYPERLINK("http://mystore1.ru/price_items/search?utf8=%E2%9C%93&amp;oem=3554BGNHB","3554BGNHB")</f>
        <v>3554BGNHB</v>
      </c>
      <c r="B2642" s="1" t="s">
        <v>5112</v>
      </c>
      <c r="C2642" s="9" t="s">
        <v>2199</v>
      </c>
      <c r="D2642" s="14" t="s">
        <v>5113</v>
      </c>
      <c r="E2642" s="9" t="s">
        <v>30</v>
      </c>
    </row>
    <row r="2643" spans="1:5" ht="15" customHeight="1" outlineLevel="2" x14ac:dyDescent="0.25">
      <c r="A2643" s="3" t="str">
        <f>HYPERLINK("http://mystore1.ru/price_items/search?utf8=%E2%9C%93&amp;oem=3554LGNH3FDW","3554LGNH3FDW")</f>
        <v>3554LGNH3FDW</v>
      </c>
      <c r="B2643" s="1" t="s">
        <v>5114</v>
      </c>
      <c r="C2643" s="9" t="s">
        <v>2199</v>
      </c>
      <c r="D2643" s="14" t="s">
        <v>5115</v>
      </c>
      <c r="E2643" s="9" t="s">
        <v>11</v>
      </c>
    </row>
    <row r="2644" spans="1:5" ht="15" customHeight="1" outlineLevel="2" x14ac:dyDescent="0.25">
      <c r="A2644" s="3" t="str">
        <f>HYPERLINK("http://mystore1.ru/price_items/search?utf8=%E2%9C%93&amp;oem=3554LGNH3RQOW","3554LGNH3RQOW")</f>
        <v>3554LGNH3RQOW</v>
      </c>
      <c r="B2644" s="1" t="s">
        <v>5116</v>
      </c>
      <c r="C2644" s="9" t="s">
        <v>2199</v>
      </c>
      <c r="D2644" s="14" t="s">
        <v>5117</v>
      </c>
      <c r="E2644" s="9" t="s">
        <v>11</v>
      </c>
    </row>
    <row r="2645" spans="1:5" ht="15" customHeight="1" outlineLevel="2" x14ac:dyDescent="0.25">
      <c r="A2645" s="3" t="str">
        <f>HYPERLINK("http://mystore1.ru/price_items/search?utf8=%E2%9C%93&amp;oem=3554RGNH3FDW","3554RGNH3FDW")</f>
        <v>3554RGNH3FDW</v>
      </c>
      <c r="B2645" s="1" t="s">
        <v>5118</v>
      </c>
      <c r="C2645" s="9" t="s">
        <v>2199</v>
      </c>
      <c r="D2645" s="14" t="s">
        <v>5119</v>
      </c>
      <c r="E2645" s="9" t="s">
        <v>11</v>
      </c>
    </row>
    <row r="2646" spans="1:5" ht="15" customHeight="1" outlineLevel="2" x14ac:dyDescent="0.25">
      <c r="A2646" s="3" t="str">
        <f>HYPERLINK("http://mystore1.ru/price_items/search?utf8=%E2%9C%93&amp;oem=3554RGNH3RQOW","3554RGNH3RQOW")</f>
        <v>3554RGNH3RQOW</v>
      </c>
      <c r="B2646" s="1" t="s">
        <v>5120</v>
      </c>
      <c r="C2646" s="9" t="s">
        <v>2199</v>
      </c>
      <c r="D2646" s="14" t="s">
        <v>5121</v>
      </c>
      <c r="E2646" s="9" t="s">
        <v>11</v>
      </c>
    </row>
    <row r="2647" spans="1:5" outlineLevel="1" x14ac:dyDescent="0.25">
      <c r="A2647" s="2"/>
      <c r="B2647" s="6" t="s">
        <v>5122</v>
      </c>
      <c r="C2647" s="8"/>
      <c r="D2647" s="8"/>
      <c r="E2647" s="8"/>
    </row>
    <row r="2648" spans="1:5" ht="15" customHeight="1" outlineLevel="2" x14ac:dyDescent="0.25">
      <c r="A2648" s="3" t="str">
        <f>HYPERLINK("http://mystore1.ru/price_items/search?utf8=%E2%9C%93&amp;oem=3561AGSHW","3561AGSHW")</f>
        <v>3561AGSHW</v>
      </c>
      <c r="B2648" s="1" t="s">
        <v>5123</v>
      </c>
      <c r="C2648" s="9" t="s">
        <v>1888</v>
      </c>
      <c r="D2648" s="14" t="s">
        <v>5124</v>
      </c>
      <c r="E2648" s="9" t="s">
        <v>8</v>
      </c>
    </row>
    <row r="2649" spans="1:5" ht="15" customHeight="1" outlineLevel="2" x14ac:dyDescent="0.25">
      <c r="A2649" s="3" t="str">
        <f>HYPERLINK("http://mystore1.ru/price_items/search?utf8=%E2%9C%93&amp;oem=3561AGSW","3561AGSW")</f>
        <v>3561AGSW</v>
      </c>
      <c r="B2649" s="1" t="s">
        <v>5125</v>
      </c>
      <c r="C2649" s="9" t="s">
        <v>1408</v>
      </c>
      <c r="D2649" s="14" t="s">
        <v>5126</v>
      </c>
      <c r="E2649" s="9" t="s">
        <v>8</v>
      </c>
    </row>
    <row r="2650" spans="1:5" ht="15" customHeight="1" outlineLevel="2" x14ac:dyDescent="0.25">
      <c r="A2650" s="3" t="str">
        <f>HYPERLINK("http://mystore1.ru/price_items/search?utf8=%E2%9C%93&amp;oem=3561LGST2FD","3561LGST2FD")</f>
        <v>3561LGST2FD</v>
      </c>
      <c r="B2650" s="1" t="s">
        <v>5127</v>
      </c>
      <c r="C2650" s="9" t="s">
        <v>1408</v>
      </c>
      <c r="D2650" s="14" t="s">
        <v>5128</v>
      </c>
      <c r="E2650" s="9" t="s">
        <v>11</v>
      </c>
    </row>
    <row r="2651" spans="1:5" ht="15" customHeight="1" outlineLevel="2" x14ac:dyDescent="0.25">
      <c r="A2651" s="3" t="str">
        <f>HYPERLINK("http://mystore1.ru/price_items/search?utf8=%E2%9C%93&amp;oem=3561RGST2FD","3561RGST2FD")</f>
        <v>3561RGST2FD</v>
      </c>
      <c r="B2651" s="1" t="s">
        <v>5129</v>
      </c>
      <c r="C2651" s="9" t="s">
        <v>1408</v>
      </c>
      <c r="D2651" s="14" t="s">
        <v>5130</v>
      </c>
      <c r="E2651" s="9" t="s">
        <v>11</v>
      </c>
    </row>
    <row r="2652" spans="1:5" outlineLevel="1" x14ac:dyDescent="0.25">
      <c r="A2652" s="2"/>
      <c r="B2652" s="6" t="s">
        <v>5131</v>
      </c>
      <c r="C2652" s="8"/>
      <c r="D2652" s="8"/>
      <c r="E2652" s="8"/>
    </row>
    <row r="2653" spans="1:5" ht="15" customHeight="1" outlineLevel="2" x14ac:dyDescent="0.25">
      <c r="A2653" s="3" t="str">
        <f>HYPERLINK("http://mystore1.ru/price_items/search?utf8=%E2%9C%93&amp;oem=3575AGSHVZ","3575AGSHVZ")</f>
        <v>3575AGSHVZ</v>
      </c>
      <c r="B2653" s="1" t="s">
        <v>5132</v>
      </c>
      <c r="C2653" s="9" t="s">
        <v>642</v>
      </c>
      <c r="D2653" s="14" t="s">
        <v>5133</v>
      </c>
      <c r="E2653" s="9" t="s">
        <v>8</v>
      </c>
    </row>
    <row r="2654" spans="1:5" ht="15" customHeight="1" outlineLevel="2" x14ac:dyDescent="0.25">
      <c r="A2654" s="3" t="str">
        <f>HYPERLINK("http://mystore1.ru/price_items/search?utf8=%E2%9C%93&amp;oem=3575AGSVZ","3575AGSVZ")</f>
        <v>3575AGSVZ</v>
      </c>
      <c r="B2654" s="1" t="s">
        <v>5134</v>
      </c>
      <c r="C2654" s="9" t="s">
        <v>642</v>
      </c>
      <c r="D2654" s="14" t="s">
        <v>5135</v>
      </c>
      <c r="E2654" s="9" t="s">
        <v>8</v>
      </c>
    </row>
    <row r="2655" spans="1:5" outlineLevel="1" x14ac:dyDescent="0.25">
      <c r="A2655" s="2"/>
      <c r="B2655" s="6" t="s">
        <v>5136</v>
      </c>
      <c r="C2655" s="8"/>
      <c r="D2655" s="8"/>
      <c r="E2655" s="8"/>
    </row>
    <row r="2656" spans="1:5" ht="15" customHeight="1" outlineLevel="2" x14ac:dyDescent="0.25">
      <c r="A2656" s="3" t="str">
        <f>HYPERLINK("http://mystore1.ru/price_items/search?utf8=%E2%9C%93&amp;oem=3574AGNVW","3574AGNVW")</f>
        <v>3574AGNVW</v>
      </c>
      <c r="B2656" s="1" t="s">
        <v>5137</v>
      </c>
      <c r="C2656" s="9" t="s">
        <v>642</v>
      </c>
      <c r="D2656" s="14" t="s">
        <v>5138</v>
      </c>
      <c r="E2656" s="9" t="s">
        <v>8</v>
      </c>
    </row>
    <row r="2657" spans="1:5" ht="15" customHeight="1" outlineLevel="2" x14ac:dyDescent="0.25">
      <c r="A2657" s="3" t="str">
        <f>HYPERLINK("http://mystore1.ru/price_items/search?utf8=%E2%9C%93&amp;oem=3574ABSHMVW1P","3574ABSHMVW1P")</f>
        <v>3574ABSHMVW1P</v>
      </c>
      <c r="B2657" s="1" t="s">
        <v>5139</v>
      </c>
      <c r="C2657" s="9" t="s">
        <v>642</v>
      </c>
      <c r="D2657" s="14" t="s">
        <v>5140</v>
      </c>
      <c r="E2657" s="9" t="s">
        <v>8</v>
      </c>
    </row>
    <row r="2658" spans="1:5" ht="15" customHeight="1" outlineLevel="2" x14ac:dyDescent="0.25">
      <c r="A2658" s="3" t="str">
        <f>HYPERLINK("http://mystore1.ru/price_items/search?utf8=%E2%9C%93&amp;oem=3574AGNHVW","3574AGNHVW")</f>
        <v>3574AGNHVW</v>
      </c>
      <c r="B2658" s="1" t="s">
        <v>5141</v>
      </c>
      <c r="C2658" s="9" t="s">
        <v>642</v>
      </c>
      <c r="D2658" s="14" t="s">
        <v>5142</v>
      </c>
      <c r="E2658" s="9" t="s">
        <v>8</v>
      </c>
    </row>
    <row r="2659" spans="1:5" ht="15" customHeight="1" outlineLevel="2" x14ac:dyDescent="0.25">
      <c r="A2659" s="3" t="str">
        <f>HYPERLINK("http://mystore1.ru/price_items/search?utf8=%E2%9C%93&amp;oem=3574AGNHMVW1P","3574AGNHMVW1P")</f>
        <v>3574AGNHMVW1P</v>
      </c>
      <c r="B2659" s="1" t="s">
        <v>5143</v>
      </c>
      <c r="C2659" s="9" t="s">
        <v>642</v>
      </c>
      <c r="D2659" s="14" t="s">
        <v>5144</v>
      </c>
      <c r="E2659" s="9" t="s">
        <v>8</v>
      </c>
    </row>
    <row r="2660" spans="1:5" ht="15" customHeight="1" outlineLevel="2" x14ac:dyDescent="0.25">
      <c r="A2660" s="3" t="str">
        <f>HYPERLINK("http://mystore1.ru/price_items/search?utf8=%E2%9C%93&amp;oem=3574BGSR","3574BGSR")</f>
        <v>3574BGSR</v>
      </c>
      <c r="B2660" s="1" t="s">
        <v>5145</v>
      </c>
      <c r="C2660" s="9" t="s">
        <v>642</v>
      </c>
      <c r="D2660" s="14" t="s">
        <v>5146</v>
      </c>
      <c r="E2660" s="9" t="s">
        <v>30</v>
      </c>
    </row>
    <row r="2661" spans="1:5" ht="15" customHeight="1" outlineLevel="2" x14ac:dyDescent="0.25">
      <c r="A2661" s="3" t="str">
        <f>HYPERLINK("http://mystore1.ru/price_items/search?utf8=%E2%9C%93&amp;oem=3574LGSR5FD1M","3574LGSR5FD1M")</f>
        <v>3574LGSR5FD1M</v>
      </c>
      <c r="B2661" s="1" t="s">
        <v>5147</v>
      </c>
      <c r="C2661" s="9" t="s">
        <v>642</v>
      </c>
      <c r="D2661" s="14" t="s">
        <v>5148</v>
      </c>
      <c r="E2661" s="9" t="s">
        <v>11</v>
      </c>
    </row>
    <row r="2662" spans="1:5" ht="15" customHeight="1" outlineLevel="2" x14ac:dyDescent="0.25">
      <c r="A2662" s="3" t="str">
        <f>HYPERLINK("http://mystore1.ru/price_items/search?utf8=%E2%9C%93&amp;oem=3574LGSR5RD","3574LGSR5RD")</f>
        <v>3574LGSR5RD</v>
      </c>
      <c r="B2662" s="1" t="s">
        <v>5149</v>
      </c>
      <c r="C2662" s="9" t="s">
        <v>642</v>
      </c>
      <c r="D2662" s="14" t="s">
        <v>5150</v>
      </c>
      <c r="E2662" s="9" t="s">
        <v>11</v>
      </c>
    </row>
    <row r="2663" spans="1:5" ht="15" customHeight="1" outlineLevel="2" x14ac:dyDescent="0.25">
      <c r="A2663" s="3" t="str">
        <f>HYPERLINK("http://mystore1.ru/price_items/search?utf8=%E2%9C%93&amp;oem=3574LYPR5RD","3574LYPR5RD")</f>
        <v>3574LYPR5RD</v>
      </c>
      <c r="B2663" s="1" t="s">
        <v>5151</v>
      </c>
      <c r="C2663" s="9" t="s">
        <v>642</v>
      </c>
      <c r="D2663" s="14" t="s">
        <v>5152</v>
      </c>
      <c r="E2663" s="9" t="s">
        <v>11</v>
      </c>
    </row>
    <row r="2664" spans="1:5" ht="15" customHeight="1" outlineLevel="2" x14ac:dyDescent="0.25">
      <c r="A2664" s="3" t="str">
        <f>HYPERLINK("http://mystore1.ru/price_items/search?utf8=%E2%9C%93&amp;oem=3574RGSR5FD1M","3574RGSR5FD1M")</f>
        <v>3574RGSR5FD1M</v>
      </c>
      <c r="B2664" s="1" t="s">
        <v>5153</v>
      </c>
      <c r="C2664" s="9" t="s">
        <v>642</v>
      </c>
      <c r="D2664" s="14" t="s">
        <v>5154</v>
      </c>
      <c r="E2664" s="9" t="s">
        <v>11</v>
      </c>
    </row>
    <row r="2665" spans="1:5" ht="15" customHeight="1" outlineLevel="2" x14ac:dyDescent="0.25">
      <c r="A2665" s="3" t="str">
        <f>HYPERLINK("http://mystore1.ru/price_items/search?utf8=%E2%9C%93&amp;oem=3574RGSR5RD","3574RGSR5RD")</f>
        <v>3574RGSR5RD</v>
      </c>
      <c r="B2665" s="1" t="s">
        <v>5155</v>
      </c>
      <c r="C2665" s="9" t="s">
        <v>642</v>
      </c>
      <c r="D2665" s="14" t="s">
        <v>5156</v>
      </c>
      <c r="E2665" s="9" t="s">
        <v>11</v>
      </c>
    </row>
    <row r="2666" spans="1:5" ht="15" customHeight="1" outlineLevel="2" x14ac:dyDescent="0.25">
      <c r="A2666" s="3" t="str">
        <f>HYPERLINK("http://mystore1.ru/price_items/search?utf8=%E2%9C%93&amp;oem=3574RYPR5RD","3574RYPR5RD")</f>
        <v>3574RYPR5RD</v>
      </c>
      <c r="B2666" s="1" t="s">
        <v>5157</v>
      </c>
      <c r="C2666" s="9" t="s">
        <v>642</v>
      </c>
      <c r="D2666" s="14" t="s">
        <v>5158</v>
      </c>
      <c r="E2666" s="9" t="s">
        <v>11</v>
      </c>
    </row>
    <row r="2667" spans="1:5" outlineLevel="1" x14ac:dyDescent="0.25">
      <c r="A2667" s="2"/>
      <c r="B2667" s="6" t="s">
        <v>5159</v>
      </c>
      <c r="C2667" s="7"/>
      <c r="D2667" s="8"/>
      <c r="E2667" s="8"/>
    </row>
    <row r="2668" spans="1:5" ht="15" customHeight="1" outlineLevel="2" x14ac:dyDescent="0.25">
      <c r="A2668" s="3" t="str">
        <f>HYPERLINK("http://mystore1.ru/price_items/search?utf8=%E2%9C%93&amp;oem=3547AGN","3547AGN")</f>
        <v>3547AGN</v>
      </c>
      <c r="B2668" s="1" t="s">
        <v>5160</v>
      </c>
      <c r="C2668" s="9" t="s">
        <v>2015</v>
      </c>
      <c r="D2668" s="14" t="s">
        <v>5161</v>
      </c>
      <c r="E2668" s="9" t="s">
        <v>8</v>
      </c>
    </row>
    <row r="2669" spans="1:5" ht="15" customHeight="1" outlineLevel="2" x14ac:dyDescent="0.25">
      <c r="A2669" s="3" t="str">
        <f>HYPERLINK("http://mystore1.ru/price_items/search?utf8=%E2%9C%93&amp;oem=3547AGN1B","3547AGN1B")</f>
        <v>3547AGN1B</v>
      </c>
      <c r="B2669" s="1" t="s">
        <v>5162</v>
      </c>
      <c r="C2669" s="9" t="s">
        <v>2015</v>
      </c>
      <c r="D2669" s="14" t="s">
        <v>5163</v>
      </c>
      <c r="E2669" s="9" t="s">
        <v>8</v>
      </c>
    </row>
    <row r="2670" spans="1:5" ht="15" customHeight="1" outlineLevel="2" x14ac:dyDescent="0.25">
      <c r="A2670" s="3" t="str">
        <f>HYPERLINK("http://mystore1.ru/price_items/search?utf8=%E2%9C%93&amp;oem=3547AGNBL","3547AGNBL")</f>
        <v>3547AGNBL</v>
      </c>
      <c r="B2670" s="1" t="s">
        <v>5164</v>
      </c>
      <c r="C2670" s="9" t="s">
        <v>2015</v>
      </c>
      <c r="D2670" s="14" t="s">
        <v>5165</v>
      </c>
      <c r="E2670" s="9" t="s">
        <v>8</v>
      </c>
    </row>
    <row r="2671" spans="1:5" ht="15" customHeight="1" outlineLevel="2" x14ac:dyDescent="0.25">
      <c r="A2671" s="3" t="str">
        <f>HYPERLINK("http://mystore1.ru/price_items/search?utf8=%E2%9C%93&amp;oem=3547AGNBL1B","3547AGNBL1B")</f>
        <v>3547AGNBL1B</v>
      </c>
      <c r="B2671" s="1" t="s">
        <v>5166</v>
      </c>
      <c r="C2671" s="9" t="s">
        <v>2015</v>
      </c>
      <c r="D2671" s="14" t="s">
        <v>5167</v>
      </c>
      <c r="E2671" s="9" t="s">
        <v>8</v>
      </c>
    </row>
    <row r="2672" spans="1:5" ht="15" customHeight="1" outlineLevel="2" x14ac:dyDescent="0.25">
      <c r="A2672" s="3" t="str">
        <f>HYPERLINK("http://mystore1.ru/price_items/search?utf8=%E2%9C%93&amp;oem=3547LGNR3FDW","3547LGNR3FDW")</f>
        <v>3547LGNR3FDW</v>
      </c>
      <c r="B2672" s="1" t="s">
        <v>5168</v>
      </c>
      <c r="C2672" s="9" t="s">
        <v>2015</v>
      </c>
      <c r="D2672" s="14" t="s">
        <v>5169</v>
      </c>
      <c r="E2672" s="9" t="s">
        <v>11</v>
      </c>
    </row>
    <row r="2673" spans="1:5" ht="15" customHeight="1" outlineLevel="2" x14ac:dyDescent="0.25">
      <c r="A2673" s="3" t="str">
        <f>HYPERLINK("http://mystore1.ru/price_items/search?utf8=%E2%9C%93&amp;oem=3547LGNR5RDW","3547LGNR5RDW")</f>
        <v>3547LGNR5RDW</v>
      </c>
      <c r="B2673" s="1" t="s">
        <v>5170</v>
      </c>
      <c r="C2673" s="9" t="s">
        <v>2015</v>
      </c>
      <c r="D2673" s="14" t="s">
        <v>5171</v>
      </c>
      <c r="E2673" s="9" t="s">
        <v>11</v>
      </c>
    </row>
    <row r="2674" spans="1:5" ht="15" customHeight="1" outlineLevel="2" x14ac:dyDescent="0.25">
      <c r="A2674" s="3" t="str">
        <f>HYPERLINK("http://mystore1.ru/price_items/search?utf8=%E2%9C%93&amp;oem=3547RGNR3FDW","3547RGNR3FDW")</f>
        <v>3547RGNR3FDW</v>
      </c>
      <c r="B2674" s="1" t="s">
        <v>5172</v>
      </c>
      <c r="C2674" s="9" t="s">
        <v>2015</v>
      </c>
      <c r="D2674" s="14" t="s">
        <v>5173</v>
      </c>
      <c r="E2674" s="9" t="s">
        <v>11</v>
      </c>
    </row>
    <row r="2675" spans="1:5" ht="15" customHeight="1" outlineLevel="2" x14ac:dyDescent="0.25">
      <c r="A2675" s="3" t="str">
        <f>HYPERLINK("http://mystore1.ru/price_items/search?utf8=%E2%9C%93&amp;oem=3547RGNR5RDW","3547RGNR5RDW")</f>
        <v>3547RGNR5RDW</v>
      </c>
      <c r="B2675" s="1" t="s">
        <v>5174</v>
      </c>
      <c r="C2675" s="9" t="s">
        <v>2015</v>
      </c>
      <c r="D2675" s="14" t="s">
        <v>5175</v>
      </c>
      <c r="E2675" s="9" t="s">
        <v>11</v>
      </c>
    </row>
    <row r="2676" spans="1:5" outlineLevel="1" x14ac:dyDescent="0.25">
      <c r="A2676" s="2"/>
      <c r="B2676" s="6" t="s">
        <v>5176</v>
      </c>
      <c r="C2676" s="47"/>
      <c r="D2676" s="8"/>
      <c r="E2676" s="8"/>
    </row>
    <row r="2677" spans="1:5" ht="15" customHeight="1" outlineLevel="2" x14ac:dyDescent="0.25">
      <c r="A2677" s="3" t="str">
        <f>HYPERLINK("http://mystore1.ru/price_items/search?utf8=%E2%9C%93&amp;oem=3558AGSBLVW","3558AGSBLVW")</f>
        <v>3558AGSBLVW</v>
      </c>
      <c r="B2677" s="1" t="s">
        <v>5177</v>
      </c>
      <c r="C2677" s="9" t="s">
        <v>1403</v>
      </c>
      <c r="D2677" s="14" t="s">
        <v>5178</v>
      </c>
      <c r="E2677" s="9" t="s">
        <v>8</v>
      </c>
    </row>
    <row r="2678" spans="1:5" ht="15" customHeight="1" outlineLevel="2" x14ac:dyDescent="0.25">
      <c r="A2678" s="3" t="str">
        <f>HYPERLINK("http://mystore1.ru/price_items/search?utf8=%E2%9C%93&amp;oem=3558AGSVW","3558AGSVW")</f>
        <v>3558AGSVW</v>
      </c>
      <c r="B2678" s="1" t="s">
        <v>5179</v>
      </c>
      <c r="C2678" s="9" t="s">
        <v>1403</v>
      </c>
      <c r="D2678" s="14" t="s">
        <v>5180</v>
      </c>
      <c r="E2678" s="9" t="s">
        <v>8</v>
      </c>
    </row>
    <row r="2679" spans="1:5" ht="15" customHeight="1" outlineLevel="2" x14ac:dyDescent="0.25">
      <c r="A2679" s="3" t="str">
        <f>HYPERLINK("http://mystore1.ru/price_items/search?utf8=%E2%9C%93&amp;oem=3558ASMR","3558ASMR")</f>
        <v>3558ASMR</v>
      </c>
      <c r="B2679" s="1" t="s">
        <v>5181</v>
      </c>
      <c r="C2679" s="9" t="s">
        <v>25</v>
      </c>
      <c r="D2679" s="14" t="s">
        <v>5182</v>
      </c>
      <c r="E2679" s="9" t="s">
        <v>27</v>
      </c>
    </row>
    <row r="2680" spans="1:5" ht="15" customHeight="1" outlineLevel="2" x14ac:dyDescent="0.25">
      <c r="A2680" s="3" t="str">
        <f>HYPERLINK("http://mystore1.ru/price_items/search?utf8=%E2%9C%93&amp;oem=3558BGSR","3558BGSR")</f>
        <v>3558BGSR</v>
      </c>
      <c r="B2680" s="1" t="s">
        <v>5183</v>
      </c>
      <c r="C2680" s="9" t="s">
        <v>1403</v>
      </c>
      <c r="D2680" s="14" t="s">
        <v>5184</v>
      </c>
      <c r="E2680" s="9" t="s">
        <v>30</v>
      </c>
    </row>
    <row r="2681" spans="1:5" ht="15" customHeight="1" outlineLevel="2" x14ac:dyDescent="0.25">
      <c r="A2681" s="3" t="str">
        <f>HYPERLINK("http://mystore1.ru/price_items/search?utf8=%E2%9C%93&amp;oem=3558RGSR5RD","3558RGSR5RD")</f>
        <v>3558RGSR5RD</v>
      </c>
      <c r="B2681" s="1" t="s">
        <v>5185</v>
      </c>
      <c r="C2681" s="9" t="s">
        <v>1403</v>
      </c>
      <c r="D2681" s="14" t="s">
        <v>5186</v>
      </c>
      <c r="E2681" s="9" t="s">
        <v>11</v>
      </c>
    </row>
    <row r="2682" spans="1:5" outlineLevel="1" x14ac:dyDescent="0.25">
      <c r="A2682" s="2"/>
      <c r="B2682" s="6" t="s">
        <v>5187</v>
      </c>
      <c r="C2682" s="8"/>
      <c r="D2682" s="8"/>
      <c r="E2682" s="8"/>
    </row>
    <row r="2683" spans="1:5" ht="15" customHeight="1" outlineLevel="2" x14ac:dyDescent="0.25">
      <c r="A2683" s="3" t="str">
        <f>HYPERLINK("http://mystore1.ru/price_items/search?utf8=%E2%9C%93&amp;oem=3546AGNBLHV","3546AGNBLHV")</f>
        <v>3546AGNBLHV</v>
      </c>
      <c r="B2683" s="1" t="s">
        <v>5188</v>
      </c>
      <c r="C2683" s="9" t="s">
        <v>2846</v>
      </c>
      <c r="D2683" s="14" t="s">
        <v>5189</v>
      </c>
      <c r="E2683" s="9" t="s">
        <v>8</v>
      </c>
    </row>
    <row r="2684" spans="1:5" ht="15" customHeight="1" outlineLevel="2" x14ac:dyDescent="0.25">
      <c r="A2684" s="3" t="str">
        <f>HYPERLINK("http://mystore1.ru/price_items/search?utf8=%E2%9C%93&amp;oem=3546AGNBLV","3546AGNBLV")</f>
        <v>3546AGNBLV</v>
      </c>
      <c r="B2684" s="1" t="s">
        <v>5190</v>
      </c>
      <c r="C2684" s="9" t="s">
        <v>2846</v>
      </c>
      <c r="D2684" s="14" t="s">
        <v>5191</v>
      </c>
      <c r="E2684" s="9" t="s">
        <v>8</v>
      </c>
    </row>
    <row r="2685" spans="1:5" ht="15" customHeight="1" outlineLevel="2" x14ac:dyDescent="0.25">
      <c r="A2685" s="3" t="str">
        <f>HYPERLINK("http://mystore1.ru/price_items/search?utf8=%E2%9C%93&amp;oem=3546AGNHV1B","3546AGNHV1B")</f>
        <v>3546AGNHV1B</v>
      </c>
      <c r="B2685" s="1" t="s">
        <v>5192</v>
      </c>
      <c r="C2685" s="9" t="s">
        <v>2846</v>
      </c>
      <c r="D2685" s="14" t="s">
        <v>5193</v>
      </c>
      <c r="E2685" s="9" t="s">
        <v>8</v>
      </c>
    </row>
    <row r="2686" spans="1:5" ht="15" customHeight="1" outlineLevel="2" x14ac:dyDescent="0.25">
      <c r="A2686" s="3" t="str">
        <f>HYPERLINK("http://mystore1.ru/price_items/search?utf8=%E2%9C%93&amp;oem=3546AGNV","3546AGNV")</f>
        <v>3546AGNV</v>
      </c>
      <c r="B2686" s="1" t="s">
        <v>5194</v>
      </c>
      <c r="C2686" s="9" t="s">
        <v>2846</v>
      </c>
      <c r="D2686" s="14" t="s">
        <v>5195</v>
      </c>
      <c r="E2686" s="9" t="s">
        <v>8</v>
      </c>
    </row>
    <row r="2687" spans="1:5" ht="15" customHeight="1" outlineLevel="2" x14ac:dyDescent="0.25">
      <c r="A2687" s="3" t="str">
        <f>HYPERLINK("http://mystore1.ru/price_items/search?utf8=%E2%9C%93&amp;oem=3546ASMHT","3546ASMHT")</f>
        <v>3546ASMHT</v>
      </c>
      <c r="B2687" s="1" t="s">
        <v>5196</v>
      </c>
      <c r="C2687" s="9" t="s">
        <v>25</v>
      </c>
      <c r="D2687" s="14" t="s">
        <v>5197</v>
      </c>
      <c r="E2687" s="9" t="s">
        <v>27</v>
      </c>
    </row>
    <row r="2688" spans="1:5" ht="15" customHeight="1" outlineLevel="2" x14ac:dyDescent="0.25">
      <c r="A2688" s="3" t="str">
        <f>HYPERLINK("http://mystore1.ru/price_items/search?utf8=%E2%9C%93&amp;oem=3546BGNE","3546BGNE")</f>
        <v>3546BGNE</v>
      </c>
      <c r="B2688" s="1" t="s">
        <v>5198</v>
      </c>
      <c r="C2688" s="9" t="s">
        <v>2846</v>
      </c>
      <c r="D2688" s="14" t="s">
        <v>5199</v>
      </c>
      <c r="E2688" s="9" t="s">
        <v>30</v>
      </c>
    </row>
    <row r="2689" spans="1:5" ht="15" customHeight="1" outlineLevel="2" x14ac:dyDescent="0.25">
      <c r="A2689" s="3" t="str">
        <f>HYPERLINK("http://mystore1.ru/price_items/search?utf8=%E2%9C%93&amp;oem=3546BGNEB1B","3546BGNEB1B")</f>
        <v>3546BGNEB1B</v>
      </c>
      <c r="B2689" s="1" t="s">
        <v>5200</v>
      </c>
      <c r="C2689" s="9" t="s">
        <v>2099</v>
      </c>
      <c r="D2689" s="14" t="s">
        <v>5201</v>
      </c>
      <c r="E2689" s="9" t="s">
        <v>30</v>
      </c>
    </row>
    <row r="2690" spans="1:5" ht="15" customHeight="1" outlineLevel="2" x14ac:dyDescent="0.25">
      <c r="A2690" s="3" t="str">
        <f>HYPERLINK("http://mystore1.ru/price_items/search?utf8=%E2%9C%93&amp;oem=3546BGNEBX1B","3546BGNEBX1B")</f>
        <v>3546BGNEBX1B</v>
      </c>
      <c r="B2690" s="1" t="s">
        <v>5202</v>
      </c>
      <c r="C2690" s="9" t="s">
        <v>2099</v>
      </c>
      <c r="D2690" s="14" t="s">
        <v>5203</v>
      </c>
      <c r="E2690" s="9" t="s">
        <v>30</v>
      </c>
    </row>
    <row r="2691" spans="1:5" ht="15" customHeight="1" outlineLevel="2" x14ac:dyDescent="0.25">
      <c r="A2691" s="3" t="str">
        <f>HYPERLINK("http://mystore1.ru/price_items/search?utf8=%E2%9C%93&amp;oem=3546BGNEX","3546BGNEX")</f>
        <v>3546BGNEX</v>
      </c>
      <c r="B2691" s="1" t="s">
        <v>5204</v>
      </c>
      <c r="C2691" s="9" t="s">
        <v>3403</v>
      </c>
      <c r="D2691" s="14" t="s">
        <v>5205</v>
      </c>
      <c r="E2691" s="9" t="s">
        <v>30</v>
      </c>
    </row>
    <row r="2692" spans="1:5" ht="15" customHeight="1" outlineLevel="2" x14ac:dyDescent="0.25">
      <c r="A2692" s="3" t="str">
        <f>HYPERLINK("http://mystore1.ru/price_items/search?utf8=%E2%9C%93&amp;oem=3546BGNS","3546BGNS")</f>
        <v>3546BGNS</v>
      </c>
      <c r="B2692" s="1" t="s">
        <v>5206</v>
      </c>
      <c r="C2692" s="9" t="s">
        <v>2846</v>
      </c>
      <c r="D2692" s="14" t="s">
        <v>5207</v>
      </c>
      <c r="E2692" s="9" t="s">
        <v>30</v>
      </c>
    </row>
    <row r="2693" spans="1:5" ht="15" customHeight="1" outlineLevel="2" x14ac:dyDescent="0.25">
      <c r="A2693" s="3" t="str">
        <f>HYPERLINK("http://mystore1.ru/price_items/search?utf8=%E2%9C%93&amp;oem=3546BGNS1H","3546BGNS1H")</f>
        <v>3546BGNS1H</v>
      </c>
      <c r="B2693" s="1" t="s">
        <v>5208</v>
      </c>
      <c r="C2693" s="9" t="s">
        <v>2846</v>
      </c>
      <c r="D2693" s="14" t="s">
        <v>5209</v>
      </c>
      <c r="E2693" s="9" t="s">
        <v>30</v>
      </c>
    </row>
    <row r="2694" spans="1:5" ht="15" customHeight="1" outlineLevel="2" x14ac:dyDescent="0.25">
      <c r="A2694" s="3" t="str">
        <f>HYPERLINK("http://mystore1.ru/price_items/search?utf8=%E2%9C%93&amp;oem=3546BGNSB1B","3546BGNSB1B")</f>
        <v>3546BGNSB1B</v>
      </c>
      <c r="B2694" s="1" t="s">
        <v>5210</v>
      </c>
      <c r="C2694" s="9" t="s">
        <v>2099</v>
      </c>
      <c r="D2694" s="14" t="s">
        <v>5211</v>
      </c>
      <c r="E2694" s="9" t="s">
        <v>30</v>
      </c>
    </row>
    <row r="2695" spans="1:5" ht="15" customHeight="1" outlineLevel="2" x14ac:dyDescent="0.25">
      <c r="A2695" s="3" t="str">
        <f>HYPERLINK("http://mystore1.ru/price_items/search?utf8=%E2%9C%93&amp;oem=3546BGNSB1H","3546BGNSB1H")</f>
        <v>3546BGNSB1H</v>
      </c>
      <c r="B2695" s="1" t="s">
        <v>5212</v>
      </c>
      <c r="C2695" s="9" t="s">
        <v>5213</v>
      </c>
      <c r="D2695" s="14" t="s">
        <v>5214</v>
      </c>
      <c r="E2695" s="9" t="s">
        <v>30</v>
      </c>
    </row>
    <row r="2696" spans="1:5" ht="15" customHeight="1" outlineLevel="2" x14ac:dyDescent="0.25">
      <c r="A2696" s="3" t="str">
        <f>HYPERLINK("http://mystore1.ru/price_items/search?utf8=%E2%9C%93&amp;oem=3546BGNSB1Q","3546BGNSB1Q")</f>
        <v>3546BGNSB1Q</v>
      </c>
      <c r="B2696" s="1" t="s">
        <v>5215</v>
      </c>
      <c r="C2696" s="9" t="s">
        <v>2099</v>
      </c>
      <c r="D2696" s="14" t="s">
        <v>5216</v>
      </c>
      <c r="E2696" s="9" t="s">
        <v>30</v>
      </c>
    </row>
    <row r="2697" spans="1:5" ht="15" customHeight="1" outlineLevel="2" x14ac:dyDescent="0.25">
      <c r="A2697" s="3" t="str">
        <f>HYPERLINK("http://mystore1.ru/price_items/search?utf8=%E2%9C%93&amp;oem=3546LGNE5RDW1K","3546LGNE5RDW1K")</f>
        <v>3546LGNE5RDW1K</v>
      </c>
      <c r="B2697" s="1" t="s">
        <v>5217</v>
      </c>
      <c r="C2697" s="9" t="s">
        <v>52</v>
      </c>
      <c r="D2697" s="14" t="s">
        <v>5218</v>
      </c>
      <c r="E2697" s="9" t="s">
        <v>11</v>
      </c>
    </row>
    <row r="2698" spans="1:5" ht="15" customHeight="1" outlineLevel="2" x14ac:dyDescent="0.25">
      <c r="A2698" s="3" t="str">
        <f>HYPERLINK("http://mystore1.ru/price_items/search?utf8=%E2%9C%93&amp;oem=3546LGNE5RQ1J","3546LGNE5RQ1J")</f>
        <v>3546LGNE5RQ1J</v>
      </c>
      <c r="B2698" s="1" t="s">
        <v>5219</v>
      </c>
      <c r="C2698" s="9" t="s">
        <v>47</v>
      </c>
      <c r="D2698" s="14" t="s">
        <v>5220</v>
      </c>
      <c r="E2698" s="9" t="s">
        <v>11</v>
      </c>
    </row>
    <row r="2699" spans="1:5" ht="15" customHeight="1" outlineLevel="2" x14ac:dyDescent="0.25">
      <c r="A2699" s="3" t="str">
        <f>HYPERLINK("http://mystore1.ru/price_items/search?utf8=%E2%9C%93&amp;oem=3546LGNH5FDW","3546LGNH5FDW")</f>
        <v>3546LGNH5FDW</v>
      </c>
      <c r="B2699" s="1" t="s">
        <v>5221</v>
      </c>
      <c r="C2699" s="9" t="s">
        <v>1757</v>
      </c>
      <c r="D2699" s="14" t="s">
        <v>5222</v>
      </c>
      <c r="E2699" s="9" t="s">
        <v>11</v>
      </c>
    </row>
    <row r="2700" spans="1:5" ht="15" customHeight="1" outlineLevel="2" x14ac:dyDescent="0.25">
      <c r="A2700" s="3" t="str">
        <f>HYPERLINK("http://mystore1.ru/price_items/search?utf8=%E2%9C%93&amp;oem=3546LGNH5FDW1K","3546LGNH5FDW1K")</f>
        <v>3546LGNH5FDW1K</v>
      </c>
      <c r="B2700" s="1" t="s">
        <v>5223</v>
      </c>
      <c r="C2700" s="9" t="s">
        <v>52</v>
      </c>
      <c r="D2700" s="14" t="s">
        <v>5224</v>
      </c>
      <c r="E2700" s="9" t="s">
        <v>11</v>
      </c>
    </row>
    <row r="2701" spans="1:5" ht="15" customHeight="1" outlineLevel="2" x14ac:dyDescent="0.25">
      <c r="A2701" s="3" t="str">
        <f>HYPERLINK("http://mystore1.ru/price_items/search?utf8=%E2%9C%93&amp;oem=3546LGNH5RDW","3546LGNH5RDW")</f>
        <v>3546LGNH5RDW</v>
      </c>
      <c r="B2701" s="1" t="s">
        <v>5225</v>
      </c>
      <c r="C2701" s="9" t="s">
        <v>1757</v>
      </c>
      <c r="D2701" s="14" t="s">
        <v>5226</v>
      </c>
      <c r="E2701" s="9" t="s">
        <v>11</v>
      </c>
    </row>
    <row r="2702" spans="1:5" ht="15" customHeight="1" outlineLevel="2" x14ac:dyDescent="0.25">
      <c r="A2702" s="3" t="str">
        <f>HYPERLINK("http://mystore1.ru/price_items/search?utf8=%E2%9C%93&amp;oem=3546LGNH5RDW1K","3546LGNH5RDW1K")</f>
        <v>3546LGNH5RDW1K</v>
      </c>
      <c r="B2702" s="1" t="s">
        <v>5227</v>
      </c>
      <c r="C2702" s="9" t="s">
        <v>52</v>
      </c>
      <c r="D2702" s="14" t="s">
        <v>5228</v>
      </c>
      <c r="E2702" s="9" t="s">
        <v>11</v>
      </c>
    </row>
    <row r="2703" spans="1:5" ht="15" customHeight="1" outlineLevel="2" x14ac:dyDescent="0.25">
      <c r="A2703" s="3" t="str">
        <f>HYPERLINK("http://mystore1.ru/price_items/search?utf8=%E2%9C%93&amp;oem=3546RGNE5RDW1K","3546RGNE5RDW1K")</f>
        <v>3546RGNE5RDW1K</v>
      </c>
      <c r="B2703" s="1" t="s">
        <v>5229</v>
      </c>
      <c r="C2703" s="9" t="s">
        <v>52</v>
      </c>
      <c r="D2703" s="14" t="s">
        <v>5230</v>
      </c>
      <c r="E2703" s="9" t="s">
        <v>11</v>
      </c>
    </row>
    <row r="2704" spans="1:5" ht="15" customHeight="1" outlineLevel="2" x14ac:dyDescent="0.25">
      <c r="A2704" s="3" t="str">
        <f>HYPERLINK("http://mystore1.ru/price_items/search?utf8=%E2%9C%93&amp;oem=3546RGNE5RQ1J","3546RGNE5RQ1J")</f>
        <v>3546RGNE5RQ1J</v>
      </c>
      <c r="B2704" s="1" t="s">
        <v>5231</v>
      </c>
      <c r="C2704" s="9" t="s">
        <v>47</v>
      </c>
      <c r="D2704" s="14" t="s">
        <v>5232</v>
      </c>
      <c r="E2704" s="9" t="s">
        <v>11</v>
      </c>
    </row>
    <row r="2705" spans="1:5" ht="15" customHeight="1" outlineLevel="2" x14ac:dyDescent="0.25">
      <c r="A2705" s="3" t="str">
        <f>HYPERLINK("http://mystore1.ru/price_items/search?utf8=%E2%9C%93&amp;oem=3546RGNH5FDW","3546RGNH5FDW")</f>
        <v>3546RGNH5FDW</v>
      </c>
      <c r="B2705" s="1" t="s">
        <v>5233</v>
      </c>
      <c r="C2705" s="9" t="s">
        <v>1757</v>
      </c>
      <c r="D2705" s="14" t="s">
        <v>5234</v>
      </c>
      <c r="E2705" s="9" t="s">
        <v>11</v>
      </c>
    </row>
    <row r="2706" spans="1:5" ht="15" customHeight="1" outlineLevel="2" x14ac:dyDescent="0.25">
      <c r="A2706" s="3" t="str">
        <f>HYPERLINK("http://mystore1.ru/price_items/search?utf8=%E2%9C%93&amp;oem=3546RGNH5FDW1K","3546RGNH5FDW1K")</f>
        <v>3546RGNH5FDW1K</v>
      </c>
      <c r="B2706" s="1" t="s">
        <v>5235</v>
      </c>
      <c r="C2706" s="9" t="s">
        <v>52</v>
      </c>
      <c r="D2706" s="14" t="s">
        <v>5236</v>
      </c>
      <c r="E2706" s="9" t="s">
        <v>11</v>
      </c>
    </row>
    <row r="2707" spans="1:5" ht="15" customHeight="1" outlineLevel="2" x14ac:dyDescent="0.25">
      <c r="A2707" s="3" t="str">
        <f>HYPERLINK("http://mystore1.ru/price_items/search?utf8=%E2%9C%93&amp;oem=3546RGNH5RDW","3546RGNH5RDW")</f>
        <v>3546RGNH5RDW</v>
      </c>
      <c r="B2707" s="1" t="s">
        <v>5237</v>
      </c>
      <c r="C2707" s="9" t="s">
        <v>1757</v>
      </c>
      <c r="D2707" s="14" t="s">
        <v>5238</v>
      </c>
      <c r="E2707" s="9" t="s">
        <v>11</v>
      </c>
    </row>
    <row r="2708" spans="1:5" ht="15" customHeight="1" outlineLevel="2" x14ac:dyDescent="0.25">
      <c r="A2708" s="3" t="str">
        <f>HYPERLINK("http://mystore1.ru/price_items/search?utf8=%E2%9C%93&amp;oem=3546RGNH5RDW1K","3546RGNH5RDW1K")</f>
        <v>3546RGNH5RDW1K</v>
      </c>
      <c r="B2708" s="1" t="s">
        <v>5239</v>
      </c>
      <c r="C2708" s="9" t="s">
        <v>52</v>
      </c>
      <c r="D2708" s="14" t="s">
        <v>5240</v>
      </c>
      <c r="E2708" s="9" t="s">
        <v>11</v>
      </c>
    </row>
    <row r="2709" spans="1:5" outlineLevel="1" x14ac:dyDescent="0.25">
      <c r="A2709" s="2"/>
      <c r="B2709" s="6" t="s">
        <v>5241</v>
      </c>
      <c r="C2709" s="8"/>
      <c r="D2709" s="51"/>
      <c r="E2709" s="8"/>
    </row>
    <row r="2710" spans="1:5" ht="15" customHeight="1" outlineLevel="2" x14ac:dyDescent="0.25">
      <c r="A2710" s="3" t="str">
        <f>HYPERLINK("http://mystore1.ru/price_items/search?utf8=%E2%9C%93&amp;oem=3559AGSHMVW1S","3559AGSHMVW1S")</f>
        <v>3559AGSHMVW1S</v>
      </c>
      <c r="B2710" s="1" t="s">
        <v>5242</v>
      </c>
      <c r="C2710" s="9" t="s">
        <v>1617</v>
      </c>
      <c r="D2710" s="52" t="s">
        <v>5243</v>
      </c>
      <c r="E2710" s="9" t="s">
        <v>8</v>
      </c>
    </row>
    <row r="2711" spans="1:5" ht="15" customHeight="1" outlineLevel="2" x14ac:dyDescent="0.25">
      <c r="A2711" s="3" t="str">
        <f>HYPERLINK("http://mystore1.ru/price_items/search?utf8=%E2%9C%93&amp;oem=3559AGSHMVW2S","3559AGSHMVW2S")</f>
        <v>3559AGSHMVW2S</v>
      </c>
      <c r="B2711" s="1" t="s">
        <v>5244</v>
      </c>
      <c r="C2711" s="9" t="s">
        <v>2589</v>
      </c>
      <c r="D2711" s="52" t="s">
        <v>5245</v>
      </c>
      <c r="E2711" s="9" t="s">
        <v>8</v>
      </c>
    </row>
    <row r="2712" spans="1:5" ht="15" customHeight="1" outlineLevel="2" x14ac:dyDescent="0.25">
      <c r="A2712" s="3" t="str">
        <f>HYPERLINK("http://mystore1.ru/price_items/search?utf8=%E2%9C%93&amp;oem=3559AGSHVW1B","3559AGSHVW1B")</f>
        <v>3559AGSHVW1B</v>
      </c>
      <c r="B2712" s="1" t="s">
        <v>5246</v>
      </c>
      <c r="C2712" s="9" t="s">
        <v>1617</v>
      </c>
      <c r="D2712" s="52" t="s">
        <v>5247</v>
      </c>
      <c r="E2712" s="9" t="s">
        <v>8</v>
      </c>
    </row>
    <row r="2713" spans="1:5" ht="15" customHeight="1" outlineLevel="2" x14ac:dyDescent="0.25">
      <c r="A2713" s="3" t="str">
        <f>HYPERLINK("http://mystore1.ru/price_items/search?utf8=%E2%9C%93&amp;oem=3559AGSHVW2P","3559AGSHVW2P")</f>
        <v>3559AGSHVW2P</v>
      </c>
      <c r="B2713" s="1" t="s">
        <v>5248</v>
      </c>
      <c r="C2713" s="9" t="s">
        <v>2589</v>
      </c>
      <c r="D2713" s="52" t="s">
        <v>5249</v>
      </c>
      <c r="E2713" s="9" t="s">
        <v>8</v>
      </c>
    </row>
    <row r="2714" spans="1:5" ht="15" customHeight="1" outlineLevel="2" x14ac:dyDescent="0.25">
      <c r="A2714" s="3" t="str">
        <f>HYPERLINK("http://mystore1.ru/price_items/search?utf8=%E2%9C%93&amp;oem=3559AGSHVZ","3559AGSHVZ")</f>
        <v>3559AGSHVZ</v>
      </c>
      <c r="B2714" s="1" t="s">
        <v>5250</v>
      </c>
      <c r="C2714" s="9" t="s">
        <v>377</v>
      </c>
      <c r="D2714" s="52" t="s">
        <v>5251</v>
      </c>
      <c r="E2714" s="9" t="s">
        <v>8</v>
      </c>
    </row>
    <row r="2715" spans="1:5" ht="15" customHeight="1" outlineLevel="2" x14ac:dyDescent="0.25">
      <c r="A2715" s="3" t="str">
        <f>HYPERLINK("http://mystore1.ru/price_items/search?utf8=%E2%9C%93&amp;oem=3559AGSVW1B","3559AGSVW1B")</f>
        <v>3559AGSVW1B</v>
      </c>
      <c r="B2715" s="1" t="s">
        <v>5252</v>
      </c>
      <c r="C2715" s="9" t="s">
        <v>1617</v>
      </c>
      <c r="D2715" s="52" t="s">
        <v>5253</v>
      </c>
      <c r="E2715" s="9" t="s">
        <v>8</v>
      </c>
    </row>
    <row r="2716" spans="1:5" ht="15" customHeight="1" outlineLevel="2" x14ac:dyDescent="0.25">
      <c r="A2716" s="3" t="str">
        <f>HYPERLINK("http://mystore1.ru/price_items/search?utf8=%E2%9C%93&amp;oem=3559AGSVW1P","3559AGSVW1P")</f>
        <v>3559AGSVW1P</v>
      </c>
      <c r="B2716" s="1" t="s">
        <v>5254</v>
      </c>
      <c r="C2716" s="9" t="s">
        <v>464</v>
      </c>
      <c r="D2716" s="52" t="s">
        <v>5255</v>
      </c>
      <c r="E2716" s="9" t="s">
        <v>8</v>
      </c>
    </row>
    <row r="2717" spans="1:5" ht="15" customHeight="1" outlineLevel="2" x14ac:dyDescent="0.25">
      <c r="A2717" s="3" t="str">
        <f>HYPERLINK("http://mystore1.ru/price_items/search?utf8=%E2%9C%93&amp;oem=3559AGSVZ","3559AGSVZ")</f>
        <v>3559AGSVZ</v>
      </c>
      <c r="B2717" s="1" t="s">
        <v>5256</v>
      </c>
      <c r="C2717" s="9" t="s">
        <v>377</v>
      </c>
      <c r="D2717" s="52" t="s">
        <v>5257</v>
      </c>
      <c r="E2717" s="9" t="s">
        <v>8</v>
      </c>
    </row>
    <row r="2718" spans="1:5" ht="15" customHeight="1" outlineLevel="2" x14ac:dyDescent="0.25">
      <c r="A2718" s="3" t="str">
        <f>HYPERLINK("http://mystore1.ru/price_items/search?utf8=%E2%9C%93&amp;oem=3559ASGHL","3559ASGHL")</f>
        <v>3559ASGHL</v>
      </c>
      <c r="B2718" s="1" t="s">
        <v>5258</v>
      </c>
      <c r="C2718" s="9" t="s">
        <v>25</v>
      </c>
      <c r="D2718" s="52" t="s">
        <v>5259</v>
      </c>
      <c r="E2718" s="9" t="s">
        <v>27</v>
      </c>
    </row>
    <row r="2719" spans="1:5" ht="15" customHeight="1" outlineLevel="2" x14ac:dyDescent="0.25">
      <c r="A2719" s="3" t="str">
        <f>HYPERLINK("http://mystore1.ru/price_items/search?utf8=%E2%9C%93&amp;oem=3559ASGHR","3559ASGHR")</f>
        <v>3559ASGHR</v>
      </c>
      <c r="B2719" s="1" t="s">
        <v>5260</v>
      </c>
      <c r="C2719" s="9" t="s">
        <v>25</v>
      </c>
      <c r="D2719" s="52" t="s">
        <v>5261</v>
      </c>
      <c r="E2719" s="9" t="s">
        <v>27</v>
      </c>
    </row>
    <row r="2720" spans="1:5" ht="15" customHeight="1" outlineLevel="2" x14ac:dyDescent="0.25">
      <c r="A2720" s="3" t="str">
        <f>HYPERLINK("http://mystore1.ru/price_items/search?utf8=%E2%9C%93&amp;oem=3559BGPHAB1J","3559BGPHAB1J")</f>
        <v>3559BGPHAB1J</v>
      </c>
      <c r="B2720" s="1" t="s">
        <v>5262</v>
      </c>
      <c r="C2720" s="9" t="s">
        <v>1617</v>
      </c>
      <c r="D2720" s="52" t="s">
        <v>5263</v>
      </c>
      <c r="E2720" s="9" t="s">
        <v>30</v>
      </c>
    </row>
    <row r="2721" spans="1:5" ht="15" customHeight="1" outlineLevel="2" x14ac:dyDescent="0.25">
      <c r="A2721" s="3" t="str">
        <f>HYPERLINK("http://mystore1.ru/price_items/search?utf8=%E2%9C%93&amp;oem=3559BGPSAB1J","3559BGPSAB1J")</f>
        <v>3559BGPSAB1J</v>
      </c>
      <c r="B2721" s="1" t="s">
        <v>5264</v>
      </c>
      <c r="C2721" s="9" t="s">
        <v>1617</v>
      </c>
      <c r="D2721" s="52" t="s">
        <v>5265</v>
      </c>
      <c r="E2721" s="9" t="s">
        <v>30</v>
      </c>
    </row>
    <row r="2722" spans="1:5" ht="15" customHeight="1" outlineLevel="2" x14ac:dyDescent="0.25">
      <c r="A2722" s="3" t="str">
        <f>HYPERLINK("http://mystore1.ru/price_items/search?utf8=%E2%9C%93&amp;oem=3559BGSEBW","3559BGSEBW")</f>
        <v>3559BGSEBW</v>
      </c>
      <c r="B2722" s="1" t="s">
        <v>5266</v>
      </c>
      <c r="C2722" s="9" t="s">
        <v>377</v>
      </c>
      <c r="D2722" s="52" t="s">
        <v>5267</v>
      </c>
      <c r="E2722" s="9" t="s">
        <v>30</v>
      </c>
    </row>
    <row r="2723" spans="1:5" ht="15" customHeight="1" outlineLevel="2" x14ac:dyDescent="0.25">
      <c r="A2723" s="3" t="str">
        <f>HYPERLINK("http://mystore1.ru/price_items/search?utf8=%E2%9C%93&amp;oem=3559BGSHAB1J","3559BGSHAB1J")</f>
        <v>3559BGSHAB1J</v>
      </c>
      <c r="B2723" s="1" t="s">
        <v>5268</v>
      </c>
      <c r="C2723" s="9" t="s">
        <v>1617</v>
      </c>
      <c r="D2723" s="52" t="s">
        <v>5269</v>
      </c>
      <c r="E2723" s="9" t="s">
        <v>30</v>
      </c>
    </row>
    <row r="2724" spans="1:5" ht="15" customHeight="1" outlineLevel="2" x14ac:dyDescent="0.25">
      <c r="A2724" s="3" t="str">
        <f>HYPERLINK("http://mystore1.ru/price_items/search?utf8=%E2%9C%93&amp;oem=3559BGSHZ","3559BGSHZ")</f>
        <v>3559BGSHZ</v>
      </c>
      <c r="B2724" s="1" t="s">
        <v>5270</v>
      </c>
      <c r="C2724" s="9" t="s">
        <v>377</v>
      </c>
      <c r="D2724" s="52" t="s">
        <v>5271</v>
      </c>
      <c r="E2724" s="9" t="s">
        <v>30</v>
      </c>
    </row>
    <row r="2725" spans="1:5" ht="15" customHeight="1" outlineLevel="2" x14ac:dyDescent="0.25">
      <c r="A2725" s="3" t="str">
        <f>HYPERLINK("http://mystore1.ru/price_items/search?utf8=%E2%9C%93&amp;oem=3559BGSSAB1J","3559BGSSAB1J")</f>
        <v>3559BGSSAB1J</v>
      </c>
      <c r="B2725" s="1" t="s">
        <v>5272</v>
      </c>
      <c r="C2725" s="9" t="s">
        <v>1617</v>
      </c>
      <c r="D2725" s="52" t="s">
        <v>5273</v>
      </c>
      <c r="E2725" s="9" t="s">
        <v>30</v>
      </c>
    </row>
    <row r="2726" spans="1:5" ht="15" customHeight="1" outlineLevel="2" x14ac:dyDescent="0.25">
      <c r="A2726" s="3" t="str">
        <f>HYPERLINK("http://mystore1.ru/price_items/search?utf8=%E2%9C%93&amp;oem=3559LGSE5RD","3559LGSE5RD")</f>
        <v>3559LGSE5RD</v>
      </c>
      <c r="B2726" s="1" t="s">
        <v>5274</v>
      </c>
      <c r="C2726" s="9" t="s">
        <v>377</v>
      </c>
      <c r="D2726" s="52" t="s">
        <v>5275</v>
      </c>
      <c r="E2726" s="9" t="s">
        <v>11</v>
      </c>
    </row>
    <row r="2727" spans="1:5" ht="15" customHeight="1" outlineLevel="2" x14ac:dyDescent="0.25">
      <c r="A2727" s="3" t="str">
        <f>HYPERLINK("http://mystore1.ru/price_items/search?utf8=%E2%9C%93&amp;oem=3559LGSE5RQ","3559LGSE5RQ")</f>
        <v>3559LGSE5RQ</v>
      </c>
      <c r="B2727" s="1" t="s">
        <v>5276</v>
      </c>
      <c r="C2727" s="9" t="s">
        <v>377</v>
      </c>
      <c r="D2727" s="52" t="s">
        <v>5277</v>
      </c>
      <c r="E2727" s="9" t="s">
        <v>11</v>
      </c>
    </row>
    <row r="2728" spans="1:5" ht="15" customHeight="1" outlineLevel="2" x14ac:dyDescent="0.25">
      <c r="A2728" s="3" t="str">
        <f>HYPERLINK("http://mystore1.ru/price_items/search?utf8=%E2%9C%93&amp;oem=3559LGSE5RVZ","3559LGSE5RVZ")</f>
        <v>3559LGSE5RVZ</v>
      </c>
      <c r="B2728" s="1" t="s">
        <v>5278</v>
      </c>
      <c r="C2728" s="9" t="s">
        <v>377</v>
      </c>
      <c r="D2728" s="52" t="s">
        <v>5279</v>
      </c>
      <c r="E2728" s="9" t="s">
        <v>11</v>
      </c>
    </row>
    <row r="2729" spans="1:5" ht="15" customHeight="1" outlineLevel="2" x14ac:dyDescent="0.25">
      <c r="A2729" s="3" t="str">
        <f>HYPERLINK("http://mystore1.ru/price_items/search?utf8=%E2%9C%93&amp;oem=3559LGSH5FD","3559LGSH5FD")</f>
        <v>3559LGSH5FD</v>
      </c>
      <c r="B2729" s="1" t="s">
        <v>5280</v>
      </c>
      <c r="C2729" s="9" t="s">
        <v>377</v>
      </c>
      <c r="D2729" s="52" t="s">
        <v>5281</v>
      </c>
      <c r="E2729" s="9" t="s">
        <v>11</v>
      </c>
    </row>
    <row r="2730" spans="1:5" ht="15" customHeight="1" outlineLevel="2" x14ac:dyDescent="0.25">
      <c r="A2730" s="3" t="str">
        <f>HYPERLINK("http://mystore1.ru/price_items/search?utf8=%E2%9C%93&amp;oem=3559LGSH5RD","3559LGSH5RD")</f>
        <v>3559LGSH5RD</v>
      </c>
      <c r="B2730" s="1" t="s">
        <v>5282</v>
      </c>
      <c r="C2730" s="9" t="s">
        <v>377</v>
      </c>
      <c r="D2730" s="52" t="s">
        <v>5283</v>
      </c>
      <c r="E2730" s="9" t="s">
        <v>11</v>
      </c>
    </row>
    <row r="2731" spans="1:5" ht="15" customHeight="1" outlineLevel="2" x14ac:dyDescent="0.25">
      <c r="A2731" s="3" t="str">
        <f>HYPERLINK("http://mystore1.ru/price_items/search?utf8=%E2%9C%93&amp;oem=3559LGSH5RVZ","3559LGSH5RVZ")</f>
        <v>3559LGSH5RVZ</v>
      </c>
      <c r="B2731" s="1" t="s">
        <v>5284</v>
      </c>
      <c r="C2731" s="9" t="s">
        <v>377</v>
      </c>
      <c r="D2731" s="52" t="s">
        <v>5285</v>
      </c>
      <c r="E2731" s="9" t="s">
        <v>11</v>
      </c>
    </row>
    <row r="2732" spans="1:5" ht="15" customHeight="1" outlineLevel="2" x14ac:dyDescent="0.25">
      <c r="A2732" s="3" t="str">
        <f>HYPERLINK("http://mystore1.ru/price_items/search?utf8=%E2%9C%93&amp;oem=3559RGSE5RD","3559RGSE5RD")</f>
        <v>3559RGSE5RD</v>
      </c>
      <c r="B2732" s="1" t="s">
        <v>5286</v>
      </c>
      <c r="C2732" s="9" t="s">
        <v>377</v>
      </c>
      <c r="D2732" s="52" t="s">
        <v>5287</v>
      </c>
      <c r="E2732" s="9" t="s">
        <v>11</v>
      </c>
    </row>
    <row r="2733" spans="1:5" ht="15" customHeight="1" outlineLevel="2" x14ac:dyDescent="0.25">
      <c r="A2733" s="3" t="str">
        <f>HYPERLINK("http://mystore1.ru/price_items/search?utf8=%E2%9C%93&amp;oem=3559RGSE5RQ","3559RGSE5RQ")</f>
        <v>3559RGSE5RQ</v>
      </c>
      <c r="B2733" s="1" t="s">
        <v>5288</v>
      </c>
      <c r="C2733" s="9" t="s">
        <v>377</v>
      </c>
      <c r="D2733" s="52" t="s">
        <v>5289</v>
      </c>
      <c r="E2733" s="9" t="s">
        <v>11</v>
      </c>
    </row>
    <row r="2734" spans="1:5" ht="15" customHeight="1" outlineLevel="2" x14ac:dyDescent="0.25">
      <c r="A2734" s="3" t="str">
        <f>HYPERLINK("http://mystore1.ru/price_items/search?utf8=%E2%9C%93&amp;oem=3559RGSE5RQA","3559RGSE5RQA")</f>
        <v>3559RGSE5RQA</v>
      </c>
      <c r="B2734" s="1" t="s">
        <v>5290</v>
      </c>
      <c r="C2734" s="9" t="s">
        <v>377</v>
      </c>
      <c r="D2734" s="52" t="s">
        <v>5291</v>
      </c>
      <c r="E2734" s="9" t="s">
        <v>11</v>
      </c>
    </row>
    <row r="2735" spans="1:5" ht="15" customHeight="1" outlineLevel="2" x14ac:dyDescent="0.25">
      <c r="A2735" s="3" t="str">
        <f>HYPERLINK("http://mystore1.ru/price_items/search?utf8=%E2%9C%93&amp;oem=3559RGSE5RVZ","3559RGSE5RVZ")</f>
        <v>3559RGSE5RVZ</v>
      </c>
      <c r="B2735" s="1" t="s">
        <v>5292</v>
      </c>
      <c r="C2735" s="9" t="s">
        <v>377</v>
      </c>
      <c r="D2735" s="52" t="s">
        <v>5293</v>
      </c>
      <c r="E2735" s="9" t="s">
        <v>11</v>
      </c>
    </row>
    <row r="2736" spans="1:5" ht="15" customHeight="1" outlineLevel="2" x14ac:dyDescent="0.25">
      <c r="A2736" s="3" t="str">
        <f>HYPERLINK("http://mystore1.ru/price_items/search?utf8=%E2%9C%93&amp;oem=3559RGSH5FD","3559RGSH5FD")</f>
        <v>3559RGSH5FD</v>
      </c>
      <c r="B2736" s="1" t="s">
        <v>5294</v>
      </c>
      <c r="C2736" s="9" t="s">
        <v>377</v>
      </c>
      <c r="D2736" s="52" t="s">
        <v>5295</v>
      </c>
      <c r="E2736" s="9" t="s">
        <v>11</v>
      </c>
    </row>
    <row r="2737" spans="1:5" ht="15" customHeight="1" outlineLevel="2" x14ac:dyDescent="0.25">
      <c r="A2737" s="3" t="str">
        <f>HYPERLINK("http://mystore1.ru/price_items/search?utf8=%E2%9C%93&amp;oem=3559RGSH5RD","3559RGSH5RD")</f>
        <v>3559RGSH5RD</v>
      </c>
      <c r="B2737" s="1" t="s">
        <v>5296</v>
      </c>
      <c r="C2737" s="9" t="s">
        <v>377</v>
      </c>
      <c r="D2737" s="52" t="s">
        <v>5297</v>
      </c>
      <c r="E2737" s="9" t="s">
        <v>11</v>
      </c>
    </row>
    <row r="2738" spans="1:5" ht="15" customHeight="1" outlineLevel="2" x14ac:dyDescent="0.25">
      <c r="A2738" s="3" t="str">
        <f>HYPERLINK("http://mystore1.ru/price_items/search?utf8=%E2%9C%93&amp;oem=3559RGSH5RVZ","3559RGSH5RVZ")</f>
        <v>3559RGSH5RVZ</v>
      </c>
      <c r="B2738" s="1" t="s">
        <v>5298</v>
      </c>
      <c r="C2738" s="9" t="s">
        <v>377</v>
      </c>
      <c r="D2738" s="52" t="s">
        <v>5299</v>
      </c>
      <c r="E2738" s="9" t="s">
        <v>11</v>
      </c>
    </row>
    <row r="2739" spans="1:5" outlineLevel="1" x14ac:dyDescent="0.25">
      <c r="A2739" s="2"/>
      <c r="B2739" s="6" t="s">
        <v>5300</v>
      </c>
      <c r="C2739" s="8"/>
      <c r="D2739" s="51"/>
      <c r="E2739" s="8"/>
    </row>
    <row r="2740" spans="1:5" ht="15" customHeight="1" outlineLevel="2" x14ac:dyDescent="0.25">
      <c r="A2740" s="3" t="str">
        <f>HYPERLINK("http://mystore1.ru/price_items/search?utf8=%E2%9C%93&amp;oem=3569AGSHMVW2P","3569AGSHMVW2P")</f>
        <v>3569AGSHMVW2P</v>
      </c>
      <c r="B2740" s="1" t="s">
        <v>5301</v>
      </c>
      <c r="C2740" s="9" t="s">
        <v>511</v>
      </c>
      <c r="D2740" s="52" t="s">
        <v>5302</v>
      </c>
      <c r="E2740" s="9" t="s">
        <v>8</v>
      </c>
    </row>
    <row r="2741" spans="1:5" ht="15" customHeight="1" outlineLevel="2" x14ac:dyDescent="0.25">
      <c r="A2741" s="3" t="str">
        <f>HYPERLINK("http://mystore1.ru/price_items/search?utf8=%E2%9C%93&amp;oem=3569AGSHVW","3569AGSHVW")</f>
        <v>3569AGSHVW</v>
      </c>
      <c r="B2741" s="1" t="s">
        <v>5303</v>
      </c>
      <c r="C2741" s="9" t="s">
        <v>511</v>
      </c>
      <c r="D2741" s="52" t="s">
        <v>5304</v>
      </c>
      <c r="E2741" s="9" t="s">
        <v>8</v>
      </c>
    </row>
    <row r="2742" spans="1:5" ht="15" customHeight="1" outlineLevel="2" x14ac:dyDescent="0.25">
      <c r="A2742" s="3" t="str">
        <f>HYPERLINK("http://mystore1.ru/price_items/search?utf8=%E2%9C%93&amp;oem=3569AGSMVW2P","3569AGSMVW2P")</f>
        <v>3569AGSMVW2P</v>
      </c>
      <c r="B2742" s="1" t="s">
        <v>5305</v>
      </c>
      <c r="C2742" s="9" t="s">
        <v>511</v>
      </c>
      <c r="D2742" s="52" t="s">
        <v>5306</v>
      </c>
      <c r="E2742" s="9" t="s">
        <v>8</v>
      </c>
    </row>
    <row r="2743" spans="1:5" ht="15" customHeight="1" outlineLevel="2" x14ac:dyDescent="0.25">
      <c r="A2743" s="3" t="str">
        <f>HYPERLINK("http://mystore1.ru/price_items/search?utf8=%E2%9C%93&amp;oem=3569AGSVW","3569AGSVW")</f>
        <v>3569AGSVW</v>
      </c>
      <c r="B2743" s="1" t="s">
        <v>5307</v>
      </c>
      <c r="C2743" s="9" t="s">
        <v>511</v>
      </c>
      <c r="D2743" s="52" t="s">
        <v>5308</v>
      </c>
      <c r="E2743" s="9" t="s">
        <v>8</v>
      </c>
    </row>
    <row r="2744" spans="1:5" ht="15" customHeight="1" outlineLevel="2" x14ac:dyDescent="0.25">
      <c r="A2744" s="3" t="str">
        <f>HYPERLINK("http://mystore1.ru/price_items/search?utf8=%E2%9C%93&amp;oem=3569ABSHVW1P","3569ABSHVW1P")</f>
        <v>3569ABSHVW1P</v>
      </c>
      <c r="B2744" s="1" t="s">
        <v>5309</v>
      </c>
      <c r="C2744" s="9" t="s">
        <v>511</v>
      </c>
      <c r="D2744" s="52" t="s">
        <v>5310</v>
      </c>
      <c r="E2744" s="9" t="s">
        <v>8</v>
      </c>
    </row>
    <row r="2745" spans="1:5" ht="15" customHeight="1" outlineLevel="2" x14ac:dyDescent="0.25">
      <c r="A2745" s="3" t="str">
        <f>HYPERLINK("http://mystore1.ru/price_items/search?utf8=%E2%9C%93&amp;oem=3569ABAHMVW3P","3569ABAHMVW3P")</f>
        <v>3569ABAHMVW3P</v>
      </c>
      <c r="B2745" s="1" t="s">
        <v>5311</v>
      </c>
      <c r="C2745" s="9" t="s">
        <v>511</v>
      </c>
      <c r="D2745" s="52" t="s">
        <v>5312</v>
      </c>
      <c r="E2745" s="9" t="s">
        <v>8</v>
      </c>
    </row>
    <row r="2746" spans="1:5" ht="15" customHeight="1" outlineLevel="2" x14ac:dyDescent="0.25">
      <c r="A2746" s="3" t="str">
        <f>HYPERLINK("http://mystore1.ru/price_items/search?utf8=%E2%9C%93&amp;oem=3569ACDHMVW3P","3569ACDHMVW3P")</f>
        <v>3569ACDHMVW3P</v>
      </c>
      <c r="B2746" s="1" t="s">
        <v>5313</v>
      </c>
      <c r="C2746" s="9" t="s">
        <v>511</v>
      </c>
      <c r="D2746" s="52" t="s">
        <v>5314</v>
      </c>
      <c r="E2746" s="9" t="s">
        <v>8</v>
      </c>
    </row>
    <row r="2747" spans="1:5" ht="15" customHeight="1" outlineLevel="2" x14ac:dyDescent="0.25">
      <c r="A2747" s="3" t="str">
        <f>HYPERLINK("http://mystore1.ru/price_items/search?utf8=%E2%9C%93&amp;oem=3569AGAHMVW3P","3569AGAHMVW3P")</f>
        <v>3569AGAHMVW3P</v>
      </c>
      <c r="B2747" s="1" t="s">
        <v>5315</v>
      </c>
      <c r="C2747" s="9" t="s">
        <v>511</v>
      </c>
      <c r="D2747" s="52" t="s">
        <v>5316</v>
      </c>
      <c r="E2747" s="9" t="s">
        <v>8</v>
      </c>
    </row>
    <row r="2748" spans="1:5" ht="15" customHeight="1" outlineLevel="2" x14ac:dyDescent="0.25">
      <c r="A2748" s="3" t="str">
        <f>HYPERLINK("http://mystore1.ru/price_items/search?utf8=%E2%9C%93&amp;oem=3569BGSS","3569BGSS")</f>
        <v>3569BGSS</v>
      </c>
      <c r="B2748" s="1" t="s">
        <v>5317</v>
      </c>
      <c r="C2748" s="9" t="s">
        <v>511</v>
      </c>
      <c r="D2748" s="52" t="s">
        <v>5318</v>
      </c>
      <c r="E2748" s="9" t="s">
        <v>30</v>
      </c>
    </row>
    <row r="2749" spans="1:5" ht="15" customHeight="1" outlineLevel="2" x14ac:dyDescent="0.25">
      <c r="A2749" s="3" t="str">
        <f>HYPERLINK("http://mystore1.ru/price_items/search?utf8=%E2%9C%93&amp;oem=3569RBSH5FD1M","3569RBSH5FD1M")</f>
        <v>3569RBSH5FD1M</v>
      </c>
      <c r="B2749" s="1" t="s">
        <v>5319</v>
      </c>
      <c r="C2749" s="9" t="s">
        <v>511</v>
      </c>
      <c r="D2749" s="52" t="s">
        <v>5320</v>
      </c>
      <c r="E2749" s="9" t="s">
        <v>11</v>
      </c>
    </row>
    <row r="2750" spans="1:5" ht="15" customHeight="1" outlineLevel="2" x14ac:dyDescent="0.25">
      <c r="A2750" s="3" t="str">
        <f>HYPERLINK("http://mystore1.ru/price_items/search?utf8=%E2%9C%93&amp;oem=3569LGSH5FD1M","3569LGSH5FD1M")</f>
        <v>3569LGSH5FD1M</v>
      </c>
      <c r="B2750" s="1" t="s">
        <v>5321</v>
      </c>
      <c r="C2750" s="9" t="s">
        <v>511</v>
      </c>
      <c r="D2750" s="52" t="s">
        <v>5322</v>
      </c>
      <c r="E2750" s="9" t="s">
        <v>11</v>
      </c>
    </row>
    <row r="2751" spans="1:5" ht="15" customHeight="1" outlineLevel="2" x14ac:dyDescent="0.25">
      <c r="A2751" s="3" t="str">
        <f>HYPERLINK("http://mystore1.ru/price_items/search?utf8=%E2%9C%93&amp;oem=3569LGSH5RD","3569LGSH5RD")</f>
        <v>3569LGSH5RD</v>
      </c>
      <c r="B2751" s="1" t="s">
        <v>5323</v>
      </c>
      <c r="C2751" s="9" t="s">
        <v>511</v>
      </c>
      <c r="D2751" s="52" t="s">
        <v>5324</v>
      </c>
      <c r="E2751" s="9" t="s">
        <v>11</v>
      </c>
    </row>
    <row r="2752" spans="1:5" ht="15" customHeight="1" outlineLevel="2" x14ac:dyDescent="0.25">
      <c r="A2752" s="3" t="str">
        <f>HYPERLINK("http://mystore1.ru/price_items/search?utf8=%E2%9C%93&amp;oem=3569RGSH5FD1M","3569RGSH5FD1M")</f>
        <v>3569RGSH5FD1M</v>
      </c>
      <c r="B2752" s="1" t="s">
        <v>5325</v>
      </c>
      <c r="C2752" s="9" t="s">
        <v>511</v>
      </c>
      <c r="D2752" s="52" t="s">
        <v>5326</v>
      </c>
      <c r="E2752" s="9" t="s">
        <v>11</v>
      </c>
    </row>
    <row r="2753" spans="1:5" ht="15" customHeight="1" outlineLevel="2" x14ac:dyDescent="0.25">
      <c r="A2753" s="3" t="str">
        <f>HYPERLINK("http://mystore1.ru/price_items/search?utf8=%E2%9C%93&amp;oem=3569RGSH5RD","3569RGSH5RD")</f>
        <v>3569RGSH5RD</v>
      </c>
      <c r="B2753" s="1" t="s">
        <v>5327</v>
      </c>
      <c r="C2753" s="9" t="s">
        <v>511</v>
      </c>
      <c r="D2753" s="52" t="s">
        <v>5328</v>
      </c>
      <c r="E2753" s="9" t="s">
        <v>11</v>
      </c>
    </row>
    <row r="2754" spans="1:5" outlineLevel="1" x14ac:dyDescent="0.25">
      <c r="A2754" s="2"/>
      <c r="B2754" s="6" t="s">
        <v>5329</v>
      </c>
      <c r="C2754" s="8"/>
      <c r="D2754" s="51"/>
      <c r="E2754" s="8"/>
    </row>
    <row r="2755" spans="1:5" ht="15" customHeight="1" outlineLevel="2" x14ac:dyDescent="0.25">
      <c r="A2755" s="3" t="str">
        <f>HYPERLINK("http://mystore1.ru/price_items/search?utf8=%E2%9C%93&amp;oem=AF13AGNBLV1P","AF13AGNBLV1P")</f>
        <v>AF13AGNBLV1P</v>
      </c>
      <c r="B2755" s="1" t="s">
        <v>5330</v>
      </c>
      <c r="C2755" s="9" t="s">
        <v>5331</v>
      </c>
      <c r="D2755" s="52" t="s">
        <v>5332</v>
      </c>
      <c r="E2755" s="9" t="s">
        <v>8</v>
      </c>
    </row>
    <row r="2756" spans="1:5" outlineLevel="1" x14ac:dyDescent="0.25">
      <c r="A2756" s="2"/>
      <c r="B2756" s="6" t="s">
        <v>5333</v>
      </c>
      <c r="C2756" s="8"/>
      <c r="D2756" s="51"/>
      <c r="E2756" s="8"/>
    </row>
    <row r="2757" spans="1:5" ht="15" customHeight="1" outlineLevel="2" x14ac:dyDescent="0.25">
      <c r="A2757" s="3" t="str">
        <f>HYPERLINK("http://mystore1.ru/price_items/search?utf8=%E2%9C%93&amp;oem=AF32AGNBLVW","AF32AGNBLVW")</f>
        <v>AF32AGNBLVW</v>
      </c>
      <c r="B2757" s="1" t="s">
        <v>5334</v>
      </c>
      <c r="C2757" s="9" t="s">
        <v>5335</v>
      </c>
      <c r="D2757" s="52" t="s">
        <v>5336</v>
      </c>
      <c r="E2757" s="9" t="s">
        <v>8</v>
      </c>
    </row>
    <row r="2758" spans="1:5" outlineLevel="1" x14ac:dyDescent="0.25">
      <c r="A2758" s="2"/>
      <c r="B2758" s="6" t="s">
        <v>5337</v>
      </c>
      <c r="C2758" s="8"/>
      <c r="D2758" s="51"/>
      <c r="E2758" s="8"/>
    </row>
    <row r="2759" spans="1:5" ht="15" customHeight="1" outlineLevel="2" x14ac:dyDescent="0.25">
      <c r="A2759" s="3" t="str">
        <f>HYPERLINK("http://mystore1.ru/price_items/search?utf8=%E2%9C%93&amp;oem=3548AGNBL","3548AGNBL")</f>
        <v>3548AGNBL</v>
      </c>
      <c r="B2759" s="1" t="s">
        <v>5338</v>
      </c>
      <c r="C2759" s="9" t="s">
        <v>5339</v>
      </c>
      <c r="D2759" s="52" t="s">
        <v>5340</v>
      </c>
      <c r="E2759" s="9" t="s">
        <v>8</v>
      </c>
    </row>
    <row r="2760" spans="1:5" outlineLevel="1" x14ac:dyDescent="0.25">
      <c r="A2760" s="2"/>
      <c r="B2760" s="6" t="s">
        <v>5341</v>
      </c>
      <c r="C2760" s="8"/>
      <c r="D2760" s="51"/>
      <c r="E2760" s="8"/>
    </row>
    <row r="2761" spans="1:5" ht="15" customHeight="1" outlineLevel="2" x14ac:dyDescent="0.25">
      <c r="A2761" s="3" t="str">
        <f>HYPERLINK("http://mystore1.ru/price_items/search?utf8=%E2%9C%93&amp;oem=AF31AGNBL","AF31AGNBL")</f>
        <v>AF31AGNBL</v>
      </c>
      <c r="B2761" s="1" t="s">
        <v>5342</v>
      </c>
      <c r="C2761" s="9" t="s">
        <v>2984</v>
      </c>
      <c r="D2761" s="52" t="s">
        <v>5343</v>
      </c>
      <c r="E2761" s="9" t="s">
        <v>8</v>
      </c>
    </row>
    <row r="2762" spans="1:5" ht="15" customHeight="1" outlineLevel="2" x14ac:dyDescent="0.25">
      <c r="A2762" s="3" t="str">
        <f>HYPERLINK("http://mystore1.ru/price_items/search?utf8=%E2%9C%93&amp;oem=3553AGNBL","3553AGNBL")</f>
        <v>3553AGNBL</v>
      </c>
      <c r="B2762" s="1" t="s">
        <v>5344</v>
      </c>
      <c r="C2762" s="9" t="s">
        <v>2984</v>
      </c>
      <c r="D2762" s="52" t="s">
        <v>5343</v>
      </c>
      <c r="E2762" s="9" t="s">
        <v>8</v>
      </c>
    </row>
    <row r="2763" spans="1:5" ht="15" customHeight="1" outlineLevel="2" x14ac:dyDescent="0.25">
      <c r="A2763" s="3" t="str">
        <f>HYPERLINK("http://mystore1.ru/price_items/search?utf8=%E2%9C%93&amp;oem=3553ASMC","3553ASMC")</f>
        <v>3553ASMC</v>
      </c>
      <c r="B2763" s="1" t="s">
        <v>5345</v>
      </c>
      <c r="C2763" s="9" t="s">
        <v>25</v>
      </c>
      <c r="D2763" s="52" t="s">
        <v>5346</v>
      </c>
      <c r="E2763" s="9" t="s">
        <v>27</v>
      </c>
    </row>
    <row r="2764" spans="1:5" outlineLevel="1" x14ac:dyDescent="0.25">
      <c r="A2764" s="2"/>
      <c r="B2764" s="6" t="s">
        <v>5337</v>
      </c>
      <c r="C2764" s="8"/>
      <c r="D2764" s="51"/>
      <c r="E2764" s="8"/>
    </row>
    <row r="2765" spans="1:5" ht="15" customHeight="1" outlineLevel="2" x14ac:dyDescent="0.25">
      <c r="A2765" s="3" t="str">
        <f>HYPERLINK("http://mystore1.ru/price_items/search?utf8=%E2%9C%93&amp;oem=AF25AGNBL","AF25AGNBL")</f>
        <v>AF25AGNBL</v>
      </c>
      <c r="B2765" s="1" t="s">
        <v>5347</v>
      </c>
      <c r="C2765" s="9" t="s">
        <v>5339</v>
      </c>
      <c r="D2765" s="52" t="s">
        <v>5340</v>
      </c>
      <c r="E2765" s="9" t="s">
        <v>8</v>
      </c>
    </row>
    <row r="2766" spans="1:5" outlineLevel="1" x14ac:dyDescent="0.25">
      <c r="A2766" s="2"/>
      <c r="B2766" s="6" t="s">
        <v>5348</v>
      </c>
      <c r="C2766" s="8"/>
      <c r="D2766" s="51"/>
      <c r="E2766" s="8"/>
    </row>
    <row r="2767" spans="1:5" ht="15" customHeight="1" outlineLevel="2" x14ac:dyDescent="0.25">
      <c r="A2767" s="3" t="str">
        <f>HYPERLINK("http://mystore1.ru/price_items/search?utf8=%E2%9C%93&amp;oem=3555AGNHZ","3555AGNHZ")</f>
        <v>3555AGNHZ</v>
      </c>
      <c r="B2767" s="1" t="s">
        <v>5349</v>
      </c>
      <c r="C2767" s="9" t="s">
        <v>2841</v>
      </c>
      <c r="D2767" s="52" t="s">
        <v>5350</v>
      </c>
      <c r="E2767" s="9" t="s">
        <v>8</v>
      </c>
    </row>
    <row r="2768" spans="1:5" ht="15" customHeight="1" outlineLevel="2" x14ac:dyDescent="0.25">
      <c r="A2768" s="3" t="str">
        <f>HYPERLINK("http://mystore1.ru/price_items/search?utf8=%E2%9C%93&amp;oem=3555AGNZ","3555AGNZ")</f>
        <v>3555AGNZ</v>
      </c>
      <c r="B2768" s="1" t="s">
        <v>5351</v>
      </c>
      <c r="C2768" s="9" t="s">
        <v>2841</v>
      </c>
      <c r="D2768" s="52" t="s">
        <v>5352</v>
      </c>
      <c r="E2768" s="9" t="s">
        <v>8</v>
      </c>
    </row>
    <row r="2769" spans="1:5" ht="15" customHeight="1" outlineLevel="2" x14ac:dyDescent="0.25">
      <c r="A2769" s="3" t="str">
        <f>HYPERLINK("http://mystore1.ru/price_items/search?utf8=%E2%9C%93&amp;oem=3555BGNCZ","3555BGNCZ")</f>
        <v>3555BGNCZ</v>
      </c>
      <c r="B2769" s="1" t="s">
        <v>5353</v>
      </c>
      <c r="C2769" s="9" t="s">
        <v>2841</v>
      </c>
      <c r="D2769" s="52" t="s">
        <v>5354</v>
      </c>
      <c r="E2769" s="9" t="s">
        <v>30</v>
      </c>
    </row>
    <row r="2770" spans="1:5" ht="15" customHeight="1" outlineLevel="2" x14ac:dyDescent="0.25">
      <c r="A2770" s="3" t="str">
        <f>HYPERLINK("http://mystore1.ru/price_items/search?utf8=%E2%9C%93&amp;oem=3555LGNC2FD","3555LGNC2FD")</f>
        <v>3555LGNC2FD</v>
      </c>
      <c r="B2770" s="1" t="s">
        <v>5355</v>
      </c>
      <c r="C2770" s="9" t="s">
        <v>2841</v>
      </c>
      <c r="D2770" s="52" t="s">
        <v>5356</v>
      </c>
      <c r="E2770" s="9" t="s">
        <v>11</v>
      </c>
    </row>
    <row r="2771" spans="1:5" ht="15" customHeight="1" outlineLevel="2" x14ac:dyDescent="0.25">
      <c r="A2771" s="3" t="str">
        <f>HYPERLINK("http://mystore1.ru/price_items/search?utf8=%E2%9C%93&amp;oem=3555RGNC2FD","3555RGNC2FD")</f>
        <v>3555RGNC2FD</v>
      </c>
      <c r="B2771" s="1" t="s">
        <v>5357</v>
      </c>
      <c r="C2771" s="9" t="s">
        <v>2841</v>
      </c>
      <c r="D2771" s="52" t="s">
        <v>5358</v>
      </c>
      <c r="E2771" s="9" t="s">
        <v>11</v>
      </c>
    </row>
    <row r="2772" spans="1:5" outlineLevel="1" x14ac:dyDescent="0.25">
      <c r="A2772" s="2"/>
      <c r="B2772" s="6" t="s">
        <v>5359</v>
      </c>
      <c r="C2772" s="8"/>
      <c r="D2772" s="51"/>
      <c r="E2772" s="8"/>
    </row>
    <row r="2773" spans="1:5" ht="15" customHeight="1" outlineLevel="2" x14ac:dyDescent="0.25">
      <c r="A2773" s="3" t="str">
        <f>HYPERLINK("http://mystore1.ru/price_items/search?utf8=%E2%9C%93&amp;oem=3560AGN","3560AGN")</f>
        <v>3560AGN</v>
      </c>
      <c r="B2773" s="1" t="s">
        <v>5360</v>
      </c>
      <c r="C2773" s="9" t="s">
        <v>5361</v>
      </c>
      <c r="D2773" s="52" t="s">
        <v>5362</v>
      </c>
      <c r="E2773" s="9" t="s">
        <v>8</v>
      </c>
    </row>
    <row r="2774" spans="1:5" ht="15" customHeight="1" outlineLevel="2" x14ac:dyDescent="0.25">
      <c r="A2774" s="3" t="str">
        <f>HYPERLINK("http://mystore1.ru/price_items/search?utf8=%E2%9C%93&amp;oem=3560LGNP2FD","3560LGNP2FD")</f>
        <v>3560LGNP2FD</v>
      </c>
      <c r="B2774" s="1" t="s">
        <v>5363</v>
      </c>
      <c r="C2774" s="9" t="s">
        <v>5361</v>
      </c>
      <c r="D2774" s="52" t="s">
        <v>5364</v>
      </c>
      <c r="E2774" s="9" t="s">
        <v>11</v>
      </c>
    </row>
    <row r="2775" spans="1:5" ht="15" customHeight="1" outlineLevel="2" x14ac:dyDescent="0.25">
      <c r="A2775" s="3" t="str">
        <f>HYPERLINK("http://mystore1.ru/price_items/search?utf8=%E2%9C%93&amp;oem=3560RGNP2FD","3560RGNP2FD")</f>
        <v>3560RGNP2FD</v>
      </c>
      <c r="B2775" s="1" t="s">
        <v>5365</v>
      </c>
      <c r="C2775" s="9" t="s">
        <v>5361</v>
      </c>
      <c r="D2775" s="52" t="s">
        <v>5366</v>
      </c>
      <c r="E2775" s="9" t="s">
        <v>11</v>
      </c>
    </row>
    <row r="2776" spans="1:5" outlineLevel="1" x14ac:dyDescent="0.25">
      <c r="A2776" s="2"/>
      <c r="B2776" s="6" t="s">
        <v>5367</v>
      </c>
      <c r="C2776" s="8"/>
      <c r="D2776" s="51"/>
      <c r="E2776" s="8"/>
    </row>
    <row r="2777" spans="1:5" ht="15" customHeight="1" outlineLevel="2" x14ac:dyDescent="0.25">
      <c r="A2777" s="3" t="str">
        <f>HYPERLINK("http://mystore1.ru/price_items/search?utf8=%E2%9C%93&amp;oem=3570AGN","3570AGN")</f>
        <v>3570AGN</v>
      </c>
      <c r="B2777" s="1" t="s">
        <v>5368</v>
      </c>
      <c r="C2777" s="9" t="s">
        <v>511</v>
      </c>
      <c r="D2777" s="52" t="s">
        <v>5369</v>
      </c>
      <c r="E2777" s="9" t="s">
        <v>8</v>
      </c>
    </row>
    <row r="2778" spans="1:5" ht="15" customHeight="1" outlineLevel="2" x14ac:dyDescent="0.25">
      <c r="A2778" s="3" t="str">
        <f>HYPERLINK("http://mystore1.ru/price_items/search?utf8=%E2%9C%93&amp;oem=3570LGNP2FD","3570LGNP2FD")</f>
        <v>3570LGNP2FD</v>
      </c>
      <c r="B2778" s="1" t="s">
        <v>5370</v>
      </c>
      <c r="C2778" s="9" t="s">
        <v>511</v>
      </c>
      <c r="D2778" s="52" t="s">
        <v>5371</v>
      </c>
      <c r="E2778" s="9" t="s">
        <v>11</v>
      </c>
    </row>
    <row r="2779" spans="1:5" ht="15" customHeight="1" outlineLevel="2" x14ac:dyDescent="0.25">
      <c r="A2779" s="3" t="str">
        <f>HYPERLINK("http://mystore1.ru/price_items/search?utf8=%E2%9C%93&amp;oem=3570RGNP2FD","3570RGNP2FD")</f>
        <v>3570RGNP2FD</v>
      </c>
      <c r="B2779" s="1" t="s">
        <v>5372</v>
      </c>
      <c r="C2779" s="9" t="s">
        <v>511</v>
      </c>
      <c r="D2779" s="52" t="s">
        <v>5373</v>
      </c>
      <c r="E2779" s="9" t="s">
        <v>11</v>
      </c>
    </row>
    <row r="2780" spans="1:5" outlineLevel="1" x14ac:dyDescent="0.25">
      <c r="A2780" s="2"/>
      <c r="B2780" s="6" t="s">
        <v>5374</v>
      </c>
      <c r="C2780" s="8"/>
      <c r="D2780" s="51"/>
      <c r="E2780" s="8"/>
    </row>
    <row r="2781" spans="1:5" ht="15" customHeight="1" outlineLevel="2" x14ac:dyDescent="0.25">
      <c r="A2781" s="3" t="str">
        <f>HYPERLINK("http://mystore1.ru/price_items/search?utf8=%E2%9C%93&amp;oem=3568AGSHMVW1P","3568AGSHMVW1P")</f>
        <v>3568AGSHMVW1P</v>
      </c>
      <c r="B2781" s="1" t="s">
        <v>5375</v>
      </c>
      <c r="C2781" s="9" t="s">
        <v>687</v>
      </c>
      <c r="D2781" s="52" t="s">
        <v>5376</v>
      </c>
      <c r="E2781" s="9" t="s">
        <v>8</v>
      </c>
    </row>
    <row r="2782" spans="1:5" ht="15" customHeight="1" outlineLevel="2" x14ac:dyDescent="0.25">
      <c r="A2782" s="3" t="str">
        <f>HYPERLINK("http://mystore1.ru/price_items/search?utf8=%E2%9C%93&amp;oem=3568AGSHVW","3568AGSHVW")</f>
        <v>3568AGSHVW</v>
      </c>
      <c r="B2782" s="1" t="s">
        <v>5377</v>
      </c>
      <c r="C2782" s="9" t="s">
        <v>687</v>
      </c>
      <c r="D2782" s="52" t="s">
        <v>5378</v>
      </c>
      <c r="E2782" s="9" t="s">
        <v>8</v>
      </c>
    </row>
    <row r="2783" spans="1:5" ht="15" customHeight="1" outlineLevel="2" x14ac:dyDescent="0.25">
      <c r="A2783" s="3" t="str">
        <f>HYPERLINK("http://mystore1.ru/price_items/search?utf8=%E2%9C%93&amp;oem=3568AGSMVW1P","3568AGSMVW1P")</f>
        <v>3568AGSMVW1P</v>
      </c>
      <c r="B2783" s="1" t="s">
        <v>5379</v>
      </c>
      <c r="C2783" s="9" t="s">
        <v>687</v>
      </c>
      <c r="D2783" s="52" t="s">
        <v>5380</v>
      </c>
      <c r="E2783" s="9" t="s">
        <v>8</v>
      </c>
    </row>
    <row r="2784" spans="1:5" ht="15" customHeight="1" outlineLevel="2" x14ac:dyDescent="0.25">
      <c r="A2784" s="3" t="str">
        <f>HYPERLINK("http://mystore1.ru/price_items/search?utf8=%E2%9C%93&amp;oem=3568AGSVW","3568AGSVW")</f>
        <v>3568AGSVW</v>
      </c>
      <c r="B2784" s="1" t="s">
        <v>5381</v>
      </c>
      <c r="C2784" s="9" t="s">
        <v>687</v>
      </c>
      <c r="D2784" s="52" t="s">
        <v>5382</v>
      </c>
      <c r="E2784" s="9" t="s">
        <v>8</v>
      </c>
    </row>
    <row r="2785" spans="1:5" ht="15" customHeight="1" outlineLevel="2" x14ac:dyDescent="0.25">
      <c r="A2785" s="3" t="str">
        <f>HYPERLINK("http://mystore1.ru/price_items/search?utf8=%E2%9C%93&amp;oem=3568BGPMW","3568BGPMW")</f>
        <v>3568BGPMW</v>
      </c>
      <c r="B2785" s="1" t="s">
        <v>5383</v>
      </c>
      <c r="C2785" s="9" t="s">
        <v>687</v>
      </c>
      <c r="D2785" s="52" t="s">
        <v>5384</v>
      </c>
      <c r="E2785" s="9" t="s">
        <v>30</v>
      </c>
    </row>
    <row r="2786" spans="1:5" ht="15" customHeight="1" outlineLevel="2" x14ac:dyDescent="0.25">
      <c r="A2786" s="3" t="str">
        <f>HYPERLINK("http://mystore1.ru/price_items/search?utf8=%E2%9C%93&amp;oem=3568BGSMW","3568BGSMW")</f>
        <v>3568BGSMW</v>
      </c>
      <c r="B2786" s="1" t="s">
        <v>5385</v>
      </c>
      <c r="C2786" s="9" t="s">
        <v>687</v>
      </c>
      <c r="D2786" s="52" t="s">
        <v>5386</v>
      </c>
      <c r="E2786" s="9" t="s">
        <v>30</v>
      </c>
    </row>
    <row r="2787" spans="1:5" ht="15" customHeight="1" outlineLevel="2" x14ac:dyDescent="0.25">
      <c r="A2787" s="3" t="str">
        <f>HYPERLINK("http://mystore1.ru/price_items/search?utf8=%E2%9C%93&amp;oem=3568LGPM5RD","3568LGPM5RD")</f>
        <v>3568LGPM5RD</v>
      </c>
      <c r="B2787" s="1" t="s">
        <v>5387</v>
      </c>
      <c r="C2787" s="9" t="s">
        <v>687</v>
      </c>
      <c r="D2787" s="52" t="s">
        <v>5388</v>
      </c>
      <c r="E2787" s="9" t="s">
        <v>11</v>
      </c>
    </row>
    <row r="2788" spans="1:5" ht="15" customHeight="1" outlineLevel="2" x14ac:dyDescent="0.25">
      <c r="A2788" s="3" t="str">
        <f>HYPERLINK("http://mystore1.ru/price_items/search?utf8=%E2%9C%93&amp;oem=3568LGSM5FD1M","3568LGSM5FD1M")</f>
        <v>3568LGSM5FD1M</v>
      </c>
      <c r="B2788" s="1" t="s">
        <v>5389</v>
      </c>
      <c r="C2788" s="9" t="s">
        <v>687</v>
      </c>
      <c r="D2788" s="52" t="s">
        <v>5390</v>
      </c>
      <c r="E2788" s="9" t="s">
        <v>11</v>
      </c>
    </row>
    <row r="2789" spans="1:5" ht="15" customHeight="1" outlineLevel="2" x14ac:dyDescent="0.25">
      <c r="A2789" s="3" t="str">
        <f>HYPERLINK("http://mystore1.ru/price_items/search?utf8=%E2%9C%93&amp;oem=3568LGSM5RD","3568LGSM5RD")</f>
        <v>3568LGSM5RD</v>
      </c>
      <c r="B2789" s="1" t="s">
        <v>5391</v>
      </c>
      <c r="C2789" s="9" t="s">
        <v>687</v>
      </c>
      <c r="D2789" s="52" t="s">
        <v>5392</v>
      </c>
      <c r="E2789" s="9" t="s">
        <v>11</v>
      </c>
    </row>
    <row r="2790" spans="1:5" ht="15" customHeight="1" outlineLevel="2" x14ac:dyDescent="0.25">
      <c r="A2790" s="3" t="str">
        <f>HYPERLINK("http://mystore1.ru/price_items/search?utf8=%E2%9C%93&amp;oem=3568RGPM5RD","3568RGPM5RD")</f>
        <v>3568RGPM5RD</v>
      </c>
      <c r="B2790" s="1" t="s">
        <v>5393</v>
      </c>
      <c r="C2790" s="9" t="s">
        <v>687</v>
      </c>
      <c r="D2790" s="52" t="s">
        <v>5394</v>
      </c>
      <c r="E2790" s="9" t="s">
        <v>11</v>
      </c>
    </row>
    <row r="2791" spans="1:5" ht="15" customHeight="1" outlineLevel="2" x14ac:dyDescent="0.25">
      <c r="A2791" s="3" t="str">
        <f>HYPERLINK("http://mystore1.ru/price_items/search?utf8=%E2%9C%93&amp;oem=3568RGSM5FD1M","3568RGSM5FD1M")</f>
        <v>3568RGSM5FD1M</v>
      </c>
      <c r="B2791" s="1" t="s">
        <v>5395</v>
      </c>
      <c r="C2791" s="9" t="s">
        <v>687</v>
      </c>
      <c r="D2791" s="52" t="s">
        <v>5396</v>
      </c>
      <c r="E2791" s="9" t="s">
        <v>11</v>
      </c>
    </row>
    <row r="2792" spans="1:5" ht="15" customHeight="1" outlineLevel="2" x14ac:dyDescent="0.25">
      <c r="A2792" s="3" t="str">
        <f>HYPERLINK("http://mystore1.ru/price_items/search?utf8=%E2%9C%93&amp;oem=3568RGSM5RD","3568RGSM5RD")</f>
        <v>3568RGSM5RD</v>
      </c>
      <c r="B2792" s="1" t="s">
        <v>5397</v>
      </c>
      <c r="C2792" s="9" t="s">
        <v>687</v>
      </c>
      <c r="D2792" s="52" t="s">
        <v>5398</v>
      </c>
      <c r="E2792" s="9" t="s">
        <v>11</v>
      </c>
    </row>
    <row r="2793" spans="1:5" outlineLevel="1" x14ac:dyDescent="0.25">
      <c r="A2793" s="2"/>
      <c r="B2793" s="6" t="s">
        <v>5399</v>
      </c>
      <c r="C2793" s="8"/>
      <c r="D2793" s="51"/>
      <c r="E2793" s="8"/>
    </row>
    <row r="2794" spans="1:5" ht="15" customHeight="1" outlineLevel="2" x14ac:dyDescent="0.25">
      <c r="A2794" s="3" t="str">
        <f>HYPERLINK("http://mystore1.ru/price_items/search?utf8=%E2%9C%93&amp;oem=3541ACL1B","3541ACL1B")</f>
        <v>3541ACL1B</v>
      </c>
      <c r="B2794" s="1" t="s">
        <v>5400</v>
      </c>
      <c r="C2794" s="9" t="s">
        <v>3335</v>
      </c>
      <c r="D2794" s="52" t="s">
        <v>5401</v>
      </c>
      <c r="E2794" s="9" t="s">
        <v>8</v>
      </c>
    </row>
    <row r="2795" spans="1:5" ht="15" customHeight="1" outlineLevel="2" x14ac:dyDescent="0.25">
      <c r="A2795" s="3" t="str">
        <f>HYPERLINK("http://mystore1.ru/price_items/search?utf8=%E2%9C%93&amp;oem=3541AGN","3541AGN")</f>
        <v>3541AGN</v>
      </c>
      <c r="B2795" s="1" t="s">
        <v>5402</v>
      </c>
      <c r="C2795" s="9" t="s">
        <v>3335</v>
      </c>
      <c r="D2795" s="52" t="s">
        <v>5403</v>
      </c>
      <c r="E2795" s="9" t="s">
        <v>8</v>
      </c>
    </row>
    <row r="2796" spans="1:5" ht="15" customHeight="1" outlineLevel="2" x14ac:dyDescent="0.25">
      <c r="A2796" s="3" t="str">
        <f>HYPERLINK("http://mystore1.ru/price_items/search?utf8=%E2%9C%93&amp;oem=3541AGN1B","3541AGN1B")</f>
        <v>3541AGN1B</v>
      </c>
      <c r="B2796" s="1" t="s">
        <v>5404</v>
      </c>
      <c r="C2796" s="9" t="s">
        <v>3335</v>
      </c>
      <c r="D2796" s="52" t="s">
        <v>5405</v>
      </c>
      <c r="E2796" s="9" t="s">
        <v>8</v>
      </c>
    </row>
    <row r="2797" spans="1:5" ht="15" customHeight="1" outlineLevel="2" x14ac:dyDescent="0.25">
      <c r="A2797" s="3" t="str">
        <f>HYPERLINK("http://mystore1.ru/price_items/search?utf8=%E2%9C%93&amp;oem=3541AGNBL1B","3541AGNBL1B")</f>
        <v>3541AGNBL1B</v>
      </c>
      <c r="B2797" s="1" t="s">
        <v>5406</v>
      </c>
      <c r="C2797" s="9" t="s">
        <v>3335</v>
      </c>
      <c r="D2797" s="52" t="s">
        <v>5407</v>
      </c>
      <c r="E2797" s="9" t="s">
        <v>8</v>
      </c>
    </row>
    <row r="2798" spans="1:5" ht="15" customHeight="1" outlineLevel="2" x14ac:dyDescent="0.25">
      <c r="A2798" s="3" t="str">
        <f>HYPERLINK("http://mystore1.ru/price_items/search?utf8=%E2%9C%93&amp;oem=3541AGNBLV2B","3541AGNBLV2B")</f>
        <v>3541AGNBLV2B</v>
      </c>
      <c r="B2798" s="1" t="s">
        <v>5408</v>
      </c>
      <c r="C2798" s="9" t="s">
        <v>5213</v>
      </c>
      <c r="D2798" s="52" t="s">
        <v>5409</v>
      </c>
      <c r="E2798" s="9" t="s">
        <v>8</v>
      </c>
    </row>
    <row r="2799" spans="1:5" ht="15" customHeight="1" outlineLevel="2" x14ac:dyDescent="0.25">
      <c r="A2799" s="3" t="str">
        <f>HYPERLINK("http://mystore1.ru/price_items/search?utf8=%E2%9C%93&amp;oem=3541AGNGN1B","3541AGNGN1B")</f>
        <v>3541AGNGN1B</v>
      </c>
      <c r="B2799" s="1" t="s">
        <v>5410</v>
      </c>
      <c r="C2799" s="9" t="s">
        <v>3335</v>
      </c>
      <c r="D2799" s="52" t="s">
        <v>5411</v>
      </c>
      <c r="E2799" s="9" t="s">
        <v>8</v>
      </c>
    </row>
    <row r="2800" spans="1:5" ht="15" customHeight="1" outlineLevel="2" x14ac:dyDescent="0.25">
      <c r="A2800" s="3" t="str">
        <f>HYPERLINK("http://mystore1.ru/price_items/search?utf8=%E2%9C%93&amp;oem=3541AGNGNH1B","3541AGNGNH1B")</f>
        <v>3541AGNGNH1B</v>
      </c>
      <c r="B2800" s="1" t="s">
        <v>5412</v>
      </c>
      <c r="C2800" s="9" t="s">
        <v>3748</v>
      </c>
      <c r="D2800" s="52" t="s">
        <v>5413</v>
      </c>
      <c r="E2800" s="9" t="s">
        <v>8</v>
      </c>
    </row>
    <row r="2801" spans="1:5" ht="15" customHeight="1" outlineLevel="2" x14ac:dyDescent="0.25">
      <c r="A2801" s="3" t="str">
        <f>HYPERLINK("http://mystore1.ru/price_items/search?utf8=%E2%9C%93&amp;oem=3541AGNH1B","3541AGNH1B")</f>
        <v>3541AGNH1B</v>
      </c>
      <c r="B2801" s="1" t="s">
        <v>5414</v>
      </c>
      <c r="C2801" s="9" t="s">
        <v>3748</v>
      </c>
      <c r="D2801" s="52" t="s">
        <v>5415</v>
      </c>
      <c r="E2801" s="9" t="s">
        <v>8</v>
      </c>
    </row>
    <row r="2802" spans="1:5" ht="15" customHeight="1" outlineLevel="2" x14ac:dyDescent="0.25">
      <c r="A2802" s="3" t="str">
        <f>HYPERLINK("http://mystore1.ru/price_items/search?utf8=%E2%9C%93&amp;oem=3541AGNHV2B","3541AGNHV2B")</f>
        <v>3541AGNHV2B</v>
      </c>
      <c r="B2802" s="1" t="s">
        <v>5416</v>
      </c>
      <c r="C2802" s="9" t="s">
        <v>5213</v>
      </c>
      <c r="D2802" s="52" t="s">
        <v>5417</v>
      </c>
      <c r="E2802" s="9" t="s">
        <v>8</v>
      </c>
    </row>
    <row r="2803" spans="1:5" ht="15" customHeight="1" outlineLevel="2" x14ac:dyDescent="0.25">
      <c r="A2803" s="3" t="str">
        <f>HYPERLINK("http://mystore1.ru/price_items/search?utf8=%E2%9C%93&amp;oem=3541AGNV2B","3541AGNV2B")</f>
        <v>3541AGNV2B</v>
      </c>
      <c r="B2803" s="1" t="s">
        <v>5418</v>
      </c>
      <c r="C2803" s="9" t="s">
        <v>5213</v>
      </c>
      <c r="D2803" s="52" t="s">
        <v>5419</v>
      </c>
      <c r="E2803" s="9" t="s">
        <v>8</v>
      </c>
    </row>
    <row r="2804" spans="1:5" ht="15" customHeight="1" outlineLevel="2" x14ac:dyDescent="0.25">
      <c r="A2804" s="3" t="str">
        <f>HYPERLINK("http://mystore1.ru/price_items/search?utf8=%E2%9C%93&amp;oem=3541ASMHT","3541ASMHT")</f>
        <v>3541ASMHT</v>
      </c>
      <c r="B2804" s="1" t="s">
        <v>5420</v>
      </c>
      <c r="C2804" s="9" t="s">
        <v>25</v>
      </c>
      <c r="D2804" s="52" t="s">
        <v>5421</v>
      </c>
      <c r="E2804" s="9" t="s">
        <v>27</v>
      </c>
    </row>
    <row r="2805" spans="1:5" ht="15" customHeight="1" outlineLevel="2" x14ac:dyDescent="0.25">
      <c r="A2805" s="3" t="str">
        <f>HYPERLINK("http://mystore1.ru/price_items/search?utf8=%E2%9C%93&amp;oem=3541BGNEAXZ","3541BGNEAXZ")</f>
        <v>3541BGNEAXZ</v>
      </c>
      <c r="B2805" s="1" t="s">
        <v>5422</v>
      </c>
      <c r="C2805" s="9" t="s">
        <v>3335</v>
      </c>
      <c r="D2805" s="52" t="s">
        <v>5423</v>
      </c>
      <c r="E2805" s="9" t="s">
        <v>30</v>
      </c>
    </row>
    <row r="2806" spans="1:5" ht="15" customHeight="1" outlineLevel="2" x14ac:dyDescent="0.25">
      <c r="A2806" s="3" t="str">
        <f>HYPERLINK("http://mystore1.ru/price_items/search?utf8=%E2%9C%93&amp;oem=3541BGNHA","3541BGNHA")</f>
        <v>3541BGNHA</v>
      </c>
      <c r="B2806" s="1" t="s">
        <v>5424</v>
      </c>
      <c r="C2806" s="9" t="s">
        <v>3335</v>
      </c>
      <c r="D2806" s="52" t="s">
        <v>5425</v>
      </c>
      <c r="E2806" s="9" t="s">
        <v>30</v>
      </c>
    </row>
    <row r="2807" spans="1:5" ht="15" customHeight="1" outlineLevel="2" x14ac:dyDescent="0.25">
      <c r="A2807" s="3" t="str">
        <f>HYPERLINK("http://mystore1.ru/price_items/search?utf8=%E2%9C%93&amp;oem=3541BGNSAZ","3541BGNSAZ")</f>
        <v>3541BGNSAZ</v>
      </c>
      <c r="B2807" s="1" t="s">
        <v>5426</v>
      </c>
      <c r="C2807" s="9" t="s">
        <v>3335</v>
      </c>
      <c r="D2807" s="52" t="s">
        <v>5427</v>
      </c>
      <c r="E2807" s="9" t="s">
        <v>30</v>
      </c>
    </row>
    <row r="2808" spans="1:5" ht="15" customHeight="1" outlineLevel="2" x14ac:dyDescent="0.25">
      <c r="A2808" s="3" t="str">
        <f>HYPERLINK("http://mystore1.ru/price_items/search?utf8=%E2%9C%93&amp;oem=3541LCLH5FD","3541LCLH5FD")</f>
        <v>3541LCLH5FD</v>
      </c>
      <c r="B2808" s="1" t="s">
        <v>5428</v>
      </c>
      <c r="C2808" s="9" t="s">
        <v>3335</v>
      </c>
      <c r="D2808" s="52" t="s">
        <v>5429</v>
      </c>
      <c r="E2808" s="9" t="s">
        <v>11</v>
      </c>
    </row>
    <row r="2809" spans="1:5" ht="15" customHeight="1" outlineLevel="2" x14ac:dyDescent="0.25">
      <c r="A2809" s="3" t="str">
        <f>HYPERLINK("http://mystore1.ru/price_items/search?utf8=%E2%9C%93&amp;oem=3541LGNH5FD","3541LGNH5FD")</f>
        <v>3541LGNH5FD</v>
      </c>
      <c r="B2809" s="1" t="s">
        <v>5430</v>
      </c>
      <c r="C2809" s="9" t="s">
        <v>3335</v>
      </c>
      <c r="D2809" s="52" t="s">
        <v>5431</v>
      </c>
      <c r="E2809" s="9" t="s">
        <v>11</v>
      </c>
    </row>
    <row r="2810" spans="1:5" ht="15" customHeight="1" outlineLevel="2" x14ac:dyDescent="0.25">
      <c r="A2810" s="3" t="str">
        <f>HYPERLINK("http://mystore1.ru/price_items/search?utf8=%E2%9C%93&amp;oem=3541LGNH5RDW","3541LGNH5RDW")</f>
        <v>3541LGNH5RDW</v>
      </c>
      <c r="B2810" s="1" t="s">
        <v>5432</v>
      </c>
      <c r="C2810" s="9" t="s">
        <v>3335</v>
      </c>
      <c r="D2810" s="52" t="s">
        <v>5433</v>
      </c>
      <c r="E2810" s="9" t="s">
        <v>11</v>
      </c>
    </row>
    <row r="2811" spans="1:5" ht="15" customHeight="1" outlineLevel="2" x14ac:dyDescent="0.25">
      <c r="A2811" s="3" t="str">
        <f>HYPERLINK("http://mystore1.ru/price_items/search?utf8=%E2%9C%93&amp;oem=3541RCLH5FD","3541RCLH5FD")</f>
        <v>3541RCLH5FD</v>
      </c>
      <c r="B2811" s="1" t="s">
        <v>5434</v>
      </c>
      <c r="C2811" s="9" t="s">
        <v>3335</v>
      </c>
      <c r="D2811" s="52" t="s">
        <v>5435</v>
      </c>
      <c r="E2811" s="9" t="s">
        <v>11</v>
      </c>
    </row>
    <row r="2812" spans="1:5" ht="15" customHeight="1" outlineLevel="2" x14ac:dyDescent="0.25">
      <c r="A2812" s="3" t="str">
        <f>HYPERLINK("http://mystore1.ru/price_items/search?utf8=%E2%9C%93&amp;oem=3541RGNH5FD","3541RGNH5FD")</f>
        <v>3541RGNH5FD</v>
      </c>
      <c r="B2812" s="1" t="s">
        <v>5436</v>
      </c>
      <c r="C2812" s="9" t="s">
        <v>3335</v>
      </c>
      <c r="D2812" s="52" t="s">
        <v>5437</v>
      </c>
      <c r="E2812" s="9" t="s">
        <v>11</v>
      </c>
    </row>
    <row r="2813" spans="1:5" ht="15" customHeight="1" outlineLevel="2" x14ac:dyDescent="0.25">
      <c r="A2813" s="3" t="str">
        <f>HYPERLINK("http://mystore1.ru/price_items/search?utf8=%E2%9C%93&amp;oem=3541RGNH5RDW","3541RGNH5RDW")</f>
        <v>3541RGNH5RDW</v>
      </c>
      <c r="B2813" s="1" t="s">
        <v>5438</v>
      </c>
      <c r="C2813" s="9" t="s">
        <v>3335</v>
      </c>
      <c r="D2813" s="52" t="s">
        <v>5439</v>
      </c>
      <c r="E2813" s="9" t="s">
        <v>11</v>
      </c>
    </row>
    <row r="2814" spans="1:5" outlineLevel="1" x14ac:dyDescent="0.25">
      <c r="A2814" s="2"/>
      <c r="B2814" s="6" t="s">
        <v>5440</v>
      </c>
      <c r="C2814" s="8"/>
      <c r="D2814" s="51"/>
      <c r="E2814" s="8"/>
    </row>
    <row r="2815" spans="1:5" ht="15" customHeight="1" outlineLevel="2" x14ac:dyDescent="0.25">
      <c r="A2815" s="3" t="str">
        <f>HYPERLINK("http://mystore1.ru/price_items/search?utf8=%E2%9C%93&amp;oem=3539ABZBL","3539ABZBL")</f>
        <v>3539ABZBL</v>
      </c>
      <c r="B2815" s="1" t="s">
        <v>5441</v>
      </c>
      <c r="C2815" s="9" t="s">
        <v>5442</v>
      </c>
      <c r="D2815" s="52" t="s">
        <v>5443</v>
      </c>
      <c r="E2815" s="9" t="s">
        <v>8</v>
      </c>
    </row>
    <row r="2816" spans="1:5" ht="15" customHeight="1" outlineLevel="2" x14ac:dyDescent="0.25">
      <c r="A2816" s="3" t="str">
        <f>HYPERLINK("http://mystore1.ru/price_items/search?utf8=%E2%9C%93&amp;oem=3539ACL","3539ACL")</f>
        <v>3539ACL</v>
      </c>
      <c r="B2816" s="1" t="s">
        <v>5444</v>
      </c>
      <c r="C2816" s="9" t="s">
        <v>5442</v>
      </c>
      <c r="D2816" s="52" t="s">
        <v>5445</v>
      </c>
      <c r="E2816" s="9" t="s">
        <v>8</v>
      </c>
    </row>
    <row r="2817" spans="1:5" ht="15" customHeight="1" outlineLevel="2" x14ac:dyDescent="0.25">
      <c r="A2817" s="3" t="str">
        <f>HYPERLINK("http://mystore1.ru/price_items/search?utf8=%E2%9C%93&amp;oem=3539AKMH","3539AKMH")</f>
        <v>3539AKMH</v>
      </c>
      <c r="B2817" s="1" t="s">
        <v>5446</v>
      </c>
      <c r="C2817" s="9" t="s">
        <v>25</v>
      </c>
      <c r="D2817" s="52" t="s">
        <v>5447</v>
      </c>
      <c r="E2817" s="9" t="s">
        <v>27</v>
      </c>
    </row>
    <row r="2818" spans="1:5" ht="15" customHeight="1" outlineLevel="2" x14ac:dyDescent="0.25">
      <c r="A2818" s="3" t="str">
        <f>HYPERLINK("http://mystore1.ru/price_items/search?utf8=%E2%9C%93&amp;oem=3539ASMH","3539ASMH")</f>
        <v>3539ASMH</v>
      </c>
      <c r="B2818" s="1" t="s">
        <v>5448</v>
      </c>
      <c r="C2818" s="9" t="s">
        <v>25</v>
      </c>
      <c r="D2818" s="52" t="s">
        <v>5449</v>
      </c>
      <c r="E2818" s="9" t="s">
        <v>27</v>
      </c>
    </row>
    <row r="2819" spans="1:5" ht="15" customHeight="1" outlineLevel="2" x14ac:dyDescent="0.25">
      <c r="A2819" s="3" t="str">
        <f>HYPERLINK("http://mystore1.ru/price_items/search?utf8=%E2%9C%93&amp;oem=3539BCLH","3539BCLH")</f>
        <v>3539BCLH</v>
      </c>
      <c r="B2819" s="1" t="s">
        <v>5450</v>
      </c>
      <c r="C2819" s="9" t="s">
        <v>5442</v>
      </c>
      <c r="D2819" s="52" t="s">
        <v>5451</v>
      </c>
      <c r="E2819" s="9" t="s">
        <v>30</v>
      </c>
    </row>
    <row r="2820" spans="1:5" ht="15" customHeight="1" outlineLevel="2" x14ac:dyDescent="0.25">
      <c r="A2820" s="3" t="str">
        <f>HYPERLINK("http://mystore1.ru/price_items/search?utf8=%E2%9C%93&amp;oem=3539LBZH5FD","3539LBZH5FD")</f>
        <v>3539LBZH5FD</v>
      </c>
      <c r="B2820" s="1" t="s">
        <v>5452</v>
      </c>
      <c r="C2820" s="9" t="s">
        <v>5442</v>
      </c>
      <c r="D2820" s="52" t="s">
        <v>5453</v>
      </c>
      <c r="E2820" s="9" t="s">
        <v>11</v>
      </c>
    </row>
    <row r="2821" spans="1:5" ht="15" customHeight="1" outlineLevel="2" x14ac:dyDescent="0.25">
      <c r="A2821" s="3" t="str">
        <f>HYPERLINK("http://mystore1.ru/price_items/search?utf8=%E2%9C%93&amp;oem=3539LCLH5FD","3539LCLH5FD")</f>
        <v>3539LCLH5FD</v>
      </c>
      <c r="B2821" s="1" t="s">
        <v>5454</v>
      </c>
      <c r="C2821" s="9" t="s">
        <v>5442</v>
      </c>
      <c r="D2821" s="52" t="s">
        <v>5455</v>
      </c>
      <c r="E2821" s="9" t="s">
        <v>11</v>
      </c>
    </row>
    <row r="2822" spans="1:5" ht="15" customHeight="1" outlineLevel="2" x14ac:dyDescent="0.25">
      <c r="A2822" s="3" t="str">
        <f>HYPERLINK("http://mystore1.ru/price_items/search?utf8=%E2%9C%93&amp;oem=3539LCLH5RD","3539LCLH5RD")</f>
        <v>3539LCLH5RD</v>
      </c>
      <c r="B2822" s="1" t="s">
        <v>5456</v>
      </c>
      <c r="C2822" s="9" t="s">
        <v>5442</v>
      </c>
      <c r="D2822" s="52" t="s">
        <v>5457</v>
      </c>
      <c r="E2822" s="9" t="s">
        <v>11</v>
      </c>
    </row>
    <row r="2823" spans="1:5" ht="15" customHeight="1" outlineLevel="2" x14ac:dyDescent="0.25">
      <c r="A2823" s="3" t="str">
        <f>HYPERLINK("http://mystore1.ru/price_items/search?utf8=%E2%9C%93&amp;oem=3539RCLH5FD","3539RCLH5FD")</f>
        <v>3539RCLH5FD</v>
      </c>
      <c r="B2823" s="1" t="s">
        <v>5458</v>
      </c>
      <c r="C2823" s="9" t="s">
        <v>5442</v>
      </c>
      <c r="D2823" s="52" t="s">
        <v>5459</v>
      </c>
      <c r="E2823" s="9" t="s">
        <v>11</v>
      </c>
    </row>
    <row r="2824" spans="1:5" outlineLevel="1" x14ac:dyDescent="0.25">
      <c r="A2824" s="2"/>
      <c r="B2824" s="6" t="s">
        <v>5460</v>
      </c>
      <c r="C2824" s="8"/>
      <c r="D2824" s="51"/>
      <c r="E2824" s="8"/>
    </row>
    <row r="2825" spans="1:5" ht="15" customHeight="1" outlineLevel="2" x14ac:dyDescent="0.25">
      <c r="A2825" s="3" t="str">
        <f>HYPERLINK("http://mystore1.ru/price_items/search?utf8=%E2%9C%93&amp;oem=3543ACL","3543ACL")</f>
        <v>3543ACL</v>
      </c>
      <c r="B2825" s="1" t="s">
        <v>5461</v>
      </c>
      <c r="C2825" s="9" t="s">
        <v>5462</v>
      </c>
      <c r="D2825" s="52" t="s">
        <v>5463</v>
      </c>
      <c r="E2825" s="9" t="s">
        <v>8</v>
      </c>
    </row>
    <row r="2826" spans="1:5" ht="15" customHeight="1" outlineLevel="2" x14ac:dyDescent="0.25">
      <c r="A2826" s="3" t="str">
        <f>HYPERLINK("http://mystore1.ru/price_items/search?utf8=%E2%9C%93&amp;oem=3543AGN","3543AGN")</f>
        <v>3543AGN</v>
      </c>
      <c r="B2826" s="1" t="s">
        <v>5464</v>
      </c>
      <c r="C2826" s="9" t="s">
        <v>5462</v>
      </c>
      <c r="D2826" s="52" t="s">
        <v>5465</v>
      </c>
      <c r="E2826" s="9" t="s">
        <v>8</v>
      </c>
    </row>
    <row r="2827" spans="1:5" ht="15" customHeight="1" outlineLevel="2" x14ac:dyDescent="0.25">
      <c r="A2827" s="3" t="str">
        <f>HYPERLINK("http://mystore1.ru/price_items/search?utf8=%E2%9C%93&amp;oem=3543AGNBL","3543AGNBL")</f>
        <v>3543AGNBL</v>
      </c>
      <c r="B2827" s="1" t="s">
        <v>5466</v>
      </c>
      <c r="C2827" s="9" t="s">
        <v>5462</v>
      </c>
      <c r="D2827" s="52" t="s">
        <v>5467</v>
      </c>
      <c r="E2827" s="9" t="s">
        <v>8</v>
      </c>
    </row>
    <row r="2828" spans="1:5" ht="15" customHeight="1" outlineLevel="2" x14ac:dyDescent="0.25">
      <c r="A2828" s="3" t="str">
        <f>HYPERLINK("http://mystore1.ru/price_items/search?utf8=%E2%9C%93&amp;oem=3543AGNGN","3543AGNGN")</f>
        <v>3543AGNGN</v>
      </c>
      <c r="B2828" s="1" t="s">
        <v>5468</v>
      </c>
      <c r="C2828" s="9" t="s">
        <v>5462</v>
      </c>
      <c r="D2828" s="52" t="s">
        <v>5469</v>
      </c>
      <c r="E2828" s="9" t="s">
        <v>8</v>
      </c>
    </row>
    <row r="2829" spans="1:5" ht="15" customHeight="1" outlineLevel="2" x14ac:dyDescent="0.25">
      <c r="A2829" s="3" t="str">
        <f>HYPERLINK("http://mystore1.ru/price_items/search?utf8=%E2%9C%93&amp;oem=3543ASMH","3543ASMH")</f>
        <v>3543ASMH</v>
      </c>
      <c r="B2829" s="1" t="s">
        <v>5470</v>
      </c>
      <c r="C2829" s="9" t="s">
        <v>25</v>
      </c>
      <c r="D2829" s="52" t="s">
        <v>5471</v>
      </c>
      <c r="E2829" s="9" t="s">
        <v>27</v>
      </c>
    </row>
    <row r="2830" spans="1:5" ht="15" customHeight="1" outlineLevel="2" x14ac:dyDescent="0.25">
      <c r="A2830" s="3" t="str">
        <f>HYPERLINK("http://mystore1.ru/price_items/search?utf8=%E2%9C%93&amp;oem=3543BCLE","3543BCLE")</f>
        <v>3543BCLE</v>
      </c>
      <c r="B2830" s="1" t="s">
        <v>5472</v>
      </c>
      <c r="C2830" s="9" t="s">
        <v>5462</v>
      </c>
      <c r="D2830" s="52" t="s">
        <v>5473</v>
      </c>
      <c r="E2830" s="9" t="s">
        <v>30</v>
      </c>
    </row>
    <row r="2831" spans="1:5" ht="15" customHeight="1" outlineLevel="2" x14ac:dyDescent="0.25">
      <c r="A2831" s="3" t="str">
        <f>HYPERLINK("http://mystore1.ru/price_items/search?utf8=%E2%9C%93&amp;oem=3543BCLH","3543BCLH")</f>
        <v>3543BCLH</v>
      </c>
      <c r="B2831" s="1" t="s">
        <v>5474</v>
      </c>
      <c r="C2831" s="9" t="s">
        <v>5462</v>
      </c>
      <c r="D2831" s="52" t="s">
        <v>5475</v>
      </c>
      <c r="E2831" s="9" t="s">
        <v>30</v>
      </c>
    </row>
    <row r="2832" spans="1:5" ht="15" customHeight="1" outlineLevel="2" x14ac:dyDescent="0.25">
      <c r="A2832" s="3" t="str">
        <f>HYPERLINK("http://mystore1.ru/price_items/search?utf8=%E2%9C%93&amp;oem=3543BCLS","3543BCLS")</f>
        <v>3543BCLS</v>
      </c>
      <c r="B2832" s="1" t="s">
        <v>5476</v>
      </c>
      <c r="C2832" s="9" t="s">
        <v>5462</v>
      </c>
      <c r="D2832" s="52" t="s">
        <v>5477</v>
      </c>
      <c r="E2832" s="9" t="s">
        <v>30</v>
      </c>
    </row>
    <row r="2833" spans="1:5" ht="15" customHeight="1" outlineLevel="2" x14ac:dyDescent="0.25">
      <c r="A2833" s="3" t="str">
        <f>HYPERLINK("http://mystore1.ru/price_items/search?utf8=%E2%9C%93&amp;oem=3543BGNEA","3543BGNEA")</f>
        <v>3543BGNEA</v>
      </c>
      <c r="B2833" s="1" t="s">
        <v>5478</v>
      </c>
      <c r="C2833" s="9" t="s">
        <v>5462</v>
      </c>
      <c r="D2833" s="52" t="s">
        <v>5479</v>
      </c>
      <c r="E2833" s="9" t="s">
        <v>30</v>
      </c>
    </row>
    <row r="2834" spans="1:5" ht="15" customHeight="1" outlineLevel="2" x14ac:dyDescent="0.25">
      <c r="A2834" s="3" t="str">
        <f>HYPERLINK("http://mystore1.ru/price_items/search?utf8=%E2%9C%93&amp;oem=3543BGNHA","3543BGNHA")</f>
        <v>3543BGNHA</v>
      </c>
      <c r="B2834" s="1" t="s">
        <v>5480</v>
      </c>
      <c r="C2834" s="9" t="s">
        <v>5481</v>
      </c>
      <c r="D2834" s="52" t="s">
        <v>5482</v>
      </c>
      <c r="E2834" s="9" t="s">
        <v>30</v>
      </c>
    </row>
    <row r="2835" spans="1:5" ht="15" customHeight="1" outlineLevel="2" x14ac:dyDescent="0.25">
      <c r="A2835" s="3" t="str">
        <f>HYPERLINK("http://mystore1.ru/price_items/search?utf8=%E2%9C%93&amp;oem=3543BGNSA","3543BGNSA")</f>
        <v>3543BGNSA</v>
      </c>
      <c r="B2835" s="1" t="s">
        <v>5483</v>
      </c>
      <c r="C2835" s="9" t="s">
        <v>5481</v>
      </c>
      <c r="D2835" s="52" t="s">
        <v>5484</v>
      </c>
      <c r="E2835" s="9" t="s">
        <v>30</v>
      </c>
    </row>
    <row r="2836" spans="1:5" ht="15" customHeight="1" outlineLevel="2" x14ac:dyDescent="0.25">
      <c r="A2836" s="3" t="str">
        <f>HYPERLINK("http://mystore1.ru/price_items/search?utf8=%E2%9C%93&amp;oem=3543LCLE5RV","3543LCLE5RV")</f>
        <v>3543LCLE5RV</v>
      </c>
      <c r="B2836" s="1" t="s">
        <v>5485</v>
      </c>
      <c r="C2836" s="9" t="s">
        <v>5462</v>
      </c>
      <c r="D2836" s="52" t="s">
        <v>5486</v>
      </c>
      <c r="E2836" s="9" t="s">
        <v>11</v>
      </c>
    </row>
    <row r="2837" spans="1:5" ht="15" customHeight="1" outlineLevel="2" x14ac:dyDescent="0.25">
      <c r="A2837" s="3" t="str">
        <f>HYPERLINK("http://mystore1.ru/price_items/search?utf8=%E2%9C%93&amp;oem=3543LCLH5FD","3543LCLH5FD")</f>
        <v>3543LCLH5FD</v>
      </c>
      <c r="B2837" s="1" t="s">
        <v>5487</v>
      </c>
      <c r="C2837" s="9" t="s">
        <v>5462</v>
      </c>
      <c r="D2837" s="52" t="s">
        <v>5488</v>
      </c>
      <c r="E2837" s="9" t="s">
        <v>11</v>
      </c>
    </row>
    <row r="2838" spans="1:5" ht="15" customHeight="1" outlineLevel="2" x14ac:dyDescent="0.25">
      <c r="A2838" s="3" t="str">
        <f>HYPERLINK("http://mystore1.ru/price_items/search?utf8=%E2%9C%93&amp;oem=3543LCLH5RD","3543LCLH5RD")</f>
        <v>3543LCLH5RD</v>
      </c>
      <c r="B2838" s="1" t="s">
        <v>5489</v>
      </c>
      <c r="C2838" s="9" t="s">
        <v>5462</v>
      </c>
      <c r="D2838" s="52" t="s">
        <v>5490</v>
      </c>
      <c r="E2838" s="9" t="s">
        <v>11</v>
      </c>
    </row>
    <row r="2839" spans="1:5" ht="15" customHeight="1" outlineLevel="2" x14ac:dyDescent="0.25">
      <c r="A2839" s="3" t="str">
        <f>HYPERLINK("http://mystore1.ru/price_items/search?utf8=%E2%9C%93&amp;oem=3543LGNE5RD","3543LGNE5RD")</f>
        <v>3543LGNE5RD</v>
      </c>
      <c r="B2839" s="1" t="s">
        <v>5491</v>
      </c>
      <c r="C2839" s="9" t="s">
        <v>5462</v>
      </c>
      <c r="D2839" s="52" t="s">
        <v>5492</v>
      </c>
      <c r="E2839" s="9" t="s">
        <v>11</v>
      </c>
    </row>
    <row r="2840" spans="1:5" ht="15" customHeight="1" outlineLevel="2" x14ac:dyDescent="0.25">
      <c r="A2840" s="3" t="str">
        <f>HYPERLINK("http://mystore1.ru/price_items/search?utf8=%E2%9C%93&amp;oem=3543LGNE5RV","3543LGNE5RV")</f>
        <v>3543LGNE5RV</v>
      </c>
      <c r="B2840" s="1" t="s">
        <v>5493</v>
      </c>
      <c r="C2840" s="9" t="s">
        <v>5462</v>
      </c>
      <c r="D2840" s="52" t="s">
        <v>5494</v>
      </c>
      <c r="E2840" s="9" t="s">
        <v>11</v>
      </c>
    </row>
    <row r="2841" spans="1:5" ht="15" customHeight="1" outlineLevel="2" x14ac:dyDescent="0.25">
      <c r="A2841" s="3" t="str">
        <f>HYPERLINK("http://mystore1.ru/price_items/search?utf8=%E2%9C%93&amp;oem=3543LGNH5FD","3543LGNH5FD")</f>
        <v>3543LGNH5FD</v>
      </c>
      <c r="B2841" s="1" t="s">
        <v>5495</v>
      </c>
      <c r="C2841" s="9" t="s">
        <v>5462</v>
      </c>
      <c r="D2841" s="52" t="s">
        <v>5496</v>
      </c>
      <c r="E2841" s="9" t="s">
        <v>11</v>
      </c>
    </row>
    <row r="2842" spans="1:5" ht="15" customHeight="1" outlineLevel="2" x14ac:dyDescent="0.25">
      <c r="A2842" s="3" t="str">
        <f>HYPERLINK("http://mystore1.ru/price_items/search?utf8=%E2%9C%93&amp;oem=3543LGNH5RD","3543LGNH5RD")</f>
        <v>3543LGNH5RD</v>
      </c>
      <c r="B2842" s="1" t="s">
        <v>5497</v>
      </c>
      <c r="C2842" s="9" t="s">
        <v>5462</v>
      </c>
      <c r="D2842" s="52" t="s">
        <v>5498</v>
      </c>
      <c r="E2842" s="9" t="s">
        <v>11</v>
      </c>
    </row>
    <row r="2843" spans="1:5" ht="15" customHeight="1" outlineLevel="2" x14ac:dyDescent="0.25">
      <c r="A2843" s="3" t="str">
        <f>HYPERLINK("http://mystore1.ru/price_items/search?utf8=%E2%9C%93&amp;oem=3543RCLE5RV","3543RCLE5RV")</f>
        <v>3543RCLE5RV</v>
      </c>
      <c r="B2843" s="1" t="s">
        <v>5499</v>
      </c>
      <c r="C2843" s="9" t="s">
        <v>5462</v>
      </c>
      <c r="D2843" s="52" t="s">
        <v>5500</v>
      </c>
      <c r="E2843" s="9" t="s">
        <v>11</v>
      </c>
    </row>
    <row r="2844" spans="1:5" ht="15" customHeight="1" outlineLevel="2" x14ac:dyDescent="0.25">
      <c r="A2844" s="3" t="str">
        <f>HYPERLINK("http://mystore1.ru/price_items/search?utf8=%E2%9C%93&amp;oem=3543RCLH5FD","3543RCLH5FD")</f>
        <v>3543RCLH5FD</v>
      </c>
      <c r="B2844" s="1" t="s">
        <v>5501</v>
      </c>
      <c r="C2844" s="9" t="s">
        <v>5462</v>
      </c>
      <c r="D2844" s="52" t="s">
        <v>5502</v>
      </c>
      <c r="E2844" s="9" t="s">
        <v>11</v>
      </c>
    </row>
    <row r="2845" spans="1:5" ht="15" customHeight="1" outlineLevel="2" x14ac:dyDescent="0.25">
      <c r="A2845" s="3" t="str">
        <f>HYPERLINK("http://mystore1.ru/price_items/search?utf8=%E2%9C%93&amp;oem=3543RCLH5RD","3543RCLH5RD")</f>
        <v>3543RCLH5RD</v>
      </c>
      <c r="B2845" s="1" t="s">
        <v>5503</v>
      </c>
      <c r="C2845" s="9" t="s">
        <v>5462</v>
      </c>
      <c r="D2845" s="52" t="s">
        <v>5504</v>
      </c>
      <c r="E2845" s="9" t="s">
        <v>11</v>
      </c>
    </row>
    <row r="2846" spans="1:5" ht="15" customHeight="1" outlineLevel="2" x14ac:dyDescent="0.25">
      <c r="A2846" s="3" t="str">
        <f>HYPERLINK("http://mystore1.ru/price_items/search?utf8=%E2%9C%93&amp;oem=3543RGNE5RD","3543RGNE5RD")</f>
        <v>3543RGNE5RD</v>
      </c>
      <c r="B2846" s="1" t="s">
        <v>5505</v>
      </c>
      <c r="C2846" s="9" t="s">
        <v>5462</v>
      </c>
      <c r="D2846" s="52" t="s">
        <v>5506</v>
      </c>
      <c r="E2846" s="9" t="s">
        <v>11</v>
      </c>
    </row>
    <row r="2847" spans="1:5" ht="15" customHeight="1" outlineLevel="2" x14ac:dyDescent="0.25">
      <c r="A2847" s="3" t="str">
        <f>HYPERLINK("http://mystore1.ru/price_items/search?utf8=%E2%9C%93&amp;oem=3543RGNE5RV","3543RGNE5RV")</f>
        <v>3543RGNE5RV</v>
      </c>
      <c r="B2847" s="1" t="s">
        <v>5507</v>
      </c>
      <c r="C2847" s="9" t="s">
        <v>5462</v>
      </c>
      <c r="D2847" s="52" t="s">
        <v>5508</v>
      </c>
      <c r="E2847" s="9" t="s">
        <v>11</v>
      </c>
    </row>
    <row r="2848" spans="1:5" ht="15" customHeight="1" outlineLevel="2" x14ac:dyDescent="0.25">
      <c r="A2848" s="3" t="str">
        <f>HYPERLINK("http://mystore1.ru/price_items/search?utf8=%E2%9C%93&amp;oem=3543RGNH5FD","3543RGNH5FD")</f>
        <v>3543RGNH5FD</v>
      </c>
      <c r="B2848" s="1" t="s">
        <v>5509</v>
      </c>
      <c r="C2848" s="9" t="s">
        <v>5462</v>
      </c>
      <c r="D2848" s="52" t="s">
        <v>5510</v>
      </c>
      <c r="E2848" s="9" t="s">
        <v>11</v>
      </c>
    </row>
    <row r="2849" spans="1:5" ht="15" customHeight="1" outlineLevel="2" x14ac:dyDescent="0.25">
      <c r="A2849" s="3" t="str">
        <f>HYPERLINK("http://mystore1.ru/price_items/search?utf8=%E2%9C%93&amp;oem=3543RGNH5RD","3543RGNH5RD")</f>
        <v>3543RGNH5RD</v>
      </c>
      <c r="B2849" s="1" t="s">
        <v>5511</v>
      </c>
      <c r="C2849" s="9" t="s">
        <v>5462</v>
      </c>
      <c r="D2849" s="52" t="s">
        <v>5512</v>
      </c>
      <c r="E2849" s="9" t="s">
        <v>11</v>
      </c>
    </row>
    <row r="2850" spans="1:5" outlineLevel="1" x14ac:dyDescent="0.25">
      <c r="A2850" s="2"/>
      <c r="B2850" s="6" t="s">
        <v>5513</v>
      </c>
      <c r="C2850" s="8"/>
      <c r="D2850" s="51"/>
      <c r="E2850" s="8"/>
    </row>
    <row r="2851" spans="1:5" ht="15" customHeight="1" outlineLevel="2" x14ac:dyDescent="0.25">
      <c r="A2851" s="3" t="str">
        <f>HYPERLINK("http://mystore1.ru/price_items/search?utf8=%E2%9C%93&amp;oem=3715ACL","3715ACL")</f>
        <v>3715ACL</v>
      </c>
      <c r="B2851" s="1" t="s">
        <v>5514</v>
      </c>
      <c r="C2851" s="9" t="s">
        <v>5515</v>
      </c>
      <c r="D2851" s="52" t="s">
        <v>5516</v>
      </c>
      <c r="E2851" s="9" t="s">
        <v>8</v>
      </c>
    </row>
    <row r="2852" spans="1:5" outlineLevel="1" x14ac:dyDescent="0.25">
      <c r="A2852" s="2"/>
      <c r="B2852" s="6" t="s">
        <v>5517</v>
      </c>
      <c r="C2852" s="8"/>
      <c r="D2852" s="53"/>
      <c r="E2852" s="8"/>
    </row>
    <row r="2853" spans="1:5" ht="15" customHeight="1" outlineLevel="2" x14ac:dyDescent="0.25">
      <c r="A2853" s="3" t="str">
        <f>HYPERLINK("http://mystore1.ru/price_items/search?utf8=%E2%9C%93&amp;oem=3731ACL3B","3731ACL3B")</f>
        <v>3731ACL3B</v>
      </c>
      <c r="B2853" s="1" t="s">
        <v>5518</v>
      </c>
      <c r="C2853" s="9" t="s">
        <v>5519</v>
      </c>
      <c r="D2853" s="52" t="s">
        <v>5520</v>
      </c>
      <c r="E2853" s="9" t="s">
        <v>8</v>
      </c>
    </row>
    <row r="2854" spans="1:5" ht="15" customHeight="1" outlineLevel="2" x14ac:dyDescent="0.25">
      <c r="A2854" s="3" t="str">
        <f>HYPERLINK("http://mystore1.ru/price_items/search?utf8=%E2%9C%93&amp;oem=3731ACLH3B","3731ACLH3B")</f>
        <v>3731ACLH3B</v>
      </c>
      <c r="B2854" s="1" t="s">
        <v>5521</v>
      </c>
      <c r="C2854" s="9" t="s">
        <v>5519</v>
      </c>
      <c r="D2854" s="52" t="s">
        <v>5522</v>
      </c>
      <c r="E2854" s="9" t="s">
        <v>8</v>
      </c>
    </row>
    <row r="2855" spans="1:5" ht="15" customHeight="1" outlineLevel="2" x14ac:dyDescent="0.25">
      <c r="A2855" s="3" t="str">
        <f>HYPERLINK("http://mystore1.ru/price_items/search?utf8=%E2%9C%93&amp;oem=3731AGN3B","3731AGN3B")</f>
        <v>3731AGN3B</v>
      </c>
      <c r="B2855" s="1" t="s">
        <v>5523</v>
      </c>
      <c r="C2855" s="9" t="s">
        <v>5519</v>
      </c>
      <c r="D2855" s="52" t="s">
        <v>5524</v>
      </c>
      <c r="E2855" s="9" t="s">
        <v>8</v>
      </c>
    </row>
    <row r="2856" spans="1:5" ht="15" customHeight="1" outlineLevel="2" x14ac:dyDescent="0.25">
      <c r="A2856" s="3" t="str">
        <f>HYPERLINK("http://mystore1.ru/price_items/search?utf8=%E2%9C%93&amp;oem=3731AGNBL3B","3731AGNBL3B")</f>
        <v>3731AGNBL3B</v>
      </c>
      <c r="B2856" s="1" t="s">
        <v>5525</v>
      </c>
      <c r="C2856" s="9" t="s">
        <v>5519</v>
      </c>
      <c r="D2856" s="52" t="s">
        <v>5526</v>
      </c>
      <c r="E2856" s="9" t="s">
        <v>8</v>
      </c>
    </row>
    <row r="2857" spans="1:5" ht="15" customHeight="1" outlineLevel="2" x14ac:dyDescent="0.25">
      <c r="A2857" s="3" t="str">
        <f>HYPERLINK("http://mystore1.ru/price_items/search?utf8=%E2%9C%93&amp;oem=3731AGNGN3B","3731AGNGN3B")</f>
        <v>3731AGNGN3B</v>
      </c>
      <c r="B2857" s="1" t="s">
        <v>5527</v>
      </c>
      <c r="C2857" s="9" t="s">
        <v>5519</v>
      </c>
      <c r="D2857" s="52" t="s">
        <v>5528</v>
      </c>
      <c r="E2857" s="9" t="s">
        <v>8</v>
      </c>
    </row>
    <row r="2858" spans="1:5" ht="15" customHeight="1" outlineLevel="2" x14ac:dyDescent="0.25">
      <c r="A2858" s="3" t="str">
        <f>HYPERLINK("http://mystore1.ru/price_items/search?utf8=%E2%9C%93&amp;oem=3731AKMV","3731AKMV")</f>
        <v>3731AKMV</v>
      </c>
      <c r="B2858" s="1" t="s">
        <v>5529</v>
      </c>
      <c r="C2858" s="9" t="s">
        <v>25</v>
      </c>
      <c r="D2858" s="52" t="s">
        <v>5530</v>
      </c>
      <c r="E2858" s="9" t="s">
        <v>27</v>
      </c>
    </row>
    <row r="2859" spans="1:5" ht="15" customHeight="1" outlineLevel="2" x14ac:dyDescent="0.25">
      <c r="A2859" s="3" t="str">
        <f>HYPERLINK("http://mystore1.ru/price_items/search?utf8=%E2%9C%93&amp;oem=3731ASCVS","3731ASCVS")</f>
        <v>3731ASCVS</v>
      </c>
      <c r="B2859" s="1" t="s">
        <v>5531</v>
      </c>
      <c r="C2859" s="9" t="s">
        <v>25</v>
      </c>
      <c r="D2859" s="52" t="s">
        <v>5532</v>
      </c>
      <c r="E2859" s="9" t="s">
        <v>27</v>
      </c>
    </row>
    <row r="2860" spans="1:5" ht="15" customHeight="1" outlineLevel="2" x14ac:dyDescent="0.25">
      <c r="A2860" s="3" t="str">
        <f>HYPERLINK("http://mystore1.ru/price_items/search?utf8=%E2%9C%93&amp;oem=3731ASMV","3731ASMV")</f>
        <v>3731ASMV</v>
      </c>
      <c r="B2860" s="1" t="s">
        <v>5533</v>
      </c>
      <c r="C2860" s="9" t="s">
        <v>25</v>
      </c>
      <c r="D2860" s="52" t="s">
        <v>5534</v>
      </c>
      <c r="E2860" s="9" t="s">
        <v>27</v>
      </c>
    </row>
    <row r="2861" spans="1:5" ht="15" customHeight="1" outlineLevel="2" x14ac:dyDescent="0.25">
      <c r="A2861" s="3" t="str">
        <f>HYPERLINK("http://mystore1.ru/price_items/search?utf8=%E2%9C%93&amp;oem=3731BCLV","3731BCLV")</f>
        <v>3731BCLV</v>
      </c>
      <c r="B2861" s="1" t="s">
        <v>5535</v>
      </c>
      <c r="C2861" s="9" t="s">
        <v>5519</v>
      </c>
      <c r="D2861" s="52" t="s">
        <v>5536</v>
      </c>
      <c r="E2861" s="9" t="s">
        <v>30</v>
      </c>
    </row>
    <row r="2862" spans="1:5" ht="15" customHeight="1" outlineLevel="2" x14ac:dyDescent="0.25">
      <c r="A2862" s="3" t="str">
        <f>HYPERLINK("http://mystore1.ru/price_items/search?utf8=%E2%9C%93&amp;oem=3731BCLVL","3731BCLVL")</f>
        <v>3731BCLVL</v>
      </c>
      <c r="B2862" s="1" t="s">
        <v>5537</v>
      </c>
      <c r="C2862" s="9" t="s">
        <v>5519</v>
      </c>
      <c r="D2862" s="52" t="s">
        <v>5538</v>
      </c>
      <c r="E2862" s="9" t="s">
        <v>30</v>
      </c>
    </row>
    <row r="2863" spans="1:5" ht="15" customHeight="1" outlineLevel="2" x14ac:dyDescent="0.25">
      <c r="A2863" s="3" t="str">
        <f>HYPERLINK("http://mystore1.ru/price_items/search?utf8=%E2%9C%93&amp;oem=3731BCLVLU1J","3731BCLVLU1J")</f>
        <v>3731BCLVLU1J</v>
      </c>
      <c r="B2863" s="1" t="s">
        <v>5539</v>
      </c>
      <c r="C2863" s="9" t="s">
        <v>2692</v>
      </c>
      <c r="D2863" s="52" t="s">
        <v>5540</v>
      </c>
      <c r="E2863" s="9" t="s">
        <v>30</v>
      </c>
    </row>
    <row r="2864" spans="1:5" ht="15" customHeight="1" outlineLevel="2" x14ac:dyDescent="0.25">
      <c r="A2864" s="3" t="str">
        <f>HYPERLINK("http://mystore1.ru/price_items/search?utf8=%E2%9C%93&amp;oem=3731BCLVR","3731BCLVR")</f>
        <v>3731BCLVR</v>
      </c>
      <c r="B2864" s="1" t="s">
        <v>5541</v>
      </c>
      <c r="C2864" s="9" t="s">
        <v>5519</v>
      </c>
      <c r="D2864" s="52" t="s">
        <v>5542</v>
      </c>
      <c r="E2864" s="9" t="s">
        <v>30</v>
      </c>
    </row>
    <row r="2865" spans="1:5" ht="15" customHeight="1" outlineLevel="2" x14ac:dyDescent="0.25">
      <c r="A2865" s="3" t="str">
        <f>HYPERLINK("http://mystore1.ru/price_items/search?utf8=%E2%9C%93&amp;oem=3731BCLVRU1J","3731BCLVRU1J")</f>
        <v>3731BCLVRU1J</v>
      </c>
      <c r="B2865" s="1" t="s">
        <v>5543</v>
      </c>
      <c r="C2865" s="9" t="s">
        <v>2692</v>
      </c>
      <c r="D2865" s="52" t="s">
        <v>5544</v>
      </c>
      <c r="E2865" s="9" t="s">
        <v>30</v>
      </c>
    </row>
    <row r="2866" spans="1:5" ht="15" customHeight="1" outlineLevel="2" x14ac:dyDescent="0.25">
      <c r="A2866" s="3" t="str">
        <f>HYPERLINK("http://mystore1.ru/price_items/search?utf8=%E2%9C%93&amp;oem=3731BCLVU","3731BCLVU")</f>
        <v>3731BCLVU</v>
      </c>
      <c r="B2866" s="1" t="s">
        <v>5545</v>
      </c>
      <c r="C2866" s="9" t="s">
        <v>5519</v>
      </c>
      <c r="D2866" s="52" t="s">
        <v>5546</v>
      </c>
      <c r="E2866" s="9" t="s">
        <v>30</v>
      </c>
    </row>
    <row r="2867" spans="1:5" ht="15" customHeight="1" outlineLevel="2" x14ac:dyDescent="0.25">
      <c r="A2867" s="3" t="str">
        <f>HYPERLINK("http://mystore1.ru/price_items/search?utf8=%E2%9C%93&amp;oem=3731LCLV2FD","3731LCLV2FD")</f>
        <v>3731LCLV2FD</v>
      </c>
      <c r="B2867" s="1" t="s">
        <v>5547</v>
      </c>
      <c r="C2867" s="9" t="s">
        <v>5519</v>
      </c>
      <c r="D2867" s="52" t="s">
        <v>5548</v>
      </c>
      <c r="E2867" s="9" t="s">
        <v>11</v>
      </c>
    </row>
    <row r="2868" spans="1:5" ht="15" customHeight="1" outlineLevel="2" x14ac:dyDescent="0.25">
      <c r="A2868" s="3" t="str">
        <f>HYPERLINK("http://mystore1.ru/price_items/search?utf8=%E2%9C%93&amp;oem=3731LCLV2FV","3731LCLV2FV")</f>
        <v>3731LCLV2FV</v>
      </c>
      <c r="B2868" s="1" t="s">
        <v>5549</v>
      </c>
      <c r="C2868" s="9" t="s">
        <v>5519</v>
      </c>
      <c r="D2868" s="52" t="s">
        <v>5550</v>
      </c>
      <c r="E2868" s="9" t="s">
        <v>11</v>
      </c>
    </row>
    <row r="2869" spans="1:5" ht="15" customHeight="1" outlineLevel="2" x14ac:dyDescent="0.25">
      <c r="A2869" s="3" t="str">
        <f>HYPERLINK("http://mystore1.ru/price_items/search?utf8=%E2%9C%93&amp;oem=3731LCLV2MQ","3731LCLV2MQ")</f>
        <v>3731LCLV2MQ</v>
      </c>
      <c r="B2869" s="1" t="s">
        <v>5551</v>
      </c>
      <c r="C2869" s="9" t="s">
        <v>5519</v>
      </c>
      <c r="D2869" s="52" t="s">
        <v>5552</v>
      </c>
      <c r="E2869" s="9" t="s">
        <v>11</v>
      </c>
    </row>
    <row r="2870" spans="1:5" ht="15" customHeight="1" outlineLevel="2" x14ac:dyDescent="0.25">
      <c r="A2870" s="3" t="str">
        <f>HYPERLINK("http://mystore1.ru/price_items/search?utf8=%E2%9C%93&amp;oem=3731LSMVMQ","3731LSMVMQ")</f>
        <v>3731LSMVMQ</v>
      </c>
      <c r="B2870" s="1" t="s">
        <v>5553</v>
      </c>
      <c r="C2870" s="9" t="s">
        <v>25</v>
      </c>
      <c r="D2870" s="52" t="s">
        <v>5554</v>
      </c>
      <c r="E2870" s="9" t="s">
        <v>27</v>
      </c>
    </row>
    <row r="2871" spans="1:5" ht="15" customHeight="1" outlineLevel="2" x14ac:dyDescent="0.25">
      <c r="A2871" s="3" t="str">
        <f>HYPERLINK("http://mystore1.ru/price_items/search?utf8=%E2%9C%93&amp;oem=3731LSMVRQ","3731LSMVRQ")</f>
        <v>3731LSMVRQ</v>
      </c>
      <c r="B2871" s="1" t="s">
        <v>5555</v>
      </c>
      <c r="C2871" s="9" t="s">
        <v>25</v>
      </c>
      <c r="D2871" s="52" t="s">
        <v>5556</v>
      </c>
      <c r="E2871" s="9" t="s">
        <v>27</v>
      </c>
    </row>
    <row r="2872" spans="1:5" ht="15" customHeight="1" outlineLevel="2" x14ac:dyDescent="0.25">
      <c r="A2872" s="3" t="str">
        <f>HYPERLINK("http://mystore1.ru/price_items/search?utf8=%E2%9C%93&amp;oem=3731LCLV2RQ","3731LCLV2RQ")</f>
        <v>3731LCLV2RQ</v>
      </c>
      <c r="B2872" s="1" t="s">
        <v>5557</v>
      </c>
      <c r="C2872" s="9" t="s">
        <v>5519</v>
      </c>
      <c r="D2872" s="52" t="s">
        <v>5558</v>
      </c>
      <c r="E2872" s="9" t="s">
        <v>11</v>
      </c>
    </row>
    <row r="2873" spans="1:5" ht="15" customHeight="1" outlineLevel="2" x14ac:dyDescent="0.25">
      <c r="A2873" s="3" t="str">
        <f>HYPERLINK("http://mystore1.ru/price_items/search?utf8=%E2%9C%93&amp;oem=3731LGNV2FD","3731LGNV2FD")</f>
        <v>3731LGNV2FD</v>
      </c>
      <c r="B2873" s="1" t="s">
        <v>5559</v>
      </c>
      <c r="C2873" s="9" t="s">
        <v>5519</v>
      </c>
      <c r="D2873" s="52" t="s">
        <v>5560</v>
      </c>
      <c r="E2873" s="9" t="s">
        <v>11</v>
      </c>
    </row>
    <row r="2874" spans="1:5" ht="15" customHeight="1" outlineLevel="2" x14ac:dyDescent="0.25">
      <c r="A2874" s="3" t="str">
        <f>HYPERLINK("http://mystore1.ru/price_items/search?utf8=%E2%9C%93&amp;oem=3731LGNV2FV","3731LGNV2FV")</f>
        <v>3731LGNV2FV</v>
      </c>
      <c r="B2874" s="1" t="s">
        <v>5561</v>
      </c>
      <c r="C2874" s="9" t="s">
        <v>5519</v>
      </c>
      <c r="D2874" s="52" t="s">
        <v>5562</v>
      </c>
      <c r="E2874" s="9" t="s">
        <v>11</v>
      </c>
    </row>
    <row r="2875" spans="1:5" ht="15" customHeight="1" outlineLevel="2" x14ac:dyDescent="0.25">
      <c r="A2875" s="3" t="str">
        <f>HYPERLINK("http://mystore1.ru/price_items/search?utf8=%E2%9C%93&amp;oem=3731RCLV2FD","3731RCLV2FD")</f>
        <v>3731RCLV2FD</v>
      </c>
      <c r="B2875" s="1" t="s">
        <v>5563</v>
      </c>
      <c r="C2875" s="9" t="s">
        <v>5519</v>
      </c>
      <c r="D2875" s="52" t="s">
        <v>5564</v>
      </c>
      <c r="E2875" s="9" t="s">
        <v>11</v>
      </c>
    </row>
    <row r="2876" spans="1:5" ht="15" customHeight="1" outlineLevel="2" x14ac:dyDescent="0.25">
      <c r="A2876" s="3" t="str">
        <f>HYPERLINK("http://mystore1.ru/price_items/search?utf8=%E2%9C%93&amp;oem=3731RCLV2FV","3731RCLV2FV")</f>
        <v>3731RCLV2FV</v>
      </c>
      <c r="B2876" s="1" t="s">
        <v>5565</v>
      </c>
      <c r="C2876" s="9" t="s">
        <v>5519</v>
      </c>
      <c r="D2876" s="52" t="s">
        <v>5564</v>
      </c>
      <c r="E2876" s="9" t="s">
        <v>11</v>
      </c>
    </row>
    <row r="2877" spans="1:5" ht="15" customHeight="1" outlineLevel="2" x14ac:dyDescent="0.25">
      <c r="A2877" s="3" t="str">
        <f>HYPERLINK("http://mystore1.ru/price_items/search?utf8=%E2%9C%93&amp;oem=3731RCLV2MQ","3731RCLV2MQ")</f>
        <v>3731RCLV2MQ</v>
      </c>
      <c r="B2877" s="1" t="s">
        <v>5566</v>
      </c>
      <c r="C2877" s="9" t="s">
        <v>5519</v>
      </c>
      <c r="D2877" s="52" t="s">
        <v>5567</v>
      </c>
      <c r="E2877" s="9" t="s">
        <v>11</v>
      </c>
    </row>
    <row r="2878" spans="1:5" ht="15" customHeight="1" outlineLevel="2" x14ac:dyDescent="0.25">
      <c r="A2878" s="3" t="str">
        <f>HYPERLINK("http://mystore1.ru/price_items/search?utf8=%E2%9C%93&amp;oem=3731RCLV2MQF","3731RCLV2MQF")</f>
        <v>3731RCLV2MQF</v>
      </c>
      <c r="B2878" s="1" t="s">
        <v>5568</v>
      </c>
      <c r="C2878" s="9" t="s">
        <v>5519</v>
      </c>
      <c r="D2878" s="52" t="s">
        <v>5569</v>
      </c>
      <c r="E2878" s="9" t="s">
        <v>11</v>
      </c>
    </row>
    <row r="2879" spans="1:5" ht="15" customHeight="1" outlineLevel="2" x14ac:dyDescent="0.25">
      <c r="A2879" s="3" t="str">
        <f>HYPERLINK("http://mystore1.ru/price_items/search?utf8=%E2%9C%93&amp;oem=3731RCLV2RQ","3731RCLV2RQ")</f>
        <v>3731RCLV2RQ</v>
      </c>
      <c r="B2879" s="1" t="s">
        <v>5570</v>
      </c>
      <c r="C2879" s="9" t="s">
        <v>5519</v>
      </c>
      <c r="D2879" s="52" t="s">
        <v>5571</v>
      </c>
      <c r="E2879" s="9" t="s">
        <v>11</v>
      </c>
    </row>
    <row r="2880" spans="1:5" ht="15" customHeight="1" outlineLevel="2" x14ac:dyDescent="0.25">
      <c r="A2880" s="3" t="str">
        <f>HYPERLINK("http://mystore1.ru/price_items/search?utf8=%E2%9C%93&amp;oem=3731RGNV2FD","3731RGNV2FD")</f>
        <v>3731RGNV2FD</v>
      </c>
      <c r="B2880" s="1" t="s">
        <v>5572</v>
      </c>
      <c r="C2880" s="9" t="s">
        <v>5519</v>
      </c>
      <c r="D2880" s="52" t="s">
        <v>5573</v>
      </c>
      <c r="E2880" s="9" t="s">
        <v>11</v>
      </c>
    </row>
    <row r="2881" spans="1:5" ht="15" customHeight="1" outlineLevel="2" x14ac:dyDescent="0.25">
      <c r="A2881" s="3" t="str">
        <f>HYPERLINK("http://mystore1.ru/price_items/search?utf8=%E2%9C%93&amp;oem=3731RGNV2FV","3731RGNV2FV")</f>
        <v>3731RGNV2FV</v>
      </c>
      <c r="B2881" s="1" t="s">
        <v>5574</v>
      </c>
      <c r="C2881" s="9" t="s">
        <v>5519</v>
      </c>
      <c r="D2881" s="52" t="s">
        <v>5575</v>
      </c>
      <c r="E2881" s="9" t="s">
        <v>11</v>
      </c>
    </row>
    <row r="2882" spans="1:5" outlineLevel="1" x14ac:dyDescent="0.25">
      <c r="A2882" s="2"/>
      <c r="B2882" s="6" t="s">
        <v>5576</v>
      </c>
      <c r="C2882" s="8"/>
      <c r="D2882" s="51"/>
      <c r="E2882" s="8"/>
    </row>
    <row r="2883" spans="1:5" ht="15" customHeight="1" outlineLevel="2" x14ac:dyDescent="0.25">
      <c r="A2883" s="3" t="str">
        <f>HYPERLINK("http://mystore1.ru/price_items/search?utf8=%E2%9C%93&amp;oem=3739ACL","3739ACL")</f>
        <v>3739ACL</v>
      </c>
      <c r="B2883" s="1" t="s">
        <v>5577</v>
      </c>
      <c r="C2883" s="9" t="s">
        <v>1499</v>
      </c>
      <c r="D2883" s="14" t="s">
        <v>5578</v>
      </c>
      <c r="E2883" s="9" t="s">
        <v>8</v>
      </c>
    </row>
    <row r="2884" spans="1:5" ht="15" customHeight="1" outlineLevel="2" x14ac:dyDescent="0.25">
      <c r="A2884" s="3" t="str">
        <f>HYPERLINK("http://mystore1.ru/price_items/search?utf8=%E2%9C%93&amp;oem=3739ACLV1B","3739ACLV1B")</f>
        <v>3739ACLV1B</v>
      </c>
      <c r="B2884" s="1" t="s">
        <v>5579</v>
      </c>
      <c r="C2884" s="9" t="s">
        <v>687</v>
      </c>
      <c r="D2884" s="14" t="s">
        <v>5580</v>
      </c>
      <c r="E2884" s="9" t="s">
        <v>8</v>
      </c>
    </row>
    <row r="2885" spans="1:5" ht="15" customHeight="1" outlineLevel="2" x14ac:dyDescent="0.25">
      <c r="A2885" s="3" t="str">
        <f>HYPERLINK("http://mystore1.ru/price_items/search?utf8=%E2%9C%93&amp;oem=3739ACLV1P","3739ACLV1P")</f>
        <v>3739ACLV1P</v>
      </c>
      <c r="B2885" s="1" t="s">
        <v>5581</v>
      </c>
      <c r="C2885" s="9" t="s">
        <v>687</v>
      </c>
      <c r="D2885" s="14" t="s">
        <v>5582</v>
      </c>
      <c r="E2885" s="9" t="s">
        <v>8</v>
      </c>
    </row>
    <row r="2886" spans="1:5" ht="15" customHeight="1" outlineLevel="2" x14ac:dyDescent="0.25">
      <c r="A2886" s="3" t="str">
        <f>HYPERLINK("http://mystore1.ru/price_items/search?utf8=%E2%9C%93&amp;oem=3739AGN","3739AGN")</f>
        <v>3739AGN</v>
      </c>
      <c r="B2886" s="1" t="s">
        <v>5583</v>
      </c>
      <c r="C2886" s="9" t="s">
        <v>1499</v>
      </c>
      <c r="D2886" s="14" t="s">
        <v>5584</v>
      </c>
      <c r="E2886" s="9" t="s">
        <v>8</v>
      </c>
    </row>
    <row r="2887" spans="1:5" ht="15" customHeight="1" outlineLevel="2" x14ac:dyDescent="0.25">
      <c r="A2887" s="3" t="str">
        <f>HYPERLINK("http://mystore1.ru/price_items/search?utf8=%E2%9C%93&amp;oem=3739AGNBL","3739AGNBL")</f>
        <v>3739AGNBL</v>
      </c>
      <c r="B2887" s="1" t="s">
        <v>5585</v>
      </c>
      <c r="C2887" s="9" t="s">
        <v>1499</v>
      </c>
      <c r="D2887" s="14" t="s">
        <v>5586</v>
      </c>
      <c r="E2887" s="9" t="s">
        <v>8</v>
      </c>
    </row>
    <row r="2888" spans="1:5" ht="15" customHeight="1" outlineLevel="2" x14ac:dyDescent="0.25">
      <c r="A2888" s="3" t="str">
        <f>HYPERLINK("http://mystore1.ru/price_items/search?utf8=%E2%9C%93&amp;oem=3739AGNH","3739AGNH")</f>
        <v>3739AGNH</v>
      </c>
      <c r="B2888" s="1" t="s">
        <v>5587</v>
      </c>
      <c r="C2888" s="9" t="s">
        <v>1499</v>
      </c>
      <c r="D2888" s="14" t="s">
        <v>5588</v>
      </c>
      <c r="E2888" s="9" t="s">
        <v>8</v>
      </c>
    </row>
    <row r="2889" spans="1:5" ht="15" customHeight="1" outlineLevel="2" x14ac:dyDescent="0.25">
      <c r="A2889" s="3" t="str">
        <f>HYPERLINK("http://mystore1.ru/price_items/search?utf8=%E2%9C%93&amp;oem=3739AGNHMV1P","3739AGNHMV1P")</f>
        <v>3739AGNHMV1P</v>
      </c>
      <c r="B2889" s="1" t="s">
        <v>5589</v>
      </c>
      <c r="C2889" s="9" t="s">
        <v>687</v>
      </c>
      <c r="D2889" s="14" t="s">
        <v>5590</v>
      </c>
      <c r="E2889" s="9" t="s">
        <v>8</v>
      </c>
    </row>
    <row r="2890" spans="1:5" ht="15" customHeight="1" outlineLevel="2" x14ac:dyDescent="0.25">
      <c r="A2890" s="3" t="str">
        <f>HYPERLINK("http://mystore1.ru/price_items/search?utf8=%E2%9C%93&amp;oem=3739AGNV1B","3739AGNV1B")</f>
        <v>3739AGNV1B</v>
      </c>
      <c r="B2890" s="1" t="s">
        <v>5591</v>
      </c>
      <c r="C2890" s="9" t="s">
        <v>687</v>
      </c>
      <c r="D2890" s="14" t="s">
        <v>5592</v>
      </c>
      <c r="E2890" s="9" t="s">
        <v>8</v>
      </c>
    </row>
    <row r="2891" spans="1:5" ht="15" customHeight="1" outlineLevel="2" x14ac:dyDescent="0.25">
      <c r="A2891" s="3" t="str">
        <f>HYPERLINK("http://mystore1.ru/price_items/search?utf8=%E2%9C%93&amp;oem=3739AGNV1P","3739AGNV1P")</f>
        <v>3739AGNV1P</v>
      </c>
      <c r="B2891" s="1" t="s">
        <v>5593</v>
      </c>
      <c r="C2891" s="9" t="s">
        <v>687</v>
      </c>
      <c r="D2891" s="14" t="s">
        <v>5594</v>
      </c>
      <c r="E2891" s="9" t="s">
        <v>8</v>
      </c>
    </row>
    <row r="2892" spans="1:5" ht="15" customHeight="1" outlineLevel="2" x14ac:dyDescent="0.25">
      <c r="A2892" s="3" t="str">
        <f>HYPERLINK("http://mystore1.ru/price_items/search?utf8=%E2%9C%93&amp;oem=3739AKCVS1F","3739AKCVS1F")</f>
        <v>3739AKCVS1F</v>
      </c>
      <c r="B2892" s="1" t="s">
        <v>5595</v>
      </c>
      <c r="C2892" s="9" t="s">
        <v>25</v>
      </c>
      <c r="D2892" s="14" t="s">
        <v>5596</v>
      </c>
      <c r="E2892" s="9" t="s">
        <v>27</v>
      </c>
    </row>
    <row r="2893" spans="1:5" ht="15" customHeight="1" outlineLevel="2" x14ac:dyDescent="0.25">
      <c r="A2893" s="3" t="str">
        <f>HYPERLINK("http://mystore1.ru/price_items/search?utf8=%E2%9C%93&amp;oem=3739AKMV","3739AKMV")</f>
        <v>3739AKMV</v>
      </c>
      <c r="B2893" s="1" t="s">
        <v>5597</v>
      </c>
      <c r="C2893" s="9" t="s">
        <v>25</v>
      </c>
      <c r="D2893" s="14" t="s">
        <v>5598</v>
      </c>
      <c r="E2893" s="9" t="s">
        <v>27</v>
      </c>
    </row>
    <row r="2894" spans="1:5" ht="15" customHeight="1" outlineLevel="2" x14ac:dyDescent="0.25">
      <c r="A2894" s="3" t="str">
        <f>HYPERLINK("http://mystore1.ru/price_items/search?utf8=%E2%9C%93&amp;oem=3739ASMVT","3739ASMVT")</f>
        <v>3739ASMVT</v>
      </c>
      <c r="B2894" s="1" t="s">
        <v>5599</v>
      </c>
      <c r="C2894" s="9" t="s">
        <v>25</v>
      </c>
      <c r="D2894" s="14" t="s">
        <v>5600</v>
      </c>
      <c r="E2894" s="9" t="s">
        <v>27</v>
      </c>
    </row>
    <row r="2895" spans="1:5" ht="15" customHeight="1" outlineLevel="2" x14ac:dyDescent="0.25">
      <c r="A2895" s="3" t="str">
        <f>HYPERLINK("http://mystore1.ru/price_items/search?utf8=%E2%9C%93&amp;oem=3739BGNVL1H","3739BGNVL1H")</f>
        <v>3739BGNVL1H</v>
      </c>
      <c r="B2895" s="1" t="s">
        <v>5601</v>
      </c>
      <c r="C2895" s="9" t="s">
        <v>1499</v>
      </c>
      <c r="D2895" s="14" t="s">
        <v>5602</v>
      </c>
      <c r="E2895" s="9" t="s">
        <v>30</v>
      </c>
    </row>
    <row r="2896" spans="1:5" ht="15" customHeight="1" outlineLevel="2" x14ac:dyDescent="0.25">
      <c r="A2896" s="3" t="str">
        <f>HYPERLINK("http://mystore1.ru/price_items/search?utf8=%E2%9C%93&amp;oem=3739BGNVLU","3739BGNVLU")</f>
        <v>3739BGNVLU</v>
      </c>
      <c r="B2896" s="1" t="s">
        <v>5603</v>
      </c>
      <c r="C2896" s="9" t="s">
        <v>1499</v>
      </c>
      <c r="D2896" s="14" t="s">
        <v>5604</v>
      </c>
      <c r="E2896" s="9" t="s">
        <v>30</v>
      </c>
    </row>
    <row r="2897" spans="1:5" ht="15" customHeight="1" outlineLevel="2" x14ac:dyDescent="0.25">
      <c r="A2897" s="3" t="str">
        <f>HYPERLINK("http://mystore1.ru/price_items/search?utf8=%E2%9C%93&amp;oem=3739BGNVR","3739BGNVR")</f>
        <v>3739BGNVR</v>
      </c>
      <c r="B2897" s="1" t="s">
        <v>5605</v>
      </c>
      <c r="C2897" s="9" t="s">
        <v>1499</v>
      </c>
      <c r="D2897" s="14" t="s">
        <v>5606</v>
      </c>
      <c r="E2897" s="9" t="s">
        <v>30</v>
      </c>
    </row>
    <row r="2898" spans="1:5" ht="15" customHeight="1" outlineLevel="2" x14ac:dyDescent="0.25">
      <c r="A2898" s="3" t="str">
        <f>HYPERLINK("http://mystore1.ru/price_items/search?utf8=%E2%9C%93&amp;oem=3739BGNVR1H","3739BGNVR1H")</f>
        <v>3739BGNVR1H</v>
      </c>
      <c r="B2898" s="1" t="s">
        <v>5607</v>
      </c>
      <c r="C2898" s="9" t="s">
        <v>1499</v>
      </c>
      <c r="D2898" s="14" t="s">
        <v>5608</v>
      </c>
      <c r="E2898" s="9" t="s">
        <v>30</v>
      </c>
    </row>
    <row r="2899" spans="1:5" ht="15" customHeight="1" outlineLevel="2" x14ac:dyDescent="0.25">
      <c r="A2899" s="3" t="str">
        <f>HYPERLINK("http://mystore1.ru/price_items/search?utf8=%E2%9C%93&amp;oem=3739BGNVRU","3739BGNVRU")</f>
        <v>3739BGNVRU</v>
      </c>
      <c r="B2899" s="1" t="s">
        <v>5609</v>
      </c>
      <c r="C2899" s="9" t="s">
        <v>1499</v>
      </c>
      <c r="D2899" s="14" t="s">
        <v>5610</v>
      </c>
      <c r="E2899" s="9" t="s">
        <v>30</v>
      </c>
    </row>
    <row r="2900" spans="1:5" ht="15" customHeight="1" outlineLevel="2" x14ac:dyDescent="0.25">
      <c r="A2900" s="3" t="str">
        <f>HYPERLINK("http://mystore1.ru/price_items/search?utf8=%E2%9C%93&amp;oem=3739BGNVL","3739BGNVL")</f>
        <v>3739BGNVL</v>
      </c>
      <c r="B2900" s="1" t="s">
        <v>5611</v>
      </c>
      <c r="C2900" s="9" t="s">
        <v>1499</v>
      </c>
      <c r="D2900" s="14" t="s">
        <v>5612</v>
      </c>
      <c r="E2900" s="9" t="s">
        <v>30</v>
      </c>
    </row>
    <row r="2901" spans="1:5" ht="15" customHeight="1" outlineLevel="2" x14ac:dyDescent="0.25">
      <c r="A2901" s="3" t="str">
        <f>HYPERLINK("http://mystore1.ru/price_items/search?utf8=%E2%9C%93&amp;oem=3739LCLV2FD","3739LCLV2FD")</f>
        <v>3739LCLV2FD</v>
      </c>
      <c r="B2901" s="1" t="s">
        <v>5613</v>
      </c>
      <c r="C2901" s="9" t="s">
        <v>1499</v>
      </c>
      <c r="D2901" s="14" t="s">
        <v>5614</v>
      </c>
      <c r="E2901" s="9" t="s">
        <v>11</v>
      </c>
    </row>
    <row r="2902" spans="1:5" ht="15" customHeight="1" outlineLevel="2" x14ac:dyDescent="0.25">
      <c r="A2902" s="3" t="str">
        <f>HYPERLINK("http://mystore1.ru/price_items/search?utf8=%E2%9C%93&amp;oem=3739LGNV2FD","3739LGNV2FD")</f>
        <v>3739LGNV2FD</v>
      </c>
      <c r="B2902" s="1" t="s">
        <v>5615</v>
      </c>
      <c r="C2902" s="9" t="s">
        <v>1499</v>
      </c>
      <c r="D2902" s="14" t="s">
        <v>5616</v>
      </c>
      <c r="E2902" s="9" t="s">
        <v>11</v>
      </c>
    </row>
    <row r="2903" spans="1:5" ht="15" customHeight="1" outlineLevel="2" x14ac:dyDescent="0.25">
      <c r="A2903" s="3" t="str">
        <f>HYPERLINK("http://mystore1.ru/price_items/search?utf8=%E2%9C%93&amp;oem=3739LGNV2FVZ","3739LGNV2FVZ")</f>
        <v>3739LGNV2FVZ</v>
      </c>
      <c r="B2903" s="1" t="s">
        <v>5617</v>
      </c>
      <c r="C2903" s="9" t="s">
        <v>1499</v>
      </c>
      <c r="D2903" s="14" t="s">
        <v>5618</v>
      </c>
      <c r="E2903" s="9" t="s">
        <v>11</v>
      </c>
    </row>
    <row r="2904" spans="1:5" ht="15" customHeight="1" outlineLevel="2" x14ac:dyDescent="0.25">
      <c r="A2904" s="3" t="str">
        <f>HYPERLINK("http://mystore1.ru/price_items/search?utf8=%E2%9C%93&amp;oem=3739LGNV3MQ","3739LGNV3MQ")</f>
        <v>3739LGNV3MQ</v>
      </c>
      <c r="B2904" s="1" t="s">
        <v>5619</v>
      </c>
      <c r="C2904" s="9" t="s">
        <v>1499</v>
      </c>
      <c r="D2904" s="14" t="s">
        <v>5620</v>
      </c>
      <c r="E2904" s="9" t="s">
        <v>11</v>
      </c>
    </row>
    <row r="2905" spans="1:5" ht="15" customHeight="1" outlineLevel="2" x14ac:dyDescent="0.25">
      <c r="A2905" s="3" t="str">
        <f>HYPERLINK("http://mystore1.ru/price_items/search?utf8=%E2%9C%93&amp;oem=3739LGNV3RQ","3739LGNV3RQ")</f>
        <v>3739LGNV3RQ</v>
      </c>
      <c r="B2905" s="1" t="s">
        <v>5621</v>
      </c>
      <c r="C2905" s="9" t="s">
        <v>1499</v>
      </c>
      <c r="D2905" s="14" t="s">
        <v>5622</v>
      </c>
      <c r="E2905" s="9" t="s">
        <v>11</v>
      </c>
    </row>
    <row r="2906" spans="1:5" ht="15" customHeight="1" outlineLevel="2" x14ac:dyDescent="0.25">
      <c r="A2906" s="3" t="str">
        <f>HYPERLINK("http://mystore1.ru/price_items/search?utf8=%E2%9C%93&amp;oem=3739RCLV2FD","3739RCLV2FD")</f>
        <v>3739RCLV2FD</v>
      </c>
      <c r="B2906" s="1" t="s">
        <v>5623</v>
      </c>
      <c r="C2906" s="9" t="s">
        <v>1499</v>
      </c>
      <c r="D2906" s="14" t="s">
        <v>5624</v>
      </c>
      <c r="E2906" s="9" t="s">
        <v>11</v>
      </c>
    </row>
    <row r="2907" spans="1:5" ht="15" customHeight="1" outlineLevel="2" x14ac:dyDescent="0.25">
      <c r="A2907" s="3" t="str">
        <f>HYPERLINK("http://mystore1.ru/price_items/search?utf8=%E2%9C%93&amp;oem=3739RGNV2FD","3739RGNV2FD")</f>
        <v>3739RGNV2FD</v>
      </c>
      <c r="B2907" s="1" t="s">
        <v>5625</v>
      </c>
      <c r="C2907" s="9" t="s">
        <v>1499</v>
      </c>
      <c r="D2907" s="14" t="s">
        <v>5626</v>
      </c>
      <c r="E2907" s="9" t="s">
        <v>11</v>
      </c>
    </row>
    <row r="2908" spans="1:5" ht="15" customHeight="1" outlineLevel="2" x14ac:dyDescent="0.25">
      <c r="A2908" s="3" t="str">
        <f>HYPERLINK("http://mystore1.ru/price_items/search?utf8=%E2%9C%93&amp;oem=3739RGNV2FVZ","3739RGNV2FVZ")</f>
        <v>3739RGNV2FVZ</v>
      </c>
      <c r="B2908" s="1" t="s">
        <v>5627</v>
      </c>
      <c r="C2908" s="9" t="s">
        <v>1499</v>
      </c>
      <c r="D2908" s="14" t="s">
        <v>5628</v>
      </c>
      <c r="E2908" s="9" t="s">
        <v>11</v>
      </c>
    </row>
    <row r="2909" spans="1:5" ht="15" customHeight="1" outlineLevel="2" x14ac:dyDescent="0.25">
      <c r="A2909" s="3" t="str">
        <f>HYPERLINK("http://mystore1.ru/price_items/search?utf8=%E2%9C%93&amp;oem=3739RGNV3MQ","3739RGNV3MQ")</f>
        <v>3739RGNV3MQ</v>
      </c>
      <c r="B2909" s="1" t="s">
        <v>5629</v>
      </c>
      <c r="C2909" s="9" t="s">
        <v>1499</v>
      </c>
      <c r="D2909" s="14" t="s">
        <v>5630</v>
      </c>
      <c r="E2909" s="9" t="s">
        <v>11</v>
      </c>
    </row>
    <row r="2910" spans="1:5" ht="15" customHeight="1" outlineLevel="2" x14ac:dyDescent="0.25">
      <c r="A2910" s="3" t="str">
        <f>HYPERLINK("http://mystore1.ru/price_items/search?utf8=%E2%9C%93&amp;oem=3739RGNV3RQ","3739RGNV3RQ")</f>
        <v>3739RGNV3RQ</v>
      </c>
      <c r="B2910" s="1" t="s">
        <v>5631</v>
      </c>
      <c r="C2910" s="9" t="s">
        <v>1499</v>
      </c>
      <c r="D2910" s="14" t="s">
        <v>5632</v>
      </c>
      <c r="E2910" s="9" t="s">
        <v>11</v>
      </c>
    </row>
    <row r="2911" spans="1:5" outlineLevel="1" x14ac:dyDescent="0.25">
      <c r="A2911" s="2"/>
      <c r="B2911" s="6" t="s">
        <v>5633</v>
      </c>
      <c r="C2911" s="8"/>
      <c r="D2911" s="8"/>
      <c r="E2911" s="8"/>
    </row>
    <row r="2912" spans="1:5" ht="15" customHeight="1" outlineLevel="2" x14ac:dyDescent="0.25">
      <c r="A2912" s="3" t="str">
        <f>HYPERLINK("http://mystore1.ru/price_items/search?utf8=%E2%9C%93&amp;oem=3743AGNHV","3743AGNHV")</f>
        <v>3743AGNHV</v>
      </c>
      <c r="B2912" s="1" t="s">
        <v>5634</v>
      </c>
      <c r="C2912" s="9" t="s">
        <v>1888</v>
      </c>
      <c r="D2912" s="14" t="s">
        <v>5635</v>
      </c>
      <c r="E2912" s="9" t="s">
        <v>8</v>
      </c>
    </row>
    <row r="2913" spans="1:5" ht="15" customHeight="1" outlineLevel="2" x14ac:dyDescent="0.25">
      <c r="A2913" s="3" t="str">
        <f>HYPERLINK("http://mystore1.ru/price_items/search?utf8=%E2%9C%93&amp;oem=3743AGNHV1C","3743AGNHV1C")</f>
        <v>3743AGNHV1C</v>
      </c>
      <c r="B2913" s="1" t="s">
        <v>5636</v>
      </c>
      <c r="C2913" s="9" t="s">
        <v>1888</v>
      </c>
      <c r="D2913" s="14" t="s">
        <v>5637</v>
      </c>
      <c r="E2913" s="9" t="s">
        <v>8</v>
      </c>
    </row>
    <row r="2914" spans="1:5" ht="15" customHeight="1" outlineLevel="2" x14ac:dyDescent="0.25">
      <c r="A2914" s="3" t="str">
        <f>HYPERLINK("http://mystore1.ru/price_items/search?utf8=%E2%9C%93&amp;oem=3743AGNV","3743AGNV")</f>
        <v>3743AGNV</v>
      </c>
      <c r="B2914" s="1" t="s">
        <v>5638</v>
      </c>
      <c r="C2914" s="9" t="s">
        <v>1888</v>
      </c>
      <c r="D2914" s="14" t="s">
        <v>5639</v>
      </c>
      <c r="E2914" s="9" t="s">
        <v>8</v>
      </c>
    </row>
    <row r="2915" spans="1:5" ht="15" customHeight="1" outlineLevel="2" x14ac:dyDescent="0.25">
      <c r="A2915" s="3" t="str">
        <f>HYPERLINK("http://mystore1.ru/price_items/search?utf8=%E2%9C%93&amp;oem=3743AGNV1P","3743AGNV1P")</f>
        <v>3743AGNV1P</v>
      </c>
      <c r="B2915" s="1" t="s">
        <v>5640</v>
      </c>
      <c r="C2915" s="9" t="s">
        <v>1888</v>
      </c>
      <c r="D2915" s="14" t="s">
        <v>5641</v>
      </c>
      <c r="E2915" s="9" t="s">
        <v>8</v>
      </c>
    </row>
    <row r="2916" spans="1:5" ht="15" customHeight="1" outlineLevel="2" x14ac:dyDescent="0.25">
      <c r="A2916" s="3" t="str">
        <f>HYPERLINK("http://mystore1.ru/price_items/search?utf8=%E2%9C%93&amp;oem=3743AGSBLV1C","3743AGSBLV1C")</f>
        <v>3743AGSBLV1C</v>
      </c>
      <c r="B2916" s="1" t="s">
        <v>5642</v>
      </c>
      <c r="C2916" s="9" t="s">
        <v>1888</v>
      </c>
      <c r="D2916" s="14" t="s">
        <v>5643</v>
      </c>
      <c r="E2916" s="9" t="s">
        <v>8</v>
      </c>
    </row>
    <row r="2917" spans="1:5" ht="15" customHeight="1" outlineLevel="2" x14ac:dyDescent="0.25">
      <c r="A2917" s="3" t="str">
        <f>HYPERLINK("http://mystore1.ru/price_items/search?utf8=%E2%9C%93&amp;oem=3743ASMV","3743ASMV")</f>
        <v>3743ASMV</v>
      </c>
      <c r="B2917" s="1" t="s">
        <v>5644</v>
      </c>
      <c r="C2917" s="9" t="s">
        <v>25</v>
      </c>
      <c r="D2917" s="14" t="s">
        <v>5645</v>
      </c>
      <c r="E2917" s="9" t="s">
        <v>27</v>
      </c>
    </row>
    <row r="2918" spans="1:5" ht="15" customHeight="1" outlineLevel="2" x14ac:dyDescent="0.25">
      <c r="A2918" s="3" t="str">
        <f>HYPERLINK("http://mystore1.ru/price_items/search?utf8=%E2%9C%93&amp;oem=3743BGNVL1H","3743BGNVL1H")</f>
        <v>3743BGNVL1H</v>
      </c>
      <c r="B2918" s="1" t="s">
        <v>5646</v>
      </c>
      <c r="C2918" s="9" t="s">
        <v>1888</v>
      </c>
      <c r="D2918" s="14" t="s">
        <v>5647</v>
      </c>
      <c r="E2918" s="9" t="s">
        <v>30</v>
      </c>
    </row>
    <row r="2919" spans="1:5" ht="15" customHeight="1" outlineLevel="2" x14ac:dyDescent="0.25">
      <c r="A2919" s="3" t="str">
        <f>HYPERLINK("http://mystore1.ru/price_items/search?utf8=%E2%9C%93&amp;oem=3743BGNVR1H","3743BGNVR1H")</f>
        <v>3743BGNVR1H</v>
      </c>
      <c r="B2919" s="1" t="s">
        <v>5648</v>
      </c>
      <c r="C2919" s="9" t="s">
        <v>1888</v>
      </c>
      <c r="D2919" s="14" t="s">
        <v>5649</v>
      </c>
      <c r="E2919" s="9" t="s">
        <v>30</v>
      </c>
    </row>
    <row r="2920" spans="1:5" ht="15" customHeight="1" outlineLevel="2" x14ac:dyDescent="0.25">
      <c r="A2920" s="3" t="str">
        <f>HYPERLINK("http://mystore1.ru/price_items/search?utf8=%E2%9C%93&amp;oem=3743BGNV1H","3743BGNV1H")</f>
        <v>3743BGNV1H</v>
      </c>
      <c r="B2920" s="1" t="s">
        <v>5650</v>
      </c>
      <c r="C2920" s="9" t="s">
        <v>1888</v>
      </c>
      <c r="D2920" s="14" t="s">
        <v>5651</v>
      </c>
      <c r="E2920" s="9" t="s">
        <v>30</v>
      </c>
    </row>
    <row r="2921" spans="1:5" ht="15" customHeight="1" outlineLevel="2" x14ac:dyDescent="0.25">
      <c r="A2921" s="3" t="str">
        <f>HYPERLINK("http://mystore1.ru/price_items/search?utf8=%E2%9C%93&amp;oem=3743LGNV2FD","3743LGNV2FD")</f>
        <v>3743LGNV2FD</v>
      </c>
      <c r="B2921" s="1" t="s">
        <v>5652</v>
      </c>
      <c r="C2921" s="9" t="s">
        <v>1888</v>
      </c>
      <c r="D2921" s="14" t="s">
        <v>5653</v>
      </c>
      <c r="E2921" s="9" t="s">
        <v>11</v>
      </c>
    </row>
    <row r="2922" spans="1:5" ht="15" customHeight="1" outlineLevel="2" x14ac:dyDescent="0.25">
      <c r="A2922" s="3" t="str">
        <f>HYPERLINK("http://mystore1.ru/price_items/search?utf8=%E2%9C%93&amp;oem=3743LGNV2FV","3743LGNV2FV")</f>
        <v>3743LGNV2FV</v>
      </c>
      <c r="B2922" s="1" t="s">
        <v>5654</v>
      </c>
      <c r="C2922" s="9" t="s">
        <v>1888</v>
      </c>
      <c r="D2922" s="14" t="s">
        <v>5655</v>
      </c>
      <c r="E2922" s="9" t="s">
        <v>11</v>
      </c>
    </row>
    <row r="2923" spans="1:5" ht="15" customHeight="1" outlineLevel="2" x14ac:dyDescent="0.25">
      <c r="A2923" s="3" t="str">
        <f>HYPERLINK("http://mystore1.ru/price_items/search?utf8=%E2%9C%93&amp;oem=3743RGNV2FD","3743RGNV2FD")</f>
        <v>3743RGNV2FD</v>
      </c>
      <c r="B2923" s="1" t="s">
        <v>5656</v>
      </c>
      <c r="C2923" s="9" t="s">
        <v>1888</v>
      </c>
      <c r="D2923" s="14" t="s">
        <v>5657</v>
      </c>
      <c r="E2923" s="9" t="s">
        <v>11</v>
      </c>
    </row>
    <row r="2924" spans="1:5" ht="15" customHeight="1" outlineLevel="2" x14ac:dyDescent="0.25">
      <c r="A2924" s="3" t="str">
        <f>HYPERLINK("http://mystore1.ru/price_items/search?utf8=%E2%9C%93&amp;oem=3743RGNV2FV","3743RGNV2FV")</f>
        <v>3743RGNV2FV</v>
      </c>
      <c r="B2924" s="1" t="s">
        <v>5658</v>
      </c>
      <c r="C2924" s="9" t="s">
        <v>1888</v>
      </c>
      <c r="D2924" s="14" t="s">
        <v>5659</v>
      </c>
      <c r="E2924" s="9" t="s">
        <v>11</v>
      </c>
    </row>
    <row r="2925" spans="1:5" outlineLevel="1" x14ac:dyDescent="0.25">
      <c r="A2925" s="2"/>
      <c r="B2925" s="6" t="s">
        <v>5660</v>
      </c>
      <c r="C2925" s="8"/>
      <c r="D2925" s="8"/>
      <c r="E2925" s="8"/>
    </row>
    <row r="2926" spans="1:5" outlineLevel="2" x14ac:dyDescent="0.25">
      <c r="A2926" s="3" t="str">
        <f>HYPERLINK("http://mystore1.ru/price_items/search?utf8=%E2%9C%93&amp;oem=AF34AGSBLVW1C","AF34AGSBLVW1C")</f>
        <v>AF34AGSBLVW1C</v>
      </c>
      <c r="B2926" s="1" t="s">
        <v>5661</v>
      </c>
      <c r="C2926" s="9" t="s">
        <v>5662</v>
      </c>
      <c r="D2926" s="14" t="s">
        <v>5663</v>
      </c>
      <c r="E2926" s="9" t="s">
        <v>8</v>
      </c>
    </row>
    <row r="2927" spans="1:5" x14ac:dyDescent="0.25">
      <c r="A2927" s="61" t="s">
        <v>5664</v>
      </c>
      <c r="B2927" s="61"/>
      <c r="C2927" s="61"/>
      <c r="D2927" s="61"/>
      <c r="E2927" s="61"/>
    </row>
    <row r="2928" spans="1:5" outlineLevel="1" x14ac:dyDescent="0.25">
      <c r="A2928" s="2"/>
      <c r="B2928" s="6" t="s">
        <v>5665</v>
      </c>
      <c r="C2928" s="7"/>
      <c r="D2928" s="8"/>
      <c r="E2928" s="8"/>
    </row>
    <row r="2929" spans="1:5" outlineLevel="2" x14ac:dyDescent="0.25">
      <c r="A2929" s="3" t="str">
        <f>HYPERLINK("http://mystore1.ru/price_items/search?utf8=%E2%9C%93&amp;oem=ATF2AGN","ATF2AGN")</f>
        <v>ATF2AGN</v>
      </c>
      <c r="B2929" s="1" t="s">
        <v>5666</v>
      </c>
      <c r="C2929" s="9" t="s">
        <v>5667</v>
      </c>
      <c r="D2929" s="14" t="s">
        <v>5668</v>
      </c>
      <c r="E2929" s="9" t="s">
        <v>8</v>
      </c>
    </row>
    <row r="2930" spans="1:5" x14ac:dyDescent="0.25">
      <c r="A2930" s="61" t="s">
        <v>5669</v>
      </c>
      <c r="B2930" s="61"/>
      <c r="C2930" s="61"/>
      <c r="D2930" s="61"/>
      <c r="E2930" s="61"/>
    </row>
    <row r="2931" spans="1:5" outlineLevel="1" x14ac:dyDescent="0.25">
      <c r="A2931" s="2"/>
      <c r="B2931" s="6" t="s">
        <v>5670</v>
      </c>
      <c r="C2931" s="8"/>
      <c r="D2931" s="8"/>
      <c r="E2931" s="8"/>
    </row>
    <row r="2932" spans="1:5" ht="15" customHeight="1" outlineLevel="2" x14ac:dyDescent="0.25">
      <c r="A2932" s="3" t="str">
        <f>HYPERLINK("http://mystore1.ru/price_items/search?utf8=%E2%9C%93&amp;oem=3928ABLBL","3928ABLBL")</f>
        <v>3928ABLBL</v>
      </c>
      <c r="B2932" s="1" t="s">
        <v>5671</v>
      </c>
      <c r="C2932" s="9" t="s">
        <v>5672</v>
      </c>
      <c r="D2932" s="14" t="s">
        <v>5673</v>
      </c>
      <c r="E2932" s="9" t="s">
        <v>8</v>
      </c>
    </row>
    <row r="2933" spans="1:5" ht="15" customHeight="1" outlineLevel="2" x14ac:dyDescent="0.25">
      <c r="A2933" s="3" t="str">
        <f>HYPERLINK("http://mystore1.ru/price_items/search?utf8=%E2%9C%93&amp;oem=3928LBLH3FDW","3928LBLH3FDW")</f>
        <v>3928LBLH3FDW</v>
      </c>
      <c r="B2933" s="1" t="s">
        <v>5674</v>
      </c>
      <c r="C2933" s="9" t="s">
        <v>5675</v>
      </c>
      <c r="D2933" s="14" t="s">
        <v>5676</v>
      </c>
      <c r="E2933" s="9" t="s">
        <v>11</v>
      </c>
    </row>
    <row r="2934" spans="1:5" outlineLevel="1" x14ac:dyDescent="0.25">
      <c r="A2934" s="2"/>
      <c r="B2934" s="6" t="s">
        <v>5677</v>
      </c>
      <c r="C2934" s="8"/>
      <c r="D2934" s="8"/>
      <c r="E2934" s="8"/>
    </row>
    <row r="2935" spans="1:5" ht="15" customHeight="1" outlineLevel="2" x14ac:dyDescent="0.25">
      <c r="A2935" s="3" t="str">
        <f>HYPERLINK("http://mystore1.ru/price_items/search?utf8=%E2%9C%93&amp;oem=3952AGNBL","3952AGNBL")</f>
        <v>3952AGNBL</v>
      </c>
      <c r="B2935" s="1" t="s">
        <v>5678</v>
      </c>
      <c r="C2935" s="9" t="s">
        <v>4528</v>
      </c>
      <c r="D2935" s="14" t="s">
        <v>5679</v>
      </c>
      <c r="E2935" s="9" t="s">
        <v>8</v>
      </c>
    </row>
    <row r="2936" spans="1:5" ht="15" customHeight="1" outlineLevel="2" x14ac:dyDescent="0.25">
      <c r="A2936" s="3" t="str">
        <f>HYPERLINK("http://mystore1.ru/price_items/search?utf8=%E2%9C%93&amp;oem=3952AKCES","3952AKCES")</f>
        <v>3952AKCES</v>
      </c>
      <c r="B2936" s="1" t="s">
        <v>5680</v>
      </c>
      <c r="C2936" s="9" t="s">
        <v>25</v>
      </c>
      <c r="D2936" s="14" t="s">
        <v>5681</v>
      </c>
      <c r="E2936" s="9" t="s">
        <v>27</v>
      </c>
    </row>
    <row r="2937" spans="1:5" outlineLevel="1" x14ac:dyDescent="0.25">
      <c r="A2937" s="2"/>
      <c r="B2937" s="6" t="s">
        <v>5682</v>
      </c>
      <c r="C2937" s="8"/>
      <c r="D2937" s="8"/>
      <c r="E2937" s="8"/>
    </row>
    <row r="2938" spans="1:5" ht="15" customHeight="1" outlineLevel="2" x14ac:dyDescent="0.25">
      <c r="A2938" s="3" t="str">
        <f>HYPERLINK("http://mystore1.ru/price_items/search?utf8=%E2%9C%93&amp;oem=3916ABL","3916ABL")</f>
        <v>3916ABL</v>
      </c>
      <c r="B2938" s="1" t="s">
        <v>5683</v>
      </c>
      <c r="C2938" s="9" t="s">
        <v>5684</v>
      </c>
      <c r="D2938" s="14" t="s">
        <v>5685</v>
      </c>
      <c r="E2938" s="9" t="s">
        <v>8</v>
      </c>
    </row>
    <row r="2939" spans="1:5" outlineLevel="1" x14ac:dyDescent="0.25">
      <c r="A2939" s="2"/>
      <c r="B2939" s="6" t="s">
        <v>5686</v>
      </c>
      <c r="C2939" s="8"/>
      <c r="D2939" s="8"/>
      <c r="E2939" s="8"/>
    </row>
    <row r="2940" spans="1:5" ht="15" customHeight="1" outlineLevel="2" x14ac:dyDescent="0.25">
      <c r="A2940" s="3" t="str">
        <f>HYPERLINK("http://mystore1.ru/price_items/search?utf8=%E2%9C%93&amp;oem=3923ABL","3923ABL")</f>
        <v>3923ABL</v>
      </c>
      <c r="B2940" s="1" t="s">
        <v>5687</v>
      </c>
      <c r="C2940" s="9" t="s">
        <v>5688</v>
      </c>
      <c r="D2940" s="14" t="s">
        <v>5689</v>
      </c>
      <c r="E2940" s="9" t="s">
        <v>8</v>
      </c>
    </row>
    <row r="2941" spans="1:5" ht="15" customHeight="1" outlineLevel="2" x14ac:dyDescent="0.25">
      <c r="A2941" s="3" t="str">
        <f>HYPERLINK("http://mystore1.ru/price_items/search?utf8=%E2%9C%93&amp;oem=3923LBLS4FD","3923LBLS4FD")</f>
        <v>3923LBLS4FD</v>
      </c>
      <c r="B2941" s="1" t="s">
        <v>5690</v>
      </c>
      <c r="C2941" s="9" t="s">
        <v>5688</v>
      </c>
      <c r="D2941" s="14" t="s">
        <v>5691</v>
      </c>
      <c r="E2941" s="9" t="s">
        <v>11</v>
      </c>
    </row>
    <row r="2942" spans="1:5" ht="15" customHeight="1" outlineLevel="2" x14ac:dyDescent="0.25">
      <c r="A2942" s="3" t="str">
        <f>HYPERLINK("http://mystore1.ru/price_items/search?utf8=%E2%9C%93&amp;oem=3923LBLS4RD","3923LBLS4RD")</f>
        <v>3923LBLS4RD</v>
      </c>
      <c r="B2942" s="1" t="s">
        <v>5692</v>
      </c>
      <c r="C2942" s="9" t="s">
        <v>5688</v>
      </c>
      <c r="D2942" s="14" t="s">
        <v>5693</v>
      </c>
      <c r="E2942" s="9" t="s">
        <v>11</v>
      </c>
    </row>
    <row r="2943" spans="1:5" ht="15" customHeight="1" outlineLevel="2" x14ac:dyDescent="0.25">
      <c r="A2943" s="3" t="str">
        <f>HYPERLINK("http://mystore1.ru/price_items/search?utf8=%E2%9C%93&amp;oem=3923RBLS4FD","3923RBLS4FD")</f>
        <v>3923RBLS4FD</v>
      </c>
      <c r="B2943" s="1" t="s">
        <v>5694</v>
      </c>
      <c r="C2943" s="9" t="s">
        <v>5688</v>
      </c>
      <c r="D2943" s="14" t="s">
        <v>5695</v>
      </c>
      <c r="E2943" s="9" t="s">
        <v>11</v>
      </c>
    </row>
    <row r="2944" spans="1:5" ht="15" customHeight="1" outlineLevel="2" x14ac:dyDescent="0.25">
      <c r="A2944" s="3" t="str">
        <f>HYPERLINK("http://mystore1.ru/price_items/search?utf8=%E2%9C%93&amp;oem=3923RBLS4RD","3923RBLS4RD")</f>
        <v>3923RBLS4RD</v>
      </c>
      <c r="B2944" s="1" t="s">
        <v>5696</v>
      </c>
      <c r="C2944" s="9" t="s">
        <v>5688</v>
      </c>
      <c r="D2944" s="14" t="s">
        <v>5697</v>
      </c>
      <c r="E2944" s="9" t="s">
        <v>11</v>
      </c>
    </row>
    <row r="2945" spans="1:5" outlineLevel="1" x14ac:dyDescent="0.25">
      <c r="A2945" s="2"/>
      <c r="B2945" s="6" t="s">
        <v>5698</v>
      </c>
      <c r="C2945" s="8"/>
      <c r="D2945" s="8"/>
      <c r="E2945" s="8"/>
    </row>
    <row r="2946" spans="1:5" ht="15" customHeight="1" outlineLevel="2" x14ac:dyDescent="0.25">
      <c r="A2946" s="3" t="str">
        <f>HYPERLINK("http://mystore1.ru/price_items/search?utf8=%E2%9C%93&amp;oem=3927ABL","3927ABL")</f>
        <v>3927ABL</v>
      </c>
      <c r="B2946" s="1" t="s">
        <v>5699</v>
      </c>
      <c r="C2946" s="9" t="s">
        <v>3976</v>
      </c>
      <c r="D2946" s="14" t="s">
        <v>5700</v>
      </c>
      <c r="E2946" s="9" t="s">
        <v>8</v>
      </c>
    </row>
    <row r="2947" spans="1:5" ht="15" customHeight="1" outlineLevel="2" x14ac:dyDescent="0.25">
      <c r="A2947" s="3" t="str">
        <f>HYPERLINK("http://mystore1.ru/price_items/search?utf8=%E2%9C%93&amp;oem=3927ABLBL","3927ABLBL")</f>
        <v>3927ABLBL</v>
      </c>
      <c r="B2947" s="1" t="s">
        <v>5701</v>
      </c>
      <c r="C2947" s="9" t="s">
        <v>3976</v>
      </c>
      <c r="D2947" s="14" t="s">
        <v>5702</v>
      </c>
      <c r="E2947" s="9" t="s">
        <v>8</v>
      </c>
    </row>
    <row r="2948" spans="1:5" ht="15" customHeight="1" outlineLevel="2" x14ac:dyDescent="0.25">
      <c r="A2948" s="3" t="str">
        <f>HYPERLINK("http://mystore1.ru/price_items/search?utf8=%E2%9C%93&amp;oem=3927AKSS","3927AKSS")</f>
        <v>3927AKSS</v>
      </c>
      <c r="B2948" s="1" t="s">
        <v>5703</v>
      </c>
      <c r="C2948" s="9" t="s">
        <v>25</v>
      </c>
      <c r="D2948" s="14" t="s">
        <v>5704</v>
      </c>
      <c r="E2948" s="9" t="s">
        <v>27</v>
      </c>
    </row>
    <row r="2949" spans="1:5" ht="15" customHeight="1" outlineLevel="2" x14ac:dyDescent="0.25">
      <c r="A2949" s="3" t="str">
        <f>HYPERLINK("http://mystore1.ru/price_items/search?utf8=%E2%9C%93&amp;oem=3927LBLS4FDW","3927LBLS4FDW")</f>
        <v>3927LBLS4FDW</v>
      </c>
      <c r="B2949" s="1" t="s">
        <v>5705</v>
      </c>
      <c r="C2949" s="9" t="s">
        <v>3976</v>
      </c>
      <c r="D2949" s="14" t="s">
        <v>5706</v>
      </c>
      <c r="E2949" s="9" t="s">
        <v>11</v>
      </c>
    </row>
    <row r="2950" spans="1:5" ht="15" customHeight="1" outlineLevel="2" x14ac:dyDescent="0.25">
      <c r="A2950" s="3" t="str">
        <f>HYPERLINK("http://mystore1.ru/price_items/search?utf8=%E2%9C%93&amp;oem=3927LBLS4RDW","3927LBLS4RDW")</f>
        <v>3927LBLS4RDW</v>
      </c>
      <c r="B2950" s="1" t="s">
        <v>5707</v>
      </c>
      <c r="C2950" s="9" t="s">
        <v>3976</v>
      </c>
      <c r="D2950" s="14" t="s">
        <v>5708</v>
      </c>
      <c r="E2950" s="9" t="s">
        <v>11</v>
      </c>
    </row>
    <row r="2951" spans="1:5" ht="15" customHeight="1" outlineLevel="2" x14ac:dyDescent="0.25">
      <c r="A2951" s="3" t="str">
        <f>HYPERLINK("http://mystore1.ru/price_items/search?utf8=%E2%9C%93&amp;oem=3927LBLS4RV","3927LBLS4RV")</f>
        <v>3927LBLS4RV</v>
      </c>
      <c r="B2951" s="1" t="s">
        <v>5709</v>
      </c>
      <c r="C2951" s="9" t="s">
        <v>3976</v>
      </c>
      <c r="D2951" s="14" t="s">
        <v>5710</v>
      </c>
      <c r="E2951" s="9" t="s">
        <v>11</v>
      </c>
    </row>
    <row r="2952" spans="1:5" ht="15" customHeight="1" outlineLevel="2" x14ac:dyDescent="0.25">
      <c r="A2952" s="3" t="str">
        <f>HYPERLINK("http://mystore1.ru/price_items/search?utf8=%E2%9C%93&amp;oem=3927RBLS4FDW","3927RBLS4FDW")</f>
        <v>3927RBLS4FDW</v>
      </c>
      <c r="B2952" s="1" t="s">
        <v>5711</v>
      </c>
      <c r="C2952" s="9" t="s">
        <v>3976</v>
      </c>
      <c r="D2952" s="14" t="s">
        <v>5712</v>
      </c>
      <c r="E2952" s="9" t="s">
        <v>11</v>
      </c>
    </row>
    <row r="2953" spans="1:5" ht="15" customHeight="1" outlineLevel="2" x14ac:dyDescent="0.25">
      <c r="A2953" s="3" t="str">
        <f>HYPERLINK("http://mystore1.ru/price_items/search?utf8=%E2%9C%93&amp;oem=3927RBLS4RDW","3927RBLS4RDW")</f>
        <v>3927RBLS4RDW</v>
      </c>
      <c r="B2953" s="1" t="s">
        <v>5713</v>
      </c>
      <c r="C2953" s="9" t="s">
        <v>3976</v>
      </c>
      <c r="D2953" s="14" t="s">
        <v>5714</v>
      </c>
      <c r="E2953" s="9" t="s">
        <v>11</v>
      </c>
    </row>
    <row r="2954" spans="1:5" ht="15" customHeight="1" outlineLevel="2" x14ac:dyDescent="0.25">
      <c r="A2954" s="3" t="str">
        <f>HYPERLINK("http://mystore1.ru/price_items/search?utf8=%E2%9C%93&amp;oem=3927RBLS4RV","3927RBLS4RV")</f>
        <v>3927RBLS4RV</v>
      </c>
      <c r="B2954" s="1" t="s">
        <v>5715</v>
      </c>
      <c r="C2954" s="9" t="s">
        <v>3976</v>
      </c>
      <c r="D2954" s="14" t="s">
        <v>5716</v>
      </c>
      <c r="E2954" s="9" t="s">
        <v>11</v>
      </c>
    </row>
    <row r="2955" spans="1:5" outlineLevel="1" x14ac:dyDescent="0.25">
      <c r="A2955" s="2"/>
      <c r="B2955" s="6" t="s">
        <v>5717</v>
      </c>
      <c r="C2955" s="8"/>
      <c r="D2955" s="8"/>
      <c r="E2955" s="8"/>
    </row>
    <row r="2956" spans="1:5" ht="15" customHeight="1" outlineLevel="2" x14ac:dyDescent="0.25">
      <c r="A2956" s="3" t="str">
        <f>HYPERLINK("http://mystore1.ru/price_items/search?utf8=%E2%9C%93&amp;oem=3924ABL","3924ABL")</f>
        <v>3924ABL</v>
      </c>
      <c r="B2956" s="1" t="s">
        <v>5718</v>
      </c>
      <c r="C2956" s="9" t="s">
        <v>5719</v>
      </c>
      <c r="D2956" s="14" t="s">
        <v>5720</v>
      </c>
      <c r="E2956" s="9" t="s">
        <v>8</v>
      </c>
    </row>
    <row r="2957" spans="1:5" ht="15" customHeight="1" outlineLevel="2" x14ac:dyDescent="0.25">
      <c r="A2957" s="3" t="str">
        <f>HYPERLINK("http://mystore1.ru/price_items/search?utf8=%E2%9C%93&amp;oem=3924BBLH","3924BBLH")</f>
        <v>3924BBLH</v>
      </c>
      <c r="B2957" s="1" t="s">
        <v>5721</v>
      </c>
      <c r="C2957" s="9" t="s">
        <v>5719</v>
      </c>
      <c r="D2957" s="14" t="s">
        <v>5722</v>
      </c>
      <c r="E2957" s="9" t="s">
        <v>30</v>
      </c>
    </row>
    <row r="2958" spans="1:5" outlineLevel="1" x14ac:dyDescent="0.25">
      <c r="A2958" s="2"/>
      <c r="B2958" s="6" t="s">
        <v>5723</v>
      </c>
      <c r="C2958" s="8"/>
      <c r="D2958" s="8"/>
      <c r="E2958" s="8"/>
    </row>
    <row r="2959" spans="1:5" ht="15" customHeight="1" outlineLevel="2" x14ac:dyDescent="0.25">
      <c r="A2959" s="3" t="str">
        <f>HYPERLINK("http://mystore1.ru/price_items/search?utf8=%E2%9C%93&amp;oem=3936ABL","3936ABL")</f>
        <v>3936ABL</v>
      </c>
      <c r="B2959" s="1" t="s">
        <v>5724</v>
      </c>
      <c r="C2959" s="9" t="s">
        <v>5725</v>
      </c>
      <c r="D2959" s="14" t="s">
        <v>5726</v>
      </c>
      <c r="E2959" s="9" t="s">
        <v>8</v>
      </c>
    </row>
    <row r="2960" spans="1:5" ht="15" customHeight="1" outlineLevel="2" x14ac:dyDescent="0.25">
      <c r="A2960" s="3" t="str">
        <f>HYPERLINK("http://mystore1.ru/price_items/search?utf8=%E2%9C%93&amp;oem=3936ABLBL","3936ABLBL")</f>
        <v>3936ABLBL</v>
      </c>
      <c r="B2960" s="1" t="s">
        <v>5727</v>
      </c>
      <c r="C2960" s="9" t="s">
        <v>5725</v>
      </c>
      <c r="D2960" s="14" t="s">
        <v>5728</v>
      </c>
      <c r="E2960" s="9" t="s">
        <v>8</v>
      </c>
    </row>
    <row r="2961" spans="1:5" ht="15" customHeight="1" outlineLevel="2" x14ac:dyDescent="0.25">
      <c r="A2961" s="3" t="str">
        <f>HYPERLINK("http://mystore1.ru/price_items/search?utf8=%E2%9C%93&amp;oem=3936AGNBL","3936AGNBL")</f>
        <v>3936AGNBL</v>
      </c>
      <c r="B2961" s="1" t="s">
        <v>5729</v>
      </c>
      <c r="C2961" s="9" t="s">
        <v>5725</v>
      </c>
      <c r="D2961" s="14" t="s">
        <v>5730</v>
      </c>
      <c r="E2961" s="9" t="s">
        <v>8</v>
      </c>
    </row>
    <row r="2962" spans="1:5" ht="15" customHeight="1" outlineLevel="2" x14ac:dyDescent="0.25">
      <c r="A2962" s="3" t="str">
        <f>HYPERLINK("http://mystore1.ru/price_items/search?utf8=%E2%9C%93&amp;oem=3936AKCS","3936AKCS")</f>
        <v>3936AKCS</v>
      </c>
      <c r="B2962" s="1" t="s">
        <v>5731</v>
      </c>
      <c r="C2962" s="9" t="s">
        <v>25</v>
      </c>
      <c r="D2962" s="14" t="s">
        <v>5732</v>
      </c>
      <c r="E2962" s="9" t="s">
        <v>27</v>
      </c>
    </row>
    <row r="2963" spans="1:5" ht="15" customHeight="1" outlineLevel="2" x14ac:dyDescent="0.25">
      <c r="A2963" s="3" t="str">
        <f>HYPERLINK("http://mystore1.ru/price_items/search?utf8=%E2%9C%93&amp;oem=3936AKSS","3936AKSS")</f>
        <v>3936AKSS</v>
      </c>
      <c r="B2963" s="1" t="s">
        <v>5733</v>
      </c>
      <c r="C2963" s="9" t="s">
        <v>25</v>
      </c>
      <c r="D2963" s="14" t="s">
        <v>5734</v>
      </c>
      <c r="E2963" s="9" t="s">
        <v>27</v>
      </c>
    </row>
    <row r="2964" spans="1:5" ht="15" customHeight="1" outlineLevel="2" x14ac:dyDescent="0.25">
      <c r="A2964" s="3" t="str">
        <f>HYPERLINK("http://mystore1.ru/price_items/search?utf8=%E2%9C%93&amp;oem=3936BBLS","3936BBLS")</f>
        <v>3936BBLS</v>
      </c>
      <c r="B2964" s="1" t="s">
        <v>5735</v>
      </c>
      <c r="C2964" s="9" t="s">
        <v>5725</v>
      </c>
      <c r="D2964" s="14" t="s">
        <v>5736</v>
      </c>
      <c r="E2964" s="9" t="s">
        <v>30</v>
      </c>
    </row>
    <row r="2965" spans="1:5" ht="15" customHeight="1" outlineLevel="2" x14ac:dyDescent="0.25">
      <c r="A2965" s="3" t="str">
        <f>HYPERLINK("http://mystore1.ru/price_items/search?utf8=%E2%9C%93&amp;oem=3936LBLS4FDW","3936LBLS4FDW")</f>
        <v>3936LBLS4FDW</v>
      </c>
      <c r="B2965" s="1" t="s">
        <v>5737</v>
      </c>
      <c r="C2965" s="9" t="s">
        <v>5725</v>
      </c>
      <c r="D2965" s="14" t="s">
        <v>5738</v>
      </c>
      <c r="E2965" s="9" t="s">
        <v>11</v>
      </c>
    </row>
    <row r="2966" spans="1:5" ht="15" customHeight="1" outlineLevel="2" x14ac:dyDescent="0.25">
      <c r="A2966" s="3" t="str">
        <f>HYPERLINK("http://mystore1.ru/price_items/search?utf8=%E2%9C%93&amp;oem=3936LBLS4RDW","3936LBLS4RDW")</f>
        <v>3936LBLS4RDW</v>
      </c>
      <c r="B2966" s="1" t="s">
        <v>5739</v>
      </c>
      <c r="C2966" s="9" t="s">
        <v>5725</v>
      </c>
      <c r="D2966" s="14" t="s">
        <v>5740</v>
      </c>
      <c r="E2966" s="9" t="s">
        <v>11</v>
      </c>
    </row>
    <row r="2967" spans="1:5" ht="15" customHeight="1" outlineLevel="2" x14ac:dyDescent="0.25">
      <c r="A2967" s="3" t="str">
        <f>HYPERLINK("http://mystore1.ru/price_items/search?utf8=%E2%9C%93&amp;oem=3936LGNS4FDW","3936LGNS4FDW")</f>
        <v>3936LGNS4FDW</v>
      </c>
      <c r="B2967" s="1" t="s">
        <v>5741</v>
      </c>
      <c r="C2967" s="9" t="s">
        <v>5725</v>
      </c>
      <c r="D2967" s="14" t="s">
        <v>5742</v>
      </c>
      <c r="E2967" s="9" t="s">
        <v>11</v>
      </c>
    </row>
    <row r="2968" spans="1:5" ht="15" customHeight="1" outlineLevel="2" x14ac:dyDescent="0.25">
      <c r="A2968" s="3" t="str">
        <f>HYPERLINK("http://mystore1.ru/price_items/search?utf8=%E2%9C%93&amp;oem=3936RBLS4FDW","3936RBLS4FDW")</f>
        <v>3936RBLS4FDW</v>
      </c>
      <c r="B2968" s="1" t="s">
        <v>5743</v>
      </c>
      <c r="C2968" s="9" t="s">
        <v>5725</v>
      </c>
      <c r="D2968" s="14" t="s">
        <v>5744</v>
      </c>
      <c r="E2968" s="9" t="s">
        <v>11</v>
      </c>
    </row>
    <row r="2969" spans="1:5" ht="15" customHeight="1" outlineLevel="2" x14ac:dyDescent="0.25">
      <c r="A2969" s="3" t="str">
        <f>HYPERLINK("http://mystore1.ru/price_items/search?utf8=%E2%9C%93&amp;oem=3936RBLS4RDW","3936RBLS4RDW")</f>
        <v>3936RBLS4RDW</v>
      </c>
      <c r="B2969" s="1" t="s">
        <v>5745</v>
      </c>
      <c r="C2969" s="9" t="s">
        <v>5725</v>
      </c>
      <c r="D2969" s="14" t="s">
        <v>5746</v>
      </c>
      <c r="E2969" s="9" t="s">
        <v>11</v>
      </c>
    </row>
    <row r="2970" spans="1:5" outlineLevel="1" x14ac:dyDescent="0.25">
      <c r="A2970" s="2"/>
      <c r="B2970" s="6" t="s">
        <v>5747</v>
      </c>
      <c r="C2970" s="8"/>
      <c r="D2970" s="8"/>
      <c r="E2970" s="8"/>
    </row>
    <row r="2971" spans="1:5" ht="15" customHeight="1" outlineLevel="2" x14ac:dyDescent="0.25">
      <c r="A2971" s="3" t="str">
        <f>HYPERLINK("http://mystore1.ru/price_items/search?utf8=%E2%9C%93&amp;oem=3949AGN","3949AGN")</f>
        <v>3949AGN</v>
      </c>
      <c r="B2971" s="1" t="s">
        <v>5748</v>
      </c>
      <c r="C2971" s="9" t="s">
        <v>4528</v>
      </c>
      <c r="D2971" s="14" t="s">
        <v>5749</v>
      </c>
      <c r="E2971" s="9" t="s">
        <v>8</v>
      </c>
    </row>
    <row r="2972" spans="1:5" ht="15" customHeight="1" outlineLevel="2" x14ac:dyDescent="0.25">
      <c r="A2972" s="3" t="str">
        <f>HYPERLINK("http://mystore1.ru/price_items/search?utf8=%E2%9C%93&amp;oem=3949AGNBL","3949AGNBL")</f>
        <v>3949AGNBL</v>
      </c>
      <c r="B2972" s="1" t="s">
        <v>5750</v>
      </c>
      <c r="C2972" s="9" t="s">
        <v>4528</v>
      </c>
      <c r="D2972" s="14" t="s">
        <v>5751</v>
      </c>
      <c r="E2972" s="9" t="s">
        <v>8</v>
      </c>
    </row>
    <row r="2973" spans="1:5" ht="15" customHeight="1" outlineLevel="2" x14ac:dyDescent="0.25">
      <c r="A2973" s="3" t="str">
        <f>HYPERLINK("http://mystore1.ru/price_items/search?utf8=%E2%9C%93&amp;oem=3949AGNGN","3949AGNGN")</f>
        <v>3949AGNGN</v>
      </c>
      <c r="B2973" s="1" t="s">
        <v>5752</v>
      </c>
      <c r="C2973" s="9" t="s">
        <v>4528</v>
      </c>
      <c r="D2973" s="14" t="s">
        <v>5753</v>
      </c>
      <c r="E2973" s="9" t="s">
        <v>8</v>
      </c>
    </row>
    <row r="2974" spans="1:5" ht="15" customHeight="1" outlineLevel="2" x14ac:dyDescent="0.25">
      <c r="A2974" s="3" t="str">
        <f>HYPERLINK("http://mystore1.ru/price_items/search?utf8=%E2%9C%93&amp;oem=3949BGNS","3949BGNS")</f>
        <v>3949BGNS</v>
      </c>
      <c r="B2974" s="1" t="s">
        <v>5754</v>
      </c>
      <c r="C2974" s="9" t="s">
        <v>4528</v>
      </c>
      <c r="D2974" s="14" t="s">
        <v>5755</v>
      </c>
      <c r="E2974" s="9" t="s">
        <v>30</v>
      </c>
    </row>
    <row r="2975" spans="1:5" ht="15" customHeight="1" outlineLevel="2" x14ac:dyDescent="0.25">
      <c r="A2975" s="3" t="str">
        <f>HYPERLINK("http://mystore1.ru/price_items/search?utf8=%E2%9C%93&amp;oem=3949LGNS4FDW","3949LGNS4FDW")</f>
        <v>3949LGNS4FDW</v>
      </c>
      <c r="B2975" s="1" t="s">
        <v>5756</v>
      </c>
      <c r="C2975" s="9" t="s">
        <v>4528</v>
      </c>
      <c r="D2975" s="14" t="s">
        <v>5757</v>
      </c>
      <c r="E2975" s="9" t="s">
        <v>11</v>
      </c>
    </row>
    <row r="2976" spans="1:5" ht="15" customHeight="1" outlineLevel="2" x14ac:dyDescent="0.25">
      <c r="A2976" s="3" t="str">
        <f>HYPERLINK("http://mystore1.ru/price_items/search?utf8=%E2%9C%93&amp;oem=3949LGNS4RDW","3949LGNS4RDW")</f>
        <v>3949LGNS4RDW</v>
      </c>
      <c r="B2976" s="1" t="s">
        <v>5758</v>
      </c>
      <c r="C2976" s="9" t="s">
        <v>4528</v>
      </c>
      <c r="D2976" s="14" t="s">
        <v>5759</v>
      </c>
      <c r="E2976" s="9" t="s">
        <v>11</v>
      </c>
    </row>
    <row r="2977" spans="1:5" ht="15" customHeight="1" outlineLevel="2" x14ac:dyDescent="0.25">
      <c r="A2977" s="3" t="str">
        <f>HYPERLINK("http://mystore1.ru/price_items/search?utf8=%E2%9C%93&amp;oem=3949LGNS4RQZ","3949LGNS4RQZ")</f>
        <v>3949LGNS4RQZ</v>
      </c>
      <c r="B2977" s="1" t="s">
        <v>5760</v>
      </c>
      <c r="C2977" s="9" t="s">
        <v>4528</v>
      </c>
      <c r="D2977" s="14" t="s">
        <v>5761</v>
      </c>
      <c r="E2977" s="9" t="s">
        <v>11</v>
      </c>
    </row>
    <row r="2978" spans="1:5" ht="15" customHeight="1" outlineLevel="2" x14ac:dyDescent="0.25">
      <c r="A2978" s="3" t="str">
        <f>HYPERLINK("http://mystore1.ru/price_items/search?utf8=%E2%9C%93&amp;oem=3949RGNS4FDW","3949RGNS4FDW")</f>
        <v>3949RGNS4FDW</v>
      </c>
      <c r="B2978" s="1" t="s">
        <v>5762</v>
      </c>
      <c r="C2978" s="9" t="s">
        <v>4528</v>
      </c>
      <c r="D2978" s="14" t="s">
        <v>5763</v>
      </c>
      <c r="E2978" s="9" t="s">
        <v>11</v>
      </c>
    </row>
    <row r="2979" spans="1:5" ht="15" customHeight="1" outlineLevel="2" x14ac:dyDescent="0.25">
      <c r="A2979" s="3" t="str">
        <f>HYPERLINK("http://mystore1.ru/price_items/search?utf8=%E2%9C%93&amp;oem=3949RGNS4RDW","3949RGNS4RDW")</f>
        <v>3949RGNS4RDW</v>
      </c>
      <c r="B2979" s="1" t="s">
        <v>5764</v>
      </c>
      <c r="C2979" s="9" t="s">
        <v>4528</v>
      </c>
      <c r="D2979" s="14" t="s">
        <v>5765</v>
      </c>
      <c r="E2979" s="9" t="s">
        <v>11</v>
      </c>
    </row>
    <row r="2980" spans="1:5" ht="15" customHeight="1" outlineLevel="2" x14ac:dyDescent="0.25">
      <c r="A2980" s="3" t="str">
        <f>HYPERLINK("http://mystore1.ru/price_items/search?utf8=%E2%9C%93&amp;oem=3949RGNS4RQZ","3949RGNS4RQZ")</f>
        <v>3949RGNS4RQZ</v>
      </c>
      <c r="B2980" s="1" t="s">
        <v>5766</v>
      </c>
      <c r="C2980" s="9" t="s">
        <v>4528</v>
      </c>
      <c r="D2980" s="14" t="s">
        <v>5767</v>
      </c>
      <c r="E2980" s="9" t="s">
        <v>11</v>
      </c>
    </row>
    <row r="2981" spans="1:5" outlineLevel="1" x14ac:dyDescent="0.25">
      <c r="A2981" s="2"/>
      <c r="B2981" s="6" t="s">
        <v>5768</v>
      </c>
      <c r="C2981" s="8"/>
      <c r="D2981" s="8"/>
      <c r="E2981" s="8"/>
    </row>
    <row r="2982" spans="1:5" ht="15" customHeight="1" outlineLevel="2" x14ac:dyDescent="0.25">
      <c r="A2982" s="3" t="str">
        <f>HYPERLINK("http://mystore1.ru/price_items/search?utf8=%E2%9C%93&amp;oem=3960AGNGNV","3960AGNGNV")</f>
        <v>3960AGNGNV</v>
      </c>
      <c r="B2982" s="1" t="s">
        <v>5769</v>
      </c>
      <c r="C2982" s="9" t="s">
        <v>631</v>
      </c>
      <c r="D2982" s="14" t="s">
        <v>5770</v>
      </c>
      <c r="E2982" s="9" t="s">
        <v>8</v>
      </c>
    </row>
    <row r="2983" spans="1:5" ht="15" customHeight="1" outlineLevel="2" x14ac:dyDescent="0.25">
      <c r="A2983" s="3" t="str">
        <f>HYPERLINK("http://mystore1.ru/price_items/search?utf8=%E2%9C%93&amp;oem=3960AGNV","3960AGNV")</f>
        <v>3960AGNV</v>
      </c>
      <c r="B2983" s="1" t="s">
        <v>5771</v>
      </c>
      <c r="C2983" s="9" t="s">
        <v>631</v>
      </c>
      <c r="D2983" s="14" t="s">
        <v>5772</v>
      </c>
      <c r="E2983" s="9" t="s">
        <v>8</v>
      </c>
    </row>
    <row r="2984" spans="1:5" ht="15" customHeight="1" outlineLevel="2" x14ac:dyDescent="0.25">
      <c r="A2984" s="3" t="str">
        <f>HYPERLINK("http://mystore1.ru/price_items/search?utf8=%E2%9C%93&amp;oem=3960ASMS","3960ASMS")</f>
        <v>3960ASMS</v>
      </c>
      <c r="B2984" s="1" t="s">
        <v>5773</v>
      </c>
      <c r="C2984" s="9" t="s">
        <v>25</v>
      </c>
      <c r="D2984" s="14" t="s">
        <v>5774</v>
      </c>
      <c r="E2984" s="9" t="s">
        <v>27</v>
      </c>
    </row>
    <row r="2985" spans="1:5" ht="15" customHeight="1" outlineLevel="2" x14ac:dyDescent="0.25">
      <c r="A2985" s="3" t="str">
        <f>HYPERLINK("http://mystore1.ru/price_items/search?utf8=%E2%9C%93&amp;oem=3960BGNS","3960BGNS")</f>
        <v>3960BGNS</v>
      </c>
      <c r="B2985" s="1" t="s">
        <v>5775</v>
      </c>
      <c r="C2985" s="9" t="s">
        <v>631</v>
      </c>
      <c r="D2985" s="14" t="s">
        <v>5776</v>
      </c>
      <c r="E2985" s="9" t="s">
        <v>30</v>
      </c>
    </row>
    <row r="2986" spans="1:5" ht="15" customHeight="1" outlineLevel="2" x14ac:dyDescent="0.25">
      <c r="A2986" s="3" t="str">
        <f>HYPERLINK("http://mystore1.ru/price_items/search?utf8=%E2%9C%93&amp;oem=3960LGNS4FDW","3960LGNS4FDW")</f>
        <v>3960LGNS4FDW</v>
      </c>
      <c r="B2986" s="1" t="s">
        <v>5777</v>
      </c>
      <c r="C2986" s="9" t="s">
        <v>631</v>
      </c>
      <c r="D2986" s="14" t="s">
        <v>5778</v>
      </c>
      <c r="E2986" s="9" t="s">
        <v>11</v>
      </c>
    </row>
    <row r="2987" spans="1:5" ht="15" customHeight="1" outlineLevel="2" x14ac:dyDescent="0.25">
      <c r="A2987" s="3" t="str">
        <f>HYPERLINK("http://mystore1.ru/price_items/search?utf8=%E2%9C%93&amp;oem=3960LGNS4RDW","3960LGNS4RDW")</f>
        <v>3960LGNS4RDW</v>
      </c>
      <c r="B2987" s="1" t="s">
        <v>5779</v>
      </c>
      <c r="C2987" s="9" t="s">
        <v>631</v>
      </c>
      <c r="D2987" s="14" t="s">
        <v>5780</v>
      </c>
      <c r="E2987" s="9" t="s">
        <v>11</v>
      </c>
    </row>
    <row r="2988" spans="1:5" ht="15" customHeight="1" outlineLevel="2" x14ac:dyDescent="0.25">
      <c r="A2988" s="3" t="str">
        <f>HYPERLINK("http://mystore1.ru/price_items/search?utf8=%E2%9C%93&amp;oem=3960RGNS4FDW","3960RGNS4FDW")</f>
        <v>3960RGNS4FDW</v>
      </c>
      <c r="B2988" s="1" t="s">
        <v>5781</v>
      </c>
      <c r="C2988" s="9" t="s">
        <v>631</v>
      </c>
      <c r="D2988" s="14" t="s">
        <v>5782</v>
      </c>
      <c r="E2988" s="9" t="s">
        <v>11</v>
      </c>
    </row>
    <row r="2989" spans="1:5" ht="15" customHeight="1" outlineLevel="2" x14ac:dyDescent="0.25">
      <c r="A2989" s="3" t="str">
        <f>HYPERLINK("http://mystore1.ru/price_items/search?utf8=%E2%9C%93&amp;oem=3960RGNS4RDW","3960RGNS4RDW")</f>
        <v>3960RGNS4RDW</v>
      </c>
      <c r="B2989" s="1" t="s">
        <v>5783</v>
      </c>
      <c r="C2989" s="9" t="s">
        <v>631</v>
      </c>
      <c r="D2989" s="14" t="s">
        <v>5784</v>
      </c>
      <c r="E2989" s="9" t="s">
        <v>11</v>
      </c>
    </row>
    <row r="2990" spans="1:5" outlineLevel="1" x14ac:dyDescent="0.25">
      <c r="A2990" s="2"/>
      <c r="B2990" s="6" t="s">
        <v>5785</v>
      </c>
      <c r="C2990" s="8"/>
      <c r="D2990" s="8"/>
      <c r="E2990" s="8"/>
    </row>
    <row r="2991" spans="1:5" ht="15" customHeight="1" outlineLevel="2" x14ac:dyDescent="0.25">
      <c r="A2991" s="3" t="str">
        <f>HYPERLINK("http://mystore1.ru/price_items/search?utf8=%E2%9C%93&amp;oem=3986AGNBLBMV","3986AGNBLBMV")</f>
        <v>3986AGNBLBMV</v>
      </c>
      <c r="B2991" s="1" t="s">
        <v>5786</v>
      </c>
      <c r="C2991" s="9" t="s">
        <v>4782</v>
      </c>
      <c r="D2991" s="14" t="s">
        <v>5787</v>
      </c>
      <c r="E2991" s="9" t="s">
        <v>8</v>
      </c>
    </row>
    <row r="2992" spans="1:5" ht="15" customHeight="1" outlineLevel="2" x14ac:dyDescent="0.25">
      <c r="A2992" s="3" t="str">
        <f>HYPERLINK("http://mystore1.ru/price_items/search?utf8=%E2%9C%93&amp;oem=3986AGNBLMV","3986AGNBLMV")</f>
        <v>3986AGNBLMV</v>
      </c>
      <c r="B2992" s="1" t="s">
        <v>5788</v>
      </c>
      <c r="C2992" s="9" t="s">
        <v>4782</v>
      </c>
      <c r="D2992" s="14" t="s">
        <v>5789</v>
      </c>
      <c r="E2992" s="9" t="s">
        <v>8</v>
      </c>
    </row>
    <row r="2993" spans="1:5" ht="15" customHeight="1" outlineLevel="2" x14ac:dyDescent="0.25">
      <c r="A2993" s="3" t="str">
        <f>HYPERLINK("http://mystore1.ru/price_items/search?utf8=%E2%9C%93&amp;oem=3986AGNBLMV1B","3986AGNBLMV1B")</f>
        <v>3986AGNBLMV1B</v>
      </c>
      <c r="B2993" s="1" t="s">
        <v>5790</v>
      </c>
      <c r="C2993" s="9" t="s">
        <v>1596</v>
      </c>
      <c r="D2993" s="14" t="s">
        <v>5791</v>
      </c>
      <c r="E2993" s="9" t="s">
        <v>8</v>
      </c>
    </row>
    <row r="2994" spans="1:5" ht="15" customHeight="1" outlineLevel="2" x14ac:dyDescent="0.25">
      <c r="A2994" s="3" t="str">
        <f>HYPERLINK("http://mystore1.ru/price_items/search?utf8=%E2%9C%93&amp;oem=3986AGNBLV","3986AGNBLV")</f>
        <v>3986AGNBLV</v>
      </c>
      <c r="B2994" s="1" t="s">
        <v>5792</v>
      </c>
      <c r="C2994" s="9" t="s">
        <v>4782</v>
      </c>
      <c r="D2994" s="14" t="s">
        <v>5793</v>
      </c>
      <c r="E2994" s="9" t="s">
        <v>8</v>
      </c>
    </row>
    <row r="2995" spans="1:5" ht="15" customHeight="1" outlineLevel="2" x14ac:dyDescent="0.25">
      <c r="A2995" s="3" t="str">
        <f>HYPERLINK("http://mystore1.ru/price_items/search?utf8=%E2%9C%93&amp;oem=3986ASMST","3986ASMST")</f>
        <v>3986ASMST</v>
      </c>
      <c r="B2995" s="1" t="s">
        <v>5794</v>
      </c>
      <c r="C2995" s="9" t="s">
        <v>25</v>
      </c>
      <c r="D2995" s="14" t="s">
        <v>5795</v>
      </c>
      <c r="E2995" s="9" t="s">
        <v>27</v>
      </c>
    </row>
    <row r="2996" spans="1:5" ht="15" customHeight="1" outlineLevel="2" x14ac:dyDescent="0.25">
      <c r="A2996" s="3" t="str">
        <f>HYPERLINK("http://mystore1.ru/price_items/search?utf8=%E2%9C%93&amp;oem=3986BGNSA","3986BGNSA")</f>
        <v>3986BGNSA</v>
      </c>
      <c r="B2996" s="1" t="s">
        <v>5796</v>
      </c>
      <c r="C2996" s="9" t="s">
        <v>4782</v>
      </c>
      <c r="D2996" s="14" t="s">
        <v>5797</v>
      </c>
      <c r="E2996" s="9" t="s">
        <v>30</v>
      </c>
    </row>
    <row r="2997" spans="1:5" ht="15" customHeight="1" outlineLevel="2" x14ac:dyDescent="0.25">
      <c r="A2997" s="3" t="str">
        <f>HYPERLINK("http://mystore1.ru/price_items/search?utf8=%E2%9C%93&amp;oem=3986LGNE5RDW","3986LGNE5RDW")</f>
        <v>3986LGNE5RDW</v>
      </c>
      <c r="B2997" s="1" t="s">
        <v>5798</v>
      </c>
      <c r="C2997" s="9" t="s">
        <v>4782</v>
      </c>
      <c r="D2997" s="14" t="s">
        <v>5799</v>
      </c>
      <c r="E2997" s="9" t="s">
        <v>11</v>
      </c>
    </row>
    <row r="2998" spans="1:5" ht="15" customHeight="1" outlineLevel="2" x14ac:dyDescent="0.25">
      <c r="A2998" s="3" t="str">
        <f>HYPERLINK("http://mystore1.ru/price_items/search?utf8=%E2%9C%93&amp;oem=3986LGNS4FDW","3986LGNS4FDW")</f>
        <v>3986LGNS4FDW</v>
      </c>
      <c r="B2998" s="1" t="s">
        <v>5800</v>
      </c>
      <c r="C2998" s="9" t="s">
        <v>4782</v>
      </c>
      <c r="D2998" s="14" t="s">
        <v>5801</v>
      </c>
      <c r="E2998" s="9" t="s">
        <v>11</v>
      </c>
    </row>
    <row r="2999" spans="1:5" ht="15" customHeight="1" outlineLevel="2" x14ac:dyDescent="0.25">
      <c r="A2999" s="3" t="str">
        <f>HYPERLINK("http://mystore1.ru/price_items/search?utf8=%E2%9C%93&amp;oem=3986LGNS4RDW","3986LGNS4RDW")</f>
        <v>3986LGNS4RDW</v>
      </c>
      <c r="B2999" s="1" t="s">
        <v>5802</v>
      </c>
      <c r="C2999" s="9" t="s">
        <v>4782</v>
      </c>
      <c r="D2999" s="14" t="s">
        <v>5803</v>
      </c>
      <c r="E2999" s="9" t="s">
        <v>11</v>
      </c>
    </row>
    <row r="3000" spans="1:5" ht="15" customHeight="1" outlineLevel="2" x14ac:dyDescent="0.25">
      <c r="A3000" s="3" t="str">
        <f>HYPERLINK("http://mystore1.ru/price_items/search?utf8=%E2%9C%93&amp;oem=3986LGNS4RV","3986LGNS4RV")</f>
        <v>3986LGNS4RV</v>
      </c>
      <c r="B3000" s="1" t="s">
        <v>5804</v>
      </c>
      <c r="C3000" s="9" t="s">
        <v>4782</v>
      </c>
      <c r="D3000" s="14" t="s">
        <v>5805</v>
      </c>
      <c r="E3000" s="9" t="s">
        <v>11</v>
      </c>
    </row>
    <row r="3001" spans="1:5" ht="15" customHeight="1" outlineLevel="2" x14ac:dyDescent="0.25">
      <c r="A3001" s="3" t="str">
        <f>HYPERLINK("http://mystore1.ru/price_items/search?utf8=%E2%9C%93&amp;oem=3986RGNE5RDW","3986RGNE5RDW")</f>
        <v>3986RGNE5RDW</v>
      </c>
      <c r="B3001" s="1" t="s">
        <v>5806</v>
      </c>
      <c r="C3001" s="9" t="s">
        <v>4782</v>
      </c>
      <c r="D3001" s="14" t="s">
        <v>5807</v>
      </c>
      <c r="E3001" s="9" t="s">
        <v>11</v>
      </c>
    </row>
    <row r="3002" spans="1:5" ht="15" customHeight="1" outlineLevel="2" x14ac:dyDescent="0.25">
      <c r="A3002" s="3" t="str">
        <f>HYPERLINK("http://mystore1.ru/price_items/search?utf8=%E2%9C%93&amp;oem=3986RGNS4FDW","3986RGNS4FDW")</f>
        <v>3986RGNS4FDW</v>
      </c>
      <c r="B3002" s="1" t="s">
        <v>5808</v>
      </c>
      <c r="C3002" s="9" t="s">
        <v>4782</v>
      </c>
      <c r="D3002" s="14" t="s">
        <v>5809</v>
      </c>
      <c r="E3002" s="9" t="s">
        <v>11</v>
      </c>
    </row>
    <row r="3003" spans="1:5" ht="15" customHeight="1" outlineLevel="2" x14ac:dyDescent="0.25">
      <c r="A3003" s="3" t="str">
        <f>HYPERLINK("http://mystore1.ru/price_items/search?utf8=%E2%9C%93&amp;oem=3986RGNS4RDW","3986RGNS4RDW")</f>
        <v>3986RGNS4RDW</v>
      </c>
      <c r="B3003" s="1" t="s">
        <v>5810</v>
      </c>
      <c r="C3003" s="9" t="s">
        <v>4782</v>
      </c>
      <c r="D3003" s="14" t="s">
        <v>5811</v>
      </c>
      <c r="E3003" s="9" t="s">
        <v>11</v>
      </c>
    </row>
    <row r="3004" spans="1:5" ht="15" customHeight="1" outlineLevel="2" x14ac:dyDescent="0.25">
      <c r="A3004" s="3" t="str">
        <f>HYPERLINK("http://mystore1.ru/price_items/search?utf8=%E2%9C%93&amp;oem=3986RGNS4RV","3986RGNS4RV")</f>
        <v>3986RGNS4RV</v>
      </c>
      <c r="B3004" s="1" t="s">
        <v>5812</v>
      </c>
      <c r="C3004" s="9" t="s">
        <v>1362</v>
      </c>
      <c r="D3004" s="14" t="s">
        <v>5813</v>
      </c>
      <c r="E3004" s="9" t="s">
        <v>11</v>
      </c>
    </row>
    <row r="3005" spans="1:5" outlineLevel="1" x14ac:dyDescent="0.25">
      <c r="A3005" s="2"/>
      <c r="B3005" s="6" t="s">
        <v>5814</v>
      </c>
      <c r="C3005" s="8"/>
      <c r="D3005" s="8"/>
      <c r="E3005" s="8"/>
    </row>
    <row r="3006" spans="1:5" ht="15" customHeight="1" outlineLevel="2" x14ac:dyDescent="0.25">
      <c r="A3006" s="3" t="str">
        <f>HYPERLINK("http://mystore1.ru/price_items/search?utf8=%E2%9C%93&amp;oem=4003AGNBLV","4003AGNBLV")</f>
        <v>4003AGNBLV</v>
      </c>
      <c r="B3006" s="1" t="s">
        <v>5815</v>
      </c>
      <c r="C3006" s="9" t="s">
        <v>642</v>
      </c>
      <c r="D3006" s="14" t="s">
        <v>5816</v>
      </c>
      <c r="E3006" s="9" t="s">
        <v>8</v>
      </c>
    </row>
    <row r="3007" spans="1:5" ht="15" customHeight="1" outlineLevel="2" x14ac:dyDescent="0.25">
      <c r="A3007" s="3" t="str">
        <f>HYPERLINK("http://mystore1.ru/price_items/search?utf8=%E2%9C%93&amp;oem=4003AGNBLMV1P","4003AGNBLMV1P")</f>
        <v>4003AGNBLMV1P</v>
      </c>
      <c r="B3007" s="1" t="s">
        <v>5817</v>
      </c>
      <c r="C3007" s="9" t="s">
        <v>642</v>
      </c>
      <c r="D3007" s="14" t="s">
        <v>5818</v>
      </c>
      <c r="E3007" s="9" t="s">
        <v>8</v>
      </c>
    </row>
    <row r="3008" spans="1:5" outlineLevel="1" x14ac:dyDescent="0.25">
      <c r="A3008" s="2"/>
      <c r="B3008" s="6" t="s">
        <v>5819</v>
      </c>
      <c r="C3008" s="8"/>
      <c r="D3008" s="8"/>
      <c r="E3008" s="8"/>
    </row>
    <row r="3009" spans="1:5" ht="15" customHeight="1" outlineLevel="2" x14ac:dyDescent="0.25">
      <c r="A3009" s="3" t="str">
        <f>HYPERLINK("http://mystore1.ru/price_items/search?utf8=%E2%9C%93&amp;oem=3990AGSBLW","3990AGSBLW")</f>
        <v>3990AGSBLW</v>
      </c>
      <c r="B3009" s="1" t="s">
        <v>5820</v>
      </c>
      <c r="C3009" s="9" t="s">
        <v>1499</v>
      </c>
      <c r="D3009" s="14" t="s">
        <v>5821</v>
      </c>
      <c r="E3009" s="9" t="s">
        <v>8</v>
      </c>
    </row>
    <row r="3010" spans="1:5" outlineLevel="1" x14ac:dyDescent="0.25">
      <c r="A3010" s="2"/>
      <c r="B3010" s="6" t="s">
        <v>5822</v>
      </c>
      <c r="C3010" s="8"/>
      <c r="D3010" s="8"/>
      <c r="E3010" s="8"/>
    </row>
    <row r="3011" spans="1:5" ht="15" customHeight="1" outlineLevel="2" x14ac:dyDescent="0.25">
      <c r="A3011" s="3" t="str">
        <f>HYPERLINK("http://mystore1.ru/price_items/search?utf8=%E2%9C%93&amp;oem=3921ABL","3921ABL")</f>
        <v>3921ABL</v>
      </c>
      <c r="B3011" s="1" t="s">
        <v>5823</v>
      </c>
      <c r="C3011" s="9" t="s">
        <v>5824</v>
      </c>
      <c r="D3011" s="14" t="s">
        <v>5825</v>
      </c>
      <c r="E3011" s="9" t="s">
        <v>8</v>
      </c>
    </row>
    <row r="3012" spans="1:5" ht="15" customHeight="1" outlineLevel="2" x14ac:dyDescent="0.25">
      <c r="A3012" s="3" t="str">
        <f>HYPERLINK("http://mystore1.ru/price_items/search?utf8=%E2%9C%93&amp;oem=3921ABLBL","3921ABLBL")</f>
        <v>3921ABLBL</v>
      </c>
      <c r="B3012" s="1" t="s">
        <v>5826</v>
      </c>
      <c r="C3012" s="9" t="s">
        <v>5824</v>
      </c>
      <c r="D3012" s="14" t="s">
        <v>5827</v>
      </c>
      <c r="E3012" s="9" t="s">
        <v>8</v>
      </c>
    </row>
    <row r="3013" spans="1:5" ht="15" customHeight="1" outlineLevel="2" x14ac:dyDescent="0.25">
      <c r="A3013" s="3" t="str">
        <f>HYPERLINK("http://mystore1.ru/price_items/search?utf8=%E2%9C%93&amp;oem=3921ASCCB","3921ASCCB")</f>
        <v>3921ASCCB</v>
      </c>
      <c r="B3013" s="1" t="s">
        <v>5828</v>
      </c>
      <c r="C3013" s="9" t="s">
        <v>25</v>
      </c>
      <c r="D3013" s="14" t="s">
        <v>5829</v>
      </c>
      <c r="E3013" s="9" t="s">
        <v>27</v>
      </c>
    </row>
    <row r="3014" spans="1:5" ht="15" customHeight="1" outlineLevel="2" x14ac:dyDescent="0.25">
      <c r="A3014" s="3" t="str">
        <f>HYPERLINK("http://mystore1.ru/price_items/search?utf8=%E2%9C%93&amp;oem=3921RBLC2FD","3921RBLC2FD")</f>
        <v>3921RBLC2FD</v>
      </c>
      <c r="B3014" s="1" t="s">
        <v>5830</v>
      </c>
      <c r="C3014" s="9" t="s">
        <v>5824</v>
      </c>
      <c r="D3014" s="14" t="s">
        <v>5831</v>
      </c>
      <c r="E3014" s="9" t="s">
        <v>11</v>
      </c>
    </row>
    <row r="3015" spans="1:5" outlineLevel="1" x14ac:dyDescent="0.25">
      <c r="A3015" s="2"/>
      <c r="B3015" s="6" t="s">
        <v>5832</v>
      </c>
      <c r="C3015" s="8"/>
      <c r="D3015" s="8"/>
      <c r="E3015" s="8"/>
    </row>
    <row r="3016" spans="1:5" ht="15" customHeight="1" outlineLevel="2" x14ac:dyDescent="0.25">
      <c r="A3016" s="3" t="str">
        <f>HYPERLINK("http://mystore1.ru/price_items/search?utf8=%E2%9C%93&amp;oem=3922ABL","3922ABL")</f>
        <v>3922ABL</v>
      </c>
      <c r="B3016" s="1" t="s">
        <v>5833</v>
      </c>
      <c r="C3016" s="9" t="s">
        <v>5824</v>
      </c>
      <c r="D3016" s="14" t="s">
        <v>5834</v>
      </c>
      <c r="E3016" s="9" t="s">
        <v>8</v>
      </c>
    </row>
    <row r="3017" spans="1:5" outlineLevel="1" x14ac:dyDescent="0.25">
      <c r="A3017" s="2"/>
      <c r="B3017" s="6" t="s">
        <v>5835</v>
      </c>
      <c r="C3017" s="8"/>
      <c r="D3017" s="8"/>
      <c r="E3017" s="8"/>
    </row>
    <row r="3018" spans="1:5" ht="15" customHeight="1" outlineLevel="2" x14ac:dyDescent="0.25">
      <c r="A3018" s="3" t="str">
        <f>HYPERLINK("http://mystore1.ru/price_items/search?utf8=%E2%9C%93&amp;oem=3920ABL","3920ABL")</f>
        <v>3920ABL</v>
      </c>
      <c r="B3018" s="1" t="s">
        <v>5836</v>
      </c>
      <c r="C3018" s="9" t="s">
        <v>5837</v>
      </c>
      <c r="D3018" s="14" t="s">
        <v>5838</v>
      </c>
      <c r="E3018" s="9" t="s">
        <v>8</v>
      </c>
    </row>
    <row r="3019" spans="1:5" ht="15" customHeight="1" outlineLevel="2" x14ac:dyDescent="0.25">
      <c r="A3019" s="3" t="str">
        <f>HYPERLINK("http://mystore1.ru/price_items/search?utf8=%E2%9C%93&amp;oem=3920AKCH","3920AKCH")</f>
        <v>3920AKCH</v>
      </c>
      <c r="B3019" s="1" t="s">
        <v>5839</v>
      </c>
      <c r="C3019" s="9" t="s">
        <v>25</v>
      </c>
      <c r="D3019" s="14" t="s">
        <v>5840</v>
      </c>
      <c r="E3019" s="9" t="s">
        <v>27</v>
      </c>
    </row>
    <row r="3020" spans="1:5" ht="15" customHeight="1" outlineLevel="2" x14ac:dyDescent="0.25">
      <c r="A3020" s="3" t="str">
        <f>HYPERLINK("http://mystore1.ru/price_items/search?utf8=%E2%9C%93&amp;oem=3920LBLH3FDW","3920LBLH3FDW")</f>
        <v>3920LBLH3FDW</v>
      </c>
      <c r="B3020" s="1" t="s">
        <v>5841</v>
      </c>
      <c r="C3020" s="9" t="s">
        <v>5837</v>
      </c>
      <c r="D3020" s="14" t="s">
        <v>5842</v>
      </c>
      <c r="E3020" s="9" t="s">
        <v>11</v>
      </c>
    </row>
    <row r="3021" spans="1:5" outlineLevel="1" x14ac:dyDescent="0.25">
      <c r="A3021" s="2"/>
      <c r="B3021" s="6" t="s">
        <v>5843</v>
      </c>
      <c r="C3021" s="8"/>
      <c r="D3021" s="8"/>
      <c r="E3021" s="8"/>
    </row>
    <row r="3022" spans="1:5" ht="15" customHeight="1" outlineLevel="2" x14ac:dyDescent="0.25">
      <c r="A3022" s="3" t="str">
        <f>HYPERLINK("http://mystore1.ru/price_items/search?utf8=%E2%9C%93&amp;oem=3925ABL","3925ABL")</f>
        <v>3925ABL</v>
      </c>
      <c r="B3022" s="1" t="s">
        <v>5844</v>
      </c>
      <c r="C3022" s="9" t="s">
        <v>5845</v>
      </c>
      <c r="D3022" s="14" t="s">
        <v>5846</v>
      </c>
      <c r="E3022" s="9" t="s">
        <v>8</v>
      </c>
    </row>
    <row r="3023" spans="1:5" outlineLevel="1" x14ac:dyDescent="0.25">
      <c r="A3023" s="2"/>
      <c r="B3023" s="6" t="s">
        <v>5847</v>
      </c>
      <c r="C3023" s="8"/>
      <c r="D3023" s="8"/>
      <c r="E3023" s="8"/>
    </row>
    <row r="3024" spans="1:5" ht="15" customHeight="1" outlineLevel="2" x14ac:dyDescent="0.25">
      <c r="A3024" s="3" t="str">
        <f>HYPERLINK("http://mystore1.ru/price_items/search?utf8=%E2%9C%93&amp;oem=3934ABL","3934ABL")</f>
        <v>3934ABL</v>
      </c>
      <c r="B3024" s="1" t="s">
        <v>5848</v>
      </c>
      <c r="C3024" s="9" t="s">
        <v>5849</v>
      </c>
      <c r="D3024" s="14" t="s">
        <v>5850</v>
      </c>
      <c r="E3024" s="9" t="s">
        <v>8</v>
      </c>
    </row>
    <row r="3025" spans="1:5" ht="15" customHeight="1" outlineLevel="2" x14ac:dyDescent="0.25">
      <c r="A3025" s="3" t="str">
        <f>HYPERLINK("http://mystore1.ru/price_items/search?utf8=%E2%9C%93&amp;oem=3934RBLV5FDW","3934RBLV5FDW")</f>
        <v>3934RBLV5FDW</v>
      </c>
      <c r="B3025" s="1" t="s">
        <v>5851</v>
      </c>
      <c r="C3025" s="9" t="s">
        <v>5849</v>
      </c>
      <c r="D3025" s="14" t="s">
        <v>5852</v>
      </c>
      <c r="E3025" s="9" t="s">
        <v>11</v>
      </c>
    </row>
    <row r="3026" spans="1:5" outlineLevel="1" x14ac:dyDescent="0.25">
      <c r="A3026" s="2"/>
      <c r="B3026" s="6" t="s">
        <v>5853</v>
      </c>
      <c r="C3026" s="8"/>
      <c r="D3026" s="8"/>
      <c r="E3026" s="8"/>
    </row>
    <row r="3027" spans="1:5" ht="15" customHeight="1" outlineLevel="2" x14ac:dyDescent="0.25">
      <c r="A3027" s="3" t="str">
        <f>HYPERLINK("http://mystore1.ru/price_items/search?utf8=%E2%9C%93&amp;oem=3930ABL","3930ABL")</f>
        <v>3930ABL</v>
      </c>
      <c r="B3027" s="1" t="s">
        <v>5854</v>
      </c>
      <c r="C3027" s="9" t="s">
        <v>5855</v>
      </c>
      <c r="D3027" s="14" t="s">
        <v>5856</v>
      </c>
      <c r="E3027" s="9" t="s">
        <v>8</v>
      </c>
    </row>
    <row r="3028" spans="1:5" ht="15" customHeight="1" outlineLevel="2" x14ac:dyDescent="0.25">
      <c r="A3028" s="3" t="str">
        <f>HYPERLINK("http://mystore1.ru/price_items/search?utf8=%E2%9C%93&amp;oem=3930ABLBL","3930ABLBL")</f>
        <v>3930ABLBL</v>
      </c>
      <c r="B3028" s="1" t="s">
        <v>5857</v>
      </c>
      <c r="C3028" s="9" t="s">
        <v>5855</v>
      </c>
      <c r="D3028" s="14" t="s">
        <v>5858</v>
      </c>
      <c r="E3028" s="9" t="s">
        <v>8</v>
      </c>
    </row>
    <row r="3029" spans="1:5" ht="15" customHeight="1" outlineLevel="2" x14ac:dyDescent="0.25">
      <c r="A3029" s="3" t="str">
        <f>HYPERLINK("http://mystore1.ru/price_items/search?utf8=%E2%9C%93&amp;oem=3930ASMH","3930ASMH")</f>
        <v>3930ASMH</v>
      </c>
      <c r="B3029" s="1" t="s">
        <v>5859</v>
      </c>
      <c r="C3029" s="9" t="s">
        <v>25</v>
      </c>
      <c r="D3029" s="14" t="s">
        <v>5860</v>
      </c>
      <c r="E3029" s="9" t="s">
        <v>27</v>
      </c>
    </row>
    <row r="3030" spans="1:5" ht="15" customHeight="1" outlineLevel="2" x14ac:dyDescent="0.25">
      <c r="A3030" s="3" t="str">
        <f>HYPERLINK("http://mystore1.ru/price_items/search?utf8=%E2%9C%93&amp;oem=3930BBLH","3930BBLH")</f>
        <v>3930BBLH</v>
      </c>
      <c r="B3030" s="1" t="s">
        <v>5861</v>
      </c>
      <c r="C3030" s="9" t="s">
        <v>5855</v>
      </c>
      <c r="D3030" s="14" t="s">
        <v>5862</v>
      </c>
      <c r="E3030" s="9" t="s">
        <v>30</v>
      </c>
    </row>
    <row r="3031" spans="1:5" ht="15" customHeight="1" outlineLevel="2" x14ac:dyDescent="0.25">
      <c r="A3031" s="3" t="str">
        <f>HYPERLINK("http://mystore1.ru/price_items/search?utf8=%E2%9C%93&amp;oem=3930LBLH3FDW","3930LBLH3FDW")</f>
        <v>3930LBLH3FDW</v>
      </c>
      <c r="B3031" s="1" t="s">
        <v>5863</v>
      </c>
      <c r="C3031" s="9" t="s">
        <v>5855</v>
      </c>
      <c r="D3031" s="14" t="s">
        <v>5864</v>
      </c>
      <c r="E3031" s="9" t="s">
        <v>11</v>
      </c>
    </row>
    <row r="3032" spans="1:5" ht="15" customHeight="1" outlineLevel="2" x14ac:dyDescent="0.25">
      <c r="A3032" s="3" t="str">
        <f>HYPERLINK("http://mystore1.ru/price_items/search?utf8=%E2%9C%93&amp;oem=3930RBLH3FDW","3930RBLH3FDW")</f>
        <v>3930RBLH3FDW</v>
      </c>
      <c r="B3032" s="1" t="s">
        <v>5865</v>
      </c>
      <c r="C3032" s="9" t="s">
        <v>5855</v>
      </c>
      <c r="D3032" s="14" t="s">
        <v>5866</v>
      </c>
      <c r="E3032" s="9" t="s">
        <v>11</v>
      </c>
    </row>
    <row r="3033" spans="1:5" ht="15" customHeight="1" outlineLevel="2" x14ac:dyDescent="0.25">
      <c r="A3033" s="3" t="str">
        <f>HYPERLINK("http://mystore1.ru/price_items/search?utf8=%E2%9C%93&amp;oem=3930RBLH3RQO","3930RBLH3RQO")</f>
        <v>3930RBLH3RQO</v>
      </c>
      <c r="B3033" s="1" t="s">
        <v>5867</v>
      </c>
      <c r="C3033" s="9" t="s">
        <v>5855</v>
      </c>
      <c r="D3033" s="14" t="s">
        <v>5868</v>
      </c>
      <c r="E3033" s="9" t="s">
        <v>11</v>
      </c>
    </row>
    <row r="3034" spans="1:5" outlineLevel="1" x14ac:dyDescent="0.25">
      <c r="A3034" s="2"/>
      <c r="B3034" s="6" t="s">
        <v>5869</v>
      </c>
      <c r="C3034" s="8"/>
      <c r="D3034" s="8"/>
      <c r="E3034" s="8"/>
    </row>
    <row r="3035" spans="1:5" ht="15" customHeight="1" outlineLevel="2" x14ac:dyDescent="0.25">
      <c r="A3035" s="3" t="str">
        <f>HYPERLINK("http://mystore1.ru/price_items/search?utf8=%E2%9C%93&amp;oem=3932ABL","3932ABL")</f>
        <v>3932ABL</v>
      </c>
      <c r="B3035" s="1" t="s">
        <v>5870</v>
      </c>
      <c r="C3035" s="9" t="s">
        <v>5871</v>
      </c>
      <c r="D3035" s="14" t="s">
        <v>5872</v>
      </c>
      <c r="E3035" s="9" t="s">
        <v>8</v>
      </c>
    </row>
    <row r="3036" spans="1:5" ht="15" customHeight="1" outlineLevel="2" x14ac:dyDescent="0.25">
      <c r="A3036" s="3" t="str">
        <f>HYPERLINK("http://mystore1.ru/price_items/search?utf8=%E2%9C%93&amp;oem=3932ABLBL","3932ABLBL")</f>
        <v>3932ABLBL</v>
      </c>
      <c r="B3036" s="1" t="s">
        <v>5873</v>
      </c>
      <c r="C3036" s="9" t="s">
        <v>5871</v>
      </c>
      <c r="D3036" s="14" t="s">
        <v>5874</v>
      </c>
      <c r="E3036" s="9" t="s">
        <v>8</v>
      </c>
    </row>
    <row r="3037" spans="1:5" ht="15" customHeight="1" outlineLevel="2" x14ac:dyDescent="0.25">
      <c r="A3037" s="3" t="str">
        <f>HYPERLINK("http://mystore1.ru/price_items/search?utf8=%E2%9C%93&amp;oem=3932LBLC2FDW","3932LBLC2FDW")</f>
        <v>3932LBLC2FDW</v>
      </c>
      <c r="B3037" s="1" t="s">
        <v>5875</v>
      </c>
      <c r="C3037" s="9" t="s">
        <v>5871</v>
      </c>
      <c r="D3037" s="14" t="s">
        <v>5876</v>
      </c>
      <c r="E3037" s="9" t="s">
        <v>11</v>
      </c>
    </row>
    <row r="3038" spans="1:5" outlineLevel="1" x14ac:dyDescent="0.25">
      <c r="A3038" s="2"/>
      <c r="B3038" s="6" t="s">
        <v>5877</v>
      </c>
      <c r="C3038" s="8"/>
      <c r="D3038" s="8"/>
      <c r="E3038" s="8"/>
    </row>
    <row r="3039" spans="1:5" ht="15" customHeight="1" outlineLevel="2" x14ac:dyDescent="0.25">
      <c r="A3039" s="3" t="str">
        <f>HYPERLINK("http://mystore1.ru/price_items/search?utf8=%E2%9C%93&amp;oem=3935ABL","3935ABL")</f>
        <v>3935ABL</v>
      </c>
      <c r="B3039" s="1" t="s">
        <v>5878</v>
      </c>
      <c r="C3039" s="9" t="s">
        <v>4525</v>
      </c>
      <c r="D3039" s="14" t="s">
        <v>5879</v>
      </c>
      <c r="E3039" s="9" t="s">
        <v>8</v>
      </c>
    </row>
    <row r="3040" spans="1:5" ht="15" customHeight="1" outlineLevel="2" x14ac:dyDescent="0.25">
      <c r="A3040" s="3" t="str">
        <f>HYPERLINK("http://mystore1.ru/price_items/search?utf8=%E2%9C%93&amp;oem=3935ABLBL","3935ABLBL")</f>
        <v>3935ABLBL</v>
      </c>
      <c r="B3040" s="1" t="s">
        <v>5880</v>
      </c>
      <c r="C3040" s="9" t="s">
        <v>4525</v>
      </c>
      <c r="D3040" s="14" t="s">
        <v>5881</v>
      </c>
      <c r="E3040" s="9" t="s">
        <v>8</v>
      </c>
    </row>
    <row r="3041" spans="1:5" ht="15" customHeight="1" outlineLevel="2" x14ac:dyDescent="0.25">
      <c r="A3041" s="3" t="str">
        <f>HYPERLINK("http://mystore1.ru/price_items/search?utf8=%E2%9C%93&amp;oem=3935BBLS","3935BBLS")</f>
        <v>3935BBLS</v>
      </c>
      <c r="B3041" s="1" t="s">
        <v>5882</v>
      </c>
      <c r="C3041" s="9" t="s">
        <v>4525</v>
      </c>
      <c r="D3041" s="14" t="s">
        <v>5883</v>
      </c>
      <c r="E3041" s="9" t="s">
        <v>30</v>
      </c>
    </row>
    <row r="3042" spans="1:5" ht="15" customHeight="1" outlineLevel="2" x14ac:dyDescent="0.25">
      <c r="A3042" s="3" t="str">
        <f>HYPERLINK("http://mystore1.ru/price_items/search?utf8=%E2%9C%93&amp;oem=3935LBLS4FD","3935LBLS4FD")</f>
        <v>3935LBLS4FD</v>
      </c>
      <c r="B3042" s="1" t="s">
        <v>5884</v>
      </c>
      <c r="C3042" s="9" t="s">
        <v>4525</v>
      </c>
      <c r="D3042" s="14" t="s">
        <v>5885</v>
      </c>
      <c r="E3042" s="9" t="s">
        <v>11</v>
      </c>
    </row>
    <row r="3043" spans="1:5" ht="15" customHeight="1" outlineLevel="2" x14ac:dyDescent="0.25">
      <c r="A3043" s="3" t="str">
        <f>HYPERLINK("http://mystore1.ru/price_items/search?utf8=%E2%9C%93&amp;oem=3935LBLS4RD","3935LBLS4RD")</f>
        <v>3935LBLS4RD</v>
      </c>
      <c r="B3043" s="1" t="s">
        <v>5886</v>
      </c>
      <c r="C3043" s="9" t="s">
        <v>4525</v>
      </c>
      <c r="D3043" s="14" t="s">
        <v>5887</v>
      </c>
      <c r="E3043" s="9" t="s">
        <v>11</v>
      </c>
    </row>
    <row r="3044" spans="1:5" ht="15" customHeight="1" outlineLevel="2" x14ac:dyDescent="0.25">
      <c r="A3044" s="3" t="str">
        <f>HYPERLINK("http://mystore1.ru/price_items/search?utf8=%E2%9C%93&amp;oem=3935RBLS4FD","3935RBLS4FD")</f>
        <v>3935RBLS4FD</v>
      </c>
      <c r="B3044" s="1" t="s">
        <v>5888</v>
      </c>
      <c r="C3044" s="9" t="s">
        <v>4525</v>
      </c>
      <c r="D3044" s="14" t="s">
        <v>5889</v>
      </c>
      <c r="E3044" s="9" t="s">
        <v>11</v>
      </c>
    </row>
    <row r="3045" spans="1:5" ht="15" customHeight="1" outlineLevel="2" x14ac:dyDescent="0.25">
      <c r="A3045" s="3" t="str">
        <f>HYPERLINK("http://mystore1.ru/price_items/search?utf8=%E2%9C%93&amp;oem=3935RBLS4RD","3935RBLS4RD")</f>
        <v>3935RBLS4RD</v>
      </c>
      <c r="B3045" s="1" t="s">
        <v>5890</v>
      </c>
      <c r="C3045" s="9" t="s">
        <v>4525</v>
      </c>
      <c r="D3045" s="14" t="s">
        <v>5891</v>
      </c>
      <c r="E3045" s="9" t="s">
        <v>11</v>
      </c>
    </row>
    <row r="3046" spans="1:5" outlineLevel="1" x14ac:dyDescent="0.25">
      <c r="A3046" s="2"/>
      <c r="B3046" s="6" t="s">
        <v>5892</v>
      </c>
      <c r="C3046" s="8"/>
      <c r="D3046" s="8"/>
      <c r="E3046" s="8"/>
    </row>
    <row r="3047" spans="1:5" ht="15" customHeight="1" outlineLevel="2" x14ac:dyDescent="0.25">
      <c r="A3047" s="3" t="str">
        <f>HYPERLINK("http://mystore1.ru/price_items/search?utf8=%E2%9C%93&amp;oem=3940ABL","3940ABL")</f>
        <v>3940ABL</v>
      </c>
      <c r="B3047" s="1" t="s">
        <v>5893</v>
      </c>
      <c r="C3047" s="9" t="s">
        <v>1985</v>
      </c>
      <c r="D3047" s="14" t="s">
        <v>5894</v>
      </c>
      <c r="E3047" s="9" t="s">
        <v>8</v>
      </c>
    </row>
    <row r="3048" spans="1:5" ht="15" customHeight="1" outlineLevel="2" x14ac:dyDescent="0.25">
      <c r="A3048" s="3" t="str">
        <f>HYPERLINK("http://mystore1.ru/price_items/search?utf8=%E2%9C%93&amp;oem=3940ABLBL","3940ABLBL")</f>
        <v>3940ABLBL</v>
      </c>
      <c r="B3048" s="1" t="s">
        <v>5895</v>
      </c>
      <c r="C3048" s="9" t="s">
        <v>1985</v>
      </c>
      <c r="D3048" s="14" t="s">
        <v>5896</v>
      </c>
      <c r="E3048" s="9" t="s">
        <v>8</v>
      </c>
    </row>
    <row r="3049" spans="1:5" ht="15" customHeight="1" outlineLevel="2" x14ac:dyDescent="0.25">
      <c r="A3049" s="3" t="str">
        <f>HYPERLINK("http://mystore1.ru/price_items/search?utf8=%E2%9C%93&amp;oem=3940AGN","3940AGN")</f>
        <v>3940AGN</v>
      </c>
      <c r="B3049" s="1" t="s">
        <v>5897</v>
      </c>
      <c r="C3049" s="9" t="s">
        <v>1985</v>
      </c>
      <c r="D3049" s="14" t="s">
        <v>5898</v>
      </c>
      <c r="E3049" s="9" t="s">
        <v>8</v>
      </c>
    </row>
    <row r="3050" spans="1:5" ht="15" customHeight="1" outlineLevel="2" x14ac:dyDescent="0.25">
      <c r="A3050" s="3" t="str">
        <f>HYPERLINK("http://mystore1.ru/price_items/search?utf8=%E2%9C%93&amp;oem=3940AGNBL","3940AGNBL")</f>
        <v>3940AGNBL</v>
      </c>
      <c r="B3050" s="1" t="s">
        <v>5899</v>
      </c>
      <c r="C3050" s="9" t="s">
        <v>1985</v>
      </c>
      <c r="D3050" s="14" t="s">
        <v>5900</v>
      </c>
      <c r="E3050" s="9" t="s">
        <v>8</v>
      </c>
    </row>
    <row r="3051" spans="1:5" ht="15" customHeight="1" outlineLevel="2" x14ac:dyDescent="0.25">
      <c r="A3051" s="3" t="str">
        <f>HYPERLINK("http://mystore1.ru/price_items/search?utf8=%E2%9C%93&amp;oem=3940AKCS","3940AKCS")</f>
        <v>3940AKCS</v>
      </c>
      <c r="B3051" s="1" t="s">
        <v>5901</v>
      </c>
      <c r="C3051" s="9" t="s">
        <v>25</v>
      </c>
      <c r="D3051" s="14" t="s">
        <v>5902</v>
      </c>
      <c r="E3051" s="9" t="s">
        <v>27</v>
      </c>
    </row>
    <row r="3052" spans="1:5" ht="15" customHeight="1" outlineLevel="2" x14ac:dyDescent="0.25">
      <c r="A3052" s="3" t="str">
        <f>HYPERLINK("http://mystore1.ru/price_items/search?utf8=%E2%9C%93&amp;oem=3940BGNS","3940BGNS")</f>
        <v>3940BGNS</v>
      </c>
      <c r="B3052" s="1" t="s">
        <v>5903</v>
      </c>
      <c r="C3052" s="9" t="s">
        <v>1985</v>
      </c>
      <c r="D3052" s="14" t="s">
        <v>5904</v>
      </c>
      <c r="E3052" s="9" t="s">
        <v>30</v>
      </c>
    </row>
    <row r="3053" spans="1:5" ht="15" customHeight="1" outlineLevel="2" x14ac:dyDescent="0.25">
      <c r="A3053" s="3" t="str">
        <f>HYPERLINK("http://mystore1.ru/price_items/search?utf8=%E2%9C%93&amp;oem=3940LBLS4FDW","3940LBLS4FDW")</f>
        <v>3940LBLS4FDW</v>
      </c>
      <c r="B3053" s="1" t="s">
        <v>5905</v>
      </c>
      <c r="C3053" s="9" t="s">
        <v>1985</v>
      </c>
      <c r="D3053" s="14" t="s">
        <v>5906</v>
      </c>
      <c r="E3053" s="9" t="s">
        <v>11</v>
      </c>
    </row>
    <row r="3054" spans="1:5" ht="15" customHeight="1" outlineLevel="2" x14ac:dyDescent="0.25">
      <c r="A3054" s="3" t="str">
        <f>HYPERLINK("http://mystore1.ru/price_items/search?utf8=%E2%9C%93&amp;oem=3940RBLS4FDW","3940RBLS4FDW")</f>
        <v>3940RBLS4FDW</v>
      </c>
      <c r="B3054" s="1" t="s">
        <v>5907</v>
      </c>
      <c r="C3054" s="9" t="s">
        <v>1985</v>
      </c>
      <c r="D3054" s="14" t="s">
        <v>5908</v>
      </c>
      <c r="E3054" s="9" t="s">
        <v>11</v>
      </c>
    </row>
    <row r="3055" spans="1:5" outlineLevel="1" x14ac:dyDescent="0.25">
      <c r="A3055" s="2"/>
      <c r="B3055" s="6" t="s">
        <v>5909</v>
      </c>
      <c r="C3055" s="8"/>
      <c r="D3055" s="8"/>
      <c r="E3055" s="8"/>
    </row>
    <row r="3056" spans="1:5" ht="15" customHeight="1" outlineLevel="2" x14ac:dyDescent="0.25">
      <c r="A3056" s="3" t="str">
        <f>HYPERLINK("http://mystore1.ru/price_items/search?utf8=%E2%9C%93&amp;oem=3941ABL","3941ABL")</f>
        <v>3941ABL</v>
      </c>
      <c r="B3056" s="1" t="s">
        <v>5910</v>
      </c>
      <c r="C3056" s="9" t="s">
        <v>5911</v>
      </c>
      <c r="D3056" s="14" t="s">
        <v>5912</v>
      </c>
      <c r="E3056" s="9" t="s">
        <v>8</v>
      </c>
    </row>
    <row r="3057" spans="1:5" ht="15" customHeight="1" outlineLevel="2" x14ac:dyDescent="0.25">
      <c r="A3057" s="3" t="str">
        <f>HYPERLINK("http://mystore1.ru/price_items/search?utf8=%E2%9C%93&amp;oem=3941ABLBL","3941ABLBL")</f>
        <v>3941ABLBL</v>
      </c>
      <c r="B3057" s="1" t="s">
        <v>5913</v>
      </c>
      <c r="C3057" s="9" t="s">
        <v>5911</v>
      </c>
      <c r="D3057" s="14" t="s">
        <v>5914</v>
      </c>
      <c r="E3057" s="9" t="s">
        <v>8</v>
      </c>
    </row>
    <row r="3058" spans="1:5" ht="15" customHeight="1" outlineLevel="2" x14ac:dyDescent="0.25">
      <c r="A3058" s="3" t="str">
        <f>HYPERLINK("http://mystore1.ru/price_items/search?utf8=%E2%9C%93&amp;oem=3941AGN","3941AGN")</f>
        <v>3941AGN</v>
      </c>
      <c r="B3058" s="1" t="s">
        <v>5915</v>
      </c>
      <c r="C3058" s="9" t="s">
        <v>5911</v>
      </c>
      <c r="D3058" s="14" t="s">
        <v>5916</v>
      </c>
      <c r="E3058" s="9" t="s">
        <v>8</v>
      </c>
    </row>
    <row r="3059" spans="1:5" ht="15" customHeight="1" outlineLevel="2" x14ac:dyDescent="0.25">
      <c r="A3059" s="3" t="str">
        <f>HYPERLINK("http://mystore1.ru/price_items/search?utf8=%E2%9C%93&amp;oem=3941AKCH","3941AKCH")</f>
        <v>3941AKCH</v>
      </c>
      <c r="B3059" s="1" t="s">
        <v>5917</v>
      </c>
      <c r="C3059" s="9" t="s">
        <v>25</v>
      </c>
      <c r="D3059" s="14" t="s">
        <v>5918</v>
      </c>
      <c r="E3059" s="9" t="s">
        <v>27</v>
      </c>
    </row>
    <row r="3060" spans="1:5" ht="15" customHeight="1" outlineLevel="2" x14ac:dyDescent="0.25">
      <c r="A3060" s="3" t="str">
        <f>HYPERLINK("http://mystore1.ru/price_items/search?utf8=%E2%9C%93&amp;oem=3941AKSH","3941AKSH")</f>
        <v>3941AKSH</v>
      </c>
      <c r="B3060" s="1" t="s">
        <v>5919</v>
      </c>
      <c r="C3060" s="9" t="s">
        <v>25</v>
      </c>
      <c r="D3060" s="14" t="s">
        <v>5920</v>
      </c>
      <c r="E3060" s="9" t="s">
        <v>27</v>
      </c>
    </row>
    <row r="3061" spans="1:5" ht="15" customHeight="1" outlineLevel="2" x14ac:dyDescent="0.25">
      <c r="A3061" s="3" t="str">
        <f>HYPERLINK("http://mystore1.ru/price_items/search?utf8=%E2%9C%93&amp;oem=3941ASMHT","3941ASMHT")</f>
        <v>3941ASMHT</v>
      </c>
      <c r="B3061" s="1" t="s">
        <v>5921</v>
      </c>
      <c r="C3061" s="9" t="s">
        <v>25</v>
      </c>
      <c r="D3061" s="14" t="s">
        <v>5922</v>
      </c>
      <c r="E3061" s="9" t="s">
        <v>27</v>
      </c>
    </row>
    <row r="3062" spans="1:5" ht="15" customHeight="1" outlineLevel="2" x14ac:dyDescent="0.25">
      <c r="A3062" s="3" t="str">
        <f>HYPERLINK("http://mystore1.ru/price_items/search?utf8=%E2%9C%93&amp;oem=3941BBLH","3941BBLH")</f>
        <v>3941BBLH</v>
      </c>
      <c r="B3062" s="1" t="s">
        <v>5923</v>
      </c>
      <c r="C3062" s="9" t="s">
        <v>5911</v>
      </c>
      <c r="D3062" s="14" t="s">
        <v>5924</v>
      </c>
      <c r="E3062" s="9" t="s">
        <v>30</v>
      </c>
    </row>
    <row r="3063" spans="1:5" ht="15" customHeight="1" outlineLevel="2" x14ac:dyDescent="0.25">
      <c r="A3063" s="3" t="str">
        <f>HYPERLINK("http://mystore1.ru/price_items/search?utf8=%E2%9C%93&amp;oem=3941LBLH3FDW","3941LBLH3FDW")</f>
        <v>3941LBLH3FDW</v>
      </c>
      <c r="B3063" s="1" t="s">
        <v>5925</v>
      </c>
      <c r="C3063" s="9" t="s">
        <v>5911</v>
      </c>
      <c r="D3063" s="14" t="s">
        <v>5926</v>
      </c>
      <c r="E3063" s="9" t="s">
        <v>11</v>
      </c>
    </row>
    <row r="3064" spans="1:5" ht="15" customHeight="1" outlineLevel="2" x14ac:dyDescent="0.25">
      <c r="A3064" s="3" t="str">
        <f>HYPERLINK("http://mystore1.ru/price_items/search?utf8=%E2%9C%93&amp;oem=3941RBLH3FDW","3941RBLH3FDW")</f>
        <v>3941RBLH3FDW</v>
      </c>
      <c r="B3064" s="1" t="s">
        <v>5927</v>
      </c>
      <c r="C3064" s="9" t="s">
        <v>5911</v>
      </c>
      <c r="D3064" s="14" t="s">
        <v>5928</v>
      </c>
      <c r="E3064" s="9" t="s">
        <v>11</v>
      </c>
    </row>
    <row r="3065" spans="1:5" ht="15" customHeight="1" outlineLevel="2" x14ac:dyDescent="0.25">
      <c r="A3065" s="3" t="str">
        <f>HYPERLINK("http://mystore1.ru/price_items/search?utf8=%E2%9C%93&amp;oem=3941RBLH3RQ","3941RBLH3RQ")</f>
        <v>3941RBLH3RQ</v>
      </c>
      <c r="B3065" s="1" t="s">
        <v>5929</v>
      </c>
      <c r="C3065" s="9" t="s">
        <v>5911</v>
      </c>
      <c r="D3065" s="14" t="s">
        <v>5930</v>
      </c>
      <c r="E3065" s="9" t="s">
        <v>11</v>
      </c>
    </row>
    <row r="3066" spans="1:5" outlineLevel="1" x14ac:dyDescent="0.25">
      <c r="A3066" s="2"/>
      <c r="B3066" s="6" t="s">
        <v>5931</v>
      </c>
      <c r="C3066" s="8"/>
      <c r="D3066" s="8"/>
      <c r="E3066" s="8"/>
    </row>
    <row r="3067" spans="1:5" ht="15" customHeight="1" outlineLevel="2" x14ac:dyDescent="0.25">
      <c r="A3067" s="3" t="str">
        <f>HYPERLINK("http://mystore1.ru/price_items/search?utf8=%E2%9C%93&amp;oem=3951AGN","3951AGN")</f>
        <v>3951AGN</v>
      </c>
      <c r="B3067" s="1" t="s">
        <v>5932</v>
      </c>
      <c r="C3067" s="9" t="s">
        <v>5213</v>
      </c>
      <c r="D3067" s="14" t="s">
        <v>5933</v>
      </c>
      <c r="E3067" s="9" t="s">
        <v>8</v>
      </c>
    </row>
    <row r="3068" spans="1:5" ht="15" customHeight="1" outlineLevel="2" x14ac:dyDescent="0.25">
      <c r="A3068" s="3" t="str">
        <f>HYPERLINK("http://mystore1.ru/price_items/search?utf8=%E2%9C%93&amp;oem=3951AGNBL","3951AGNBL")</f>
        <v>3951AGNBL</v>
      </c>
      <c r="B3068" s="1" t="s">
        <v>5934</v>
      </c>
      <c r="C3068" s="9" t="s">
        <v>5213</v>
      </c>
      <c r="D3068" s="14" t="s">
        <v>5935</v>
      </c>
      <c r="E3068" s="9" t="s">
        <v>8</v>
      </c>
    </row>
    <row r="3069" spans="1:5" ht="15" customHeight="1" outlineLevel="2" x14ac:dyDescent="0.25">
      <c r="A3069" s="3" t="str">
        <f>HYPERLINK("http://mystore1.ru/price_items/search?utf8=%E2%9C%93&amp;oem=3951LGNC2FDW","3951LGNC2FDW")</f>
        <v>3951LGNC2FDW</v>
      </c>
      <c r="B3069" s="1" t="s">
        <v>5936</v>
      </c>
      <c r="C3069" s="9" t="s">
        <v>5213</v>
      </c>
      <c r="D3069" s="14" t="s">
        <v>5937</v>
      </c>
      <c r="E3069" s="9" t="s">
        <v>11</v>
      </c>
    </row>
    <row r="3070" spans="1:5" ht="15" customHeight="1" outlineLevel="2" x14ac:dyDescent="0.25">
      <c r="A3070" s="3" t="str">
        <f>HYPERLINK("http://mystore1.ru/price_items/search?utf8=%E2%9C%93&amp;oem=3951RGNC2FDW","3951RGNC2FDW")</f>
        <v>3951RGNC2FDW</v>
      </c>
      <c r="B3070" s="1" t="s">
        <v>5938</v>
      </c>
      <c r="C3070" s="9" t="s">
        <v>5213</v>
      </c>
      <c r="D3070" s="14" t="s">
        <v>5939</v>
      </c>
      <c r="E3070" s="9" t="s">
        <v>11</v>
      </c>
    </row>
    <row r="3071" spans="1:5" outlineLevel="1" x14ac:dyDescent="0.25">
      <c r="A3071" s="2"/>
      <c r="B3071" s="6" t="s">
        <v>5940</v>
      </c>
      <c r="C3071" s="8"/>
      <c r="D3071" s="8"/>
      <c r="E3071" s="8"/>
    </row>
    <row r="3072" spans="1:5" ht="15" customHeight="1" outlineLevel="2" x14ac:dyDescent="0.25">
      <c r="A3072" s="3" t="str">
        <f>HYPERLINK("http://mystore1.ru/price_items/search?utf8=%E2%9C%93&amp;oem=3955AGN","3955AGN")</f>
        <v>3955AGN</v>
      </c>
      <c r="B3072" s="1" t="s">
        <v>5941</v>
      </c>
      <c r="C3072" s="9" t="s">
        <v>1625</v>
      </c>
      <c r="D3072" s="14" t="s">
        <v>5942</v>
      </c>
      <c r="E3072" s="9" t="s">
        <v>8</v>
      </c>
    </row>
    <row r="3073" spans="1:5" ht="15" customHeight="1" outlineLevel="2" x14ac:dyDescent="0.25">
      <c r="A3073" s="3" t="str">
        <f>HYPERLINK("http://mystore1.ru/price_items/search?utf8=%E2%9C%93&amp;oem=3955ASMV","3955ASMV")</f>
        <v>3955ASMV</v>
      </c>
      <c r="B3073" s="1" t="s">
        <v>5943</v>
      </c>
      <c r="C3073" s="9" t="s">
        <v>25</v>
      </c>
      <c r="D3073" s="14" t="s">
        <v>5944</v>
      </c>
      <c r="E3073" s="9" t="s">
        <v>27</v>
      </c>
    </row>
    <row r="3074" spans="1:5" ht="15" customHeight="1" outlineLevel="2" x14ac:dyDescent="0.25">
      <c r="A3074" s="3" t="str">
        <f>HYPERLINK("http://mystore1.ru/price_items/search?utf8=%E2%9C%93&amp;oem=3955ASMVT","3955ASMVT")</f>
        <v>3955ASMVT</v>
      </c>
      <c r="B3074" s="1" t="s">
        <v>5945</v>
      </c>
      <c r="C3074" s="9" t="s">
        <v>25</v>
      </c>
      <c r="D3074" s="14" t="s">
        <v>5946</v>
      </c>
      <c r="E3074" s="9" t="s">
        <v>27</v>
      </c>
    </row>
    <row r="3075" spans="1:5" ht="15" customHeight="1" outlineLevel="2" x14ac:dyDescent="0.25">
      <c r="A3075" s="3" t="str">
        <f>HYPERLINK("http://mystore1.ru/price_items/search?utf8=%E2%9C%93&amp;oem=3955LGNV5FDW","3955LGNV5FDW")</f>
        <v>3955LGNV5FDW</v>
      </c>
      <c r="B3075" s="1" t="s">
        <v>5947</v>
      </c>
      <c r="C3075" s="9" t="s">
        <v>1625</v>
      </c>
      <c r="D3075" s="14" t="s">
        <v>5948</v>
      </c>
      <c r="E3075" s="9" t="s">
        <v>11</v>
      </c>
    </row>
    <row r="3076" spans="1:5" ht="15" customHeight="1" outlineLevel="2" x14ac:dyDescent="0.25">
      <c r="A3076" s="3" t="str">
        <f>HYPERLINK("http://mystore1.ru/price_items/search?utf8=%E2%9C%93&amp;oem=3955RGNV5FDW","3955RGNV5FDW")</f>
        <v>3955RGNV5FDW</v>
      </c>
      <c r="B3076" s="1" t="s">
        <v>5949</v>
      </c>
      <c r="C3076" s="9" t="s">
        <v>1625</v>
      </c>
      <c r="D3076" s="14" t="s">
        <v>5950</v>
      </c>
      <c r="E3076" s="9" t="s">
        <v>11</v>
      </c>
    </row>
    <row r="3077" spans="1:5" outlineLevel="1" x14ac:dyDescent="0.25">
      <c r="A3077" s="2"/>
      <c r="B3077" s="6" t="s">
        <v>5951</v>
      </c>
      <c r="C3077" s="8"/>
      <c r="D3077" s="8"/>
      <c r="E3077" s="8"/>
    </row>
    <row r="3078" spans="1:5" ht="15" customHeight="1" outlineLevel="2" x14ac:dyDescent="0.25">
      <c r="A3078" s="3" t="str">
        <f>HYPERLINK("http://mystore1.ru/price_items/search?utf8=%E2%9C%93&amp;oem=3956AGN","3956AGN")</f>
        <v>3956AGN</v>
      </c>
      <c r="B3078" s="1" t="s">
        <v>5952</v>
      </c>
      <c r="C3078" s="9" t="s">
        <v>2099</v>
      </c>
      <c r="D3078" s="14" t="s">
        <v>5953</v>
      </c>
      <c r="E3078" s="9" t="s">
        <v>8</v>
      </c>
    </row>
    <row r="3079" spans="1:5" ht="15" customHeight="1" outlineLevel="2" x14ac:dyDescent="0.25">
      <c r="A3079" s="3" t="str">
        <f>HYPERLINK("http://mystore1.ru/price_items/search?utf8=%E2%9C%93&amp;oem=3956AGNBL","3956AGNBL")</f>
        <v>3956AGNBL</v>
      </c>
      <c r="B3079" s="1" t="s">
        <v>5954</v>
      </c>
      <c r="C3079" s="9" t="s">
        <v>2099</v>
      </c>
      <c r="D3079" s="14" t="s">
        <v>5955</v>
      </c>
      <c r="E3079" s="9" t="s">
        <v>8</v>
      </c>
    </row>
    <row r="3080" spans="1:5" ht="15" customHeight="1" outlineLevel="2" x14ac:dyDescent="0.25">
      <c r="A3080" s="3" t="str">
        <f>HYPERLINK("http://mystore1.ru/price_items/search?utf8=%E2%9C%93&amp;oem=3956AGNGN","3956AGNGN")</f>
        <v>3956AGNGN</v>
      </c>
      <c r="B3080" s="1" t="s">
        <v>5956</v>
      </c>
      <c r="C3080" s="9" t="s">
        <v>2099</v>
      </c>
      <c r="D3080" s="14" t="s">
        <v>5957</v>
      </c>
      <c r="E3080" s="9" t="s">
        <v>8</v>
      </c>
    </row>
    <row r="3081" spans="1:5" ht="15" customHeight="1" outlineLevel="2" x14ac:dyDescent="0.25">
      <c r="A3081" s="3" t="str">
        <f>HYPERLINK("http://mystore1.ru/price_items/search?utf8=%E2%9C%93&amp;oem=3956ASMH","3956ASMH")</f>
        <v>3956ASMH</v>
      </c>
      <c r="B3081" s="1" t="s">
        <v>5958</v>
      </c>
      <c r="C3081" s="9" t="s">
        <v>25</v>
      </c>
      <c r="D3081" s="14" t="s">
        <v>5959</v>
      </c>
      <c r="E3081" s="9" t="s">
        <v>27</v>
      </c>
    </row>
    <row r="3082" spans="1:5" ht="15" customHeight="1" outlineLevel="2" x14ac:dyDescent="0.25">
      <c r="A3082" s="3" t="str">
        <f>HYPERLINK("http://mystore1.ru/price_items/search?utf8=%E2%9C%93&amp;oem=3956LGNH3FDW","3956LGNH3FDW")</f>
        <v>3956LGNH3FDW</v>
      </c>
      <c r="B3082" s="1" t="s">
        <v>5960</v>
      </c>
      <c r="C3082" s="9" t="s">
        <v>2099</v>
      </c>
      <c r="D3082" s="14" t="s">
        <v>5961</v>
      </c>
      <c r="E3082" s="9" t="s">
        <v>11</v>
      </c>
    </row>
    <row r="3083" spans="1:5" ht="15" customHeight="1" outlineLevel="2" x14ac:dyDescent="0.25">
      <c r="A3083" s="3" t="str">
        <f>HYPERLINK("http://mystore1.ru/price_items/search?utf8=%E2%9C%93&amp;oem=3956LGNH3RQ","3956LGNH3RQ")</f>
        <v>3956LGNH3RQ</v>
      </c>
      <c r="B3083" s="1" t="s">
        <v>5962</v>
      </c>
      <c r="C3083" s="9" t="s">
        <v>2099</v>
      </c>
      <c r="D3083" s="14" t="s">
        <v>5963</v>
      </c>
      <c r="E3083" s="9" t="s">
        <v>11</v>
      </c>
    </row>
    <row r="3084" spans="1:5" ht="15" customHeight="1" outlineLevel="2" x14ac:dyDescent="0.25">
      <c r="A3084" s="3" t="str">
        <f>HYPERLINK("http://mystore1.ru/price_items/search?utf8=%E2%9C%93&amp;oem=3956RGNH3FDW","3956RGNH3FDW")</f>
        <v>3956RGNH3FDW</v>
      </c>
      <c r="B3084" s="1" t="s">
        <v>5964</v>
      </c>
      <c r="C3084" s="9" t="s">
        <v>2099</v>
      </c>
      <c r="D3084" s="14" t="s">
        <v>5965</v>
      </c>
      <c r="E3084" s="9" t="s">
        <v>11</v>
      </c>
    </row>
    <row r="3085" spans="1:5" ht="15" customHeight="1" outlineLevel="2" x14ac:dyDescent="0.25">
      <c r="A3085" s="3" t="str">
        <f>HYPERLINK("http://mystore1.ru/price_items/search?utf8=%E2%9C%93&amp;oem=3956RGNH3RQ","3956RGNH3RQ")</f>
        <v>3956RGNH3RQ</v>
      </c>
      <c r="B3085" s="1" t="s">
        <v>5966</v>
      </c>
      <c r="C3085" s="9" t="s">
        <v>2099</v>
      </c>
      <c r="D3085" s="14" t="s">
        <v>5967</v>
      </c>
      <c r="E3085" s="9" t="s">
        <v>11</v>
      </c>
    </row>
    <row r="3086" spans="1:5" outlineLevel="1" x14ac:dyDescent="0.25">
      <c r="A3086" s="2"/>
      <c r="B3086" s="6" t="s">
        <v>5968</v>
      </c>
      <c r="C3086" s="8"/>
      <c r="D3086" s="8"/>
      <c r="E3086" s="8"/>
    </row>
    <row r="3087" spans="1:5" ht="15" customHeight="1" outlineLevel="2" x14ac:dyDescent="0.25">
      <c r="A3087" s="3" t="str">
        <f>HYPERLINK("http://mystore1.ru/price_items/search?utf8=%E2%9C%93&amp;oem=3957AGN","3957AGN")</f>
        <v>3957AGN</v>
      </c>
      <c r="B3087" s="1" t="s">
        <v>5969</v>
      </c>
      <c r="C3087" s="9" t="s">
        <v>2099</v>
      </c>
      <c r="D3087" s="14" t="s">
        <v>5970</v>
      </c>
      <c r="E3087" s="9" t="s">
        <v>8</v>
      </c>
    </row>
    <row r="3088" spans="1:5" ht="15" customHeight="1" outlineLevel="2" x14ac:dyDescent="0.25">
      <c r="A3088" s="3" t="str">
        <f>HYPERLINK("http://mystore1.ru/price_items/search?utf8=%E2%9C%93&amp;oem=3957AGNGN","3957AGNGN")</f>
        <v>3957AGNGN</v>
      </c>
      <c r="B3088" s="1" t="s">
        <v>5971</v>
      </c>
      <c r="C3088" s="9" t="s">
        <v>2099</v>
      </c>
      <c r="D3088" s="14" t="s">
        <v>5972</v>
      </c>
      <c r="E3088" s="9" t="s">
        <v>8</v>
      </c>
    </row>
    <row r="3089" spans="1:5" ht="15" customHeight="1" outlineLevel="2" x14ac:dyDescent="0.25">
      <c r="A3089" s="3" t="str">
        <f>HYPERLINK("http://mystore1.ru/price_items/search?utf8=%E2%9C%93&amp;oem=3957ASMS","3957ASMS")</f>
        <v>3957ASMS</v>
      </c>
      <c r="B3089" s="1" t="s">
        <v>5973</v>
      </c>
      <c r="C3089" s="9" t="s">
        <v>25</v>
      </c>
      <c r="D3089" s="14" t="s">
        <v>5974</v>
      </c>
      <c r="E3089" s="9" t="s">
        <v>27</v>
      </c>
    </row>
    <row r="3090" spans="1:5" ht="15" customHeight="1" outlineLevel="2" x14ac:dyDescent="0.25">
      <c r="A3090" s="3" t="str">
        <f>HYPERLINK("http://mystore1.ru/price_items/search?utf8=%E2%9C%93&amp;oem=3957BGNS","3957BGNS")</f>
        <v>3957BGNS</v>
      </c>
      <c r="B3090" s="1" t="s">
        <v>5975</v>
      </c>
      <c r="C3090" s="9" t="s">
        <v>2099</v>
      </c>
      <c r="D3090" s="14" t="s">
        <v>5976</v>
      </c>
      <c r="E3090" s="9" t="s">
        <v>30</v>
      </c>
    </row>
    <row r="3091" spans="1:5" ht="15" customHeight="1" outlineLevel="2" x14ac:dyDescent="0.25">
      <c r="A3091" s="3" t="str">
        <f>HYPERLINK("http://mystore1.ru/price_items/search?utf8=%E2%9C%93&amp;oem=3957LGNS4FDW","3957LGNS4FDW")</f>
        <v>3957LGNS4FDW</v>
      </c>
      <c r="B3091" s="1" t="s">
        <v>5977</v>
      </c>
      <c r="C3091" s="9" t="s">
        <v>2099</v>
      </c>
      <c r="D3091" s="14" t="s">
        <v>5978</v>
      </c>
      <c r="E3091" s="9" t="s">
        <v>11</v>
      </c>
    </row>
    <row r="3092" spans="1:5" ht="15" customHeight="1" outlineLevel="2" x14ac:dyDescent="0.25">
      <c r="A3092" s="3" t="str">
        <f>HYPERLINK("http://mystore1.ru/price_items/search?utf8=%E2%9C%93&amp;oem=3957LGNS4RDW","3957LGNS4RDW")</f>
        <v>3957LGNS4RDW</v>
      </c>
      <c r="B3092" s="1" t="s">
        <v>5979</v>
      </c>
      <c r="C3092" s="9" t="s">
        <v>2099</v>
      </c>
      <c r="D3092" s="14" t="s">
        <v>5980</v>
      </c>
      <c r="E3092" s="9" t="s">
        <v>11</v>
      </c>
    </row>
    <row r="3093" spans="1:5" ht="15" customHeight="1" outlineLevel="2" x14ac:dyDescent="0.25">
      <c r="A3093" s="3" t="str">
        <f>HYPERLINK("http://mystore1.ru/price_items/search?utf8=%E2%9C%93&amp;oem=3957RGNS4FDW","3957RGNS4FDW")</f>
        <v>3957RGNS4FDW</v>
      </c>
      <c r="B3093" s="1" t="s">
        <v>5981</v>
      </c>
      <c r="C3093" s="9" t="s">
        <v>2099</v>
      </c>
      <c r="D3093" s="14" t="s">
        <v>5982</v>
      </c>
      <c r="E3093" s="9" t="s">
        <v>11</v>
      </c>
    </row>
    <row r="3094" spans="1:5" ht="15" customHeight="1" outlineLevel="2" x14ac:dyDescent="0.25">
      <c r="A3094" s="3" t="str">
        <f>HYPERLINK("http://mystore1.ru/price_items/search?utf8=%E2%9C%93&amp;oem=3957RGNS4RDW","3957RGNS4RDW")</f>
        <v>3957RGNS4RDW</v>
      </c>
      <c r="B3094" s="1" t="s">
        <v>5983</v>
      </c>
      <c r="C3094" s="9" t="s">
        <v>2099</v>
      </c>
      <c r="D3094" s="14" t="s">
        <v>5984</v>
      </c>
      <c r="E3094" s="9" t="s">
        <v>11</v>
      </c>
    </row>
    <row r="3095" spans="1:5" outlineLevel="1" x14ac:dyDescent="0.25">
      <c r="A3095" s="2"/>
      <c r="B3095" s="6" t="s">
        <v>5985</v>
      </c>
      <c r="C3095" s="7"/>
      <c r="D3095" s="8"/>
      <c r="E3095" s="8"/>
    </row>
    <row r="3096" spans="1:5" ht="15" customHeight="1" outlineLevel="2" x14ac:dyDescent="0.25">
      <c r="A3096" s="3" t="str">
        <f>HYPERLINK("http://mystore1.ru/price_items/search?utf8=%E2%9C%93&amp;oem=3954AGNGNVW","3954AGNGNVW")</f>
        <v>3954AGNGNVW</v>
      </c>
      <c r="B3096" s="1" t="s">
        <v>5986</v>
      </c>
      <c r="C3096" s="9" t="s">
        <v>52</v>
      </c>
      <c r="D3096" s="14" t="s">
        <v>5987</v>
      </c>
      <c r="E3096" s="9" t="s">
        <v>8</v>
      </c>
    </row>
    <row r="3097" spans="1:5" ht="15" customHeight="1" outlineLevel="2" x14ac:dyDescent="0.25">
      <c r="A3097" s="3" t="str">
        <f>HYPERLINK("http://mystore1.ru/price_items/search?utf8=%E2%9C%93&amp;oem=3954AGNVW","3954AGNVW")</f>
        <v>3954AGNVW</v>
      </c>
      <c r="B3097" s="1" t="s">
        <v>5988</v>
      </c>
      <c r="C3097" s="9" t="s">
        <v>52</v>
      </c>
      <c r="D3097" s="14" t="s">
        <v>5989</v>
      </c>
      <c r="E3097" s="9" t="s">
        <v>8</v>
      </c>
    </row>
    <row r="3098" spans="1:5" ht="15" customHeight="1" outlineLevel="2" x14ac:dyDescent="0.25">
      <c r="A3098" s="3" t="str">
        <f>HYPERLINK("http://mystore1.ru/price_items/search?utf8=%E2%9C%93&amp;oem=3954AKCH","3954AKCH")</f>
        <v>3954AKCH</v>
      </c>
      <c r="B3098" s="1" t="s">
        <v>5990</v>
      </c>
      <c r="C3098" s="9" t="s">
        <v>25</v>
      </c>
      <c r="D3098" s="14" t="s">
        <v>5991</v>
      </c>
      <c r="E3098" s="9" t="s">
        <v>27</v>
      </c>
    </row>
    <row r="3099" spans="1:5" ht="15" customHeight="1" outlineLevel="2" x14ac:dyDescent="0.25">
      <c r="A3099" s="3" t="str">
        <f>HYPERLINK("http://mystore1.ru/price_items/search?utf8=%E2%9C%93&amp;oem=3954ASMHT","3954ASMHT")</f>
        <v>3954ASMHT</v>
      </c>
      <c r="B3099" s="1" t="s">
        <v>5992</v>
      </c>
      <c r="C3099" s="9" t="s">
        <v>25</v>
      </c>
      <c r="D3099" s="14" t="s">
        <v>5993</v>
      </c>
      <c r="E3099" s="9" t="s">
        <v>27</v>
      </c>
    </row>
    <row r="3100" spans="1:5" ht="15" customHeight="1" outlineLevel="2" x14ac:dyDescent="0.25">
      <c r="A3100" s="3" t="str">
        <f>HYPERLINK("http://mystore1.ru/price_items/search?utf8=%E2%9C%93&amp;oem=3954BGNE","3954BGNE")</f>
        <v>3954BGNE</v>
      </c>
      <c r="B3100" s="1" t="s">
        <v>5994</v>
      </c>
      <c r="C3100" s="9" t="s">
        <v>52</v>
      </c>
      <c r="D3100" s="14" t="s">
        <v>5995</v>
      </c>
      <c r="E3100" s="9" t="s">
        <v>30</v>
      </c>
    </row>
    <row r="3101" spans="1:5" ht="15" customHeight="1" outlineLevel="2" x14ac:dyDescent="0.25">
      <c r="A3101" s="3" t="str">
        <f>HYPERLINK("http://mystore1.ru/price_items/search?utf8=%E2%9C%93&amp;oem=3954BGNH","3954BGNH")</f>
        <v>3954BGNH</v>
      </c>
      <c r="B3101" s="1" t="s">
        <v>5996</v>
      </c>
      <c r="C3101" s="9" t="s">
        <v>52</v>
      </c>
      <c r="D3101" s="14" t="s">
        <v>5997</v>
      </c>
      <c r="E3101" s="9" t="s">
        <v>30</v>
      </c>
    </row>
    <row r="3102" spans="1:5" ht="15" customHeight="1" outlineLevel="2" x14ac:dyDescent="0.25">
      <c r="A3102" s="3" t="str">
        <f>HYPERLINK("http://mystore1.ru/price_items/search?utf8=%E2%9C%93&amp;oem=3954BGNHB","3954BGNHB")</f>
        <v>3954BGNHB</v>
      </c>
      <c r="B3102" s="1" t="s">
        <v>5998</v>
      </c>
      <c r="C3102" s="9" t="s">
        <v>52</v>
      </c>
      <c r="D3102" s="14" t="s">
        <v>5999</v>
      </c>
      <c r="E3102" s="9" t="s">
        <v>30</v>
      </c>
    </row>
    <row r="3103" spans="1:5" ht="15" customHeight="1" outlineLevel="2" x14ac:dyDescent="0.25">
      <c r="A3103" s="3" t="str">
        <f>HYPERLINK("http://mystore1.ru/price_items/search?utf8=%E2%9C%93&amp;oem=3954LGNH5FDW","3954LGNH5FDW")</f>
        <v>3954LGNH5FDW</v>
      </c>
      <c r="B3103" s="1" t="s">
        <v>6000</v>
      </c>
      <c r="C3103" s="9" t="s">
        <v>52</v>
      </c>
      <c r="D3103" s="14" t="s">
        <v>6001</v>
      </c>
      <c r="E3103" s="9" t="s">
        <v>11</v>
      </c>
    </row>
    <row r="3104" spans="1:5" ht="15" customHeight="1" outlineLevel="2" x14ac:dyDescent="0.25">
      <c r="A3104" s="3" t="str">
        <f>HYPERLINK("http://mystore1.ru/price_items/search?utf8=%E2%9C%93&amp;oem=3954LGNH5RDW","3954LGNH5RDW")</f>
        <v>3954LGNH5RDW</v>
      </c>
      <c r="B3104" s="1" t="s">
        <v>6002</v>
      </c>
      <c r="C3104" s="9" t="s">
        <v>52</v>
      </c>
      <c r="D3104" s="14" t="s">
        <v>6003</v>
      </c>
      <c r="E3104" s="9" t="s">
        <v>11</v>
      </c>
    </row>
    <row r="3105" spans="1:5" ht="15" customHeight="1" outlineLevel="2" x14ac:dyDescent="0.25">
      <c r="A3105" s="3" t="str">
        <f>HYPERLINK("http://mystore1.ru/price_items/search?utf8=%E2%9C%93&amp;oem=3954LGNH5RVZ","3954LGNH5RVZ")</f>
        <v>3954LGNH5RVZ</v>
      </c>
      <c r="B3105" s="1" t="s">
        <v>6004</v>
      </c>
      <c r="C3105" s="9" t="s">
        <v>52</v>
      </c>
      <c r="D3105" s="14" t="s">
        <v>6005</v>
      </c>
      <c r="E3105" s="9" t="s">
        <v>11</v>
      </c>
    </row>
    <row r="3106" spans="1:5" ht="15" customHeight="1" outlineLevel="2" x14ac:dyDescent="0.25">
      <c r="A3106" s="3" t="str">
        <f>HYPERLINK("http://mystore1.ru/price_items/search?utf8=%E2%9C%93&amp;oem=3954RGNH5FDW","3954RGNH5FDW")</f>
        <v>3954RGNH5FDW</v>
      </c>
      <c r="B3106" s="1" t="s">
        <v>6006</v>
      </c>
      <c r="C3106" s="9" t="s">
        <v>52</v>
      </c>
      <c r="D3106" s="14" t="s">
        <v>6007</v>
      </c>
      <c r="E3106" s="9" t="s">
        <v>11</v>
      </c>
    </row>
    <row r="3107" spans="1:5" ht="15" customHeight="1" outlineLevel="2" x14ac:dyDescent="0.25">
      <c r="A3107" s="3" t="str">
        <f>HYPERLINK("http://mystore1.ru/price_items/search?utf8=%E2%9C%93&amp;oem=3954RGNH5RDW","3954RGNH5RDW")</f>
        <v>3954RGNH5RDW</v>
      </c>
      <c r="B3107" s="1" t="s">
        <v>6008</v>
      </c>
      <c r="C3107" s="9" t="s">
        <v>52</v>
      </c>
      <c r="D3107" s="14" t="s">
        <v>6009</v>
      </c>
      <c r="E3107" s="9" t="s">
        <v>11</v>
      </c>
    </row>
    <row r="3108" spans="1:5" ht="15" customHeight="1" outlineLevel="2" x14ac:dyDescent="0.25">
      <c r="A3108" s="3" t="str">
        <f>HYPERLINK("http://mystore1.ru/price_items/search?utf8=%E2%9C%93&amp;oem=3954RGNH5RVZ","3954RGNH5RVZ")</f>
        <v>3954RGNH5RVZ</v>
      </c>
      <c r="B3108" s="1" t="s">
        <v>6010</v>
      </c>
      <c r="C3108" s="9" t="s">
        <v>52</v>
      </c>
      <c r="D3108" s="14" t="s">
        <v>6011</v>
      </c>
      <c r="E3108" s="9" t="s">
        <v>11</v>
      </c>
    </row>
    <row r="3109" spans="1:5" outlineLevel="1" x14ac:dyDescent="0.25">
      <c r="A3109" s="2"/>
      <c r="B3109" s="6" t="s">
        <v>6012</v>
      </c>
      <c r="C3109" s="8"/>
      <c r="D3109" s="8"/>
      <c r="E3109" s="8"/>
    </row>
    <row r="3110" spans="1:5" ht="15" customHeight="1" outlineLevel="2" x14ac:dyDescent="0.25">
      <c r="A3110" s="3" t="str">
        <f>HYPERLINK("http://mystore1.ru/price_items/search?utf8=%E2%9C%93&amp;oem=3976AGS","3976AGS")</f>
        <v>3976AGS</v>
      </c>
      <c r="B3110" s="1" t="s">
        <v>6013</v>
      </c>
      <c r="C3110" s="9" t="s">
        <v>984</v>
      </c>
      <c r="D3110" s="14" t="s">
        <v>6014</v>
      </c>
      <c r="E3110" s="9" t="s">
        <v>8</v>
      </c>
    </row>
    <row r="3111" spans="1:5" ht="15" customHeight="1" outlineLevel="2" x14ac:dyDescent="0.25">
      <c r="A3111" s="3" t="str">
        <f>HYPERLINK("http://mystore1.ru/price_items/search?utf8=%E2%9C%93&amp;oem=3976AGSV","3976AGSV")</f>
        <v>3976AGSV</v>
      </c>
      <c r="B3111" s="1" t="s">
        <v>6015</v>
      </c>
      <c r="C3111" s="9" t="s">
        <v>984</v>
      </c>
      <c r="D3111" s="14" t="s">
        <v>6016</v>
      </c>
      <c r="E3111" s="9" t="s">
        <v>8</v>
      </c>
    </row>
    <row r="3112" spans="1:5" ht="15" customHeight="1" outlineLevel="2" x14ac:dyDescent="0.25">
      <c r="A3112" s="3" t="str">
        <f>HYPERLINK("http://mystore1.ru/price_items/search?utf8=%E2%9C%93&amp;oem=3976AGSV1C","3976AGSV1C")</f>
        <v>3976AGSV1C</v>
      </c>
      <c r="B3112" s="1" t="s">
        <v>6017</v>
      </c>
      <c r="C3112" s="9" t="s">
        <v>984</v>
      </c>
      <c r="D3112" s="14" t="s">
        <v>6018</v>
      </c>
      <c r="E3112" s="9" t="s">
        <v>8</v>
      </c>
    </row>
    <row r="3113" spans="1:5" ht="15" customHeight="1" outlineLevel="2" x14ac:dyDescent="0.25">
      <c r="A3113" s="3" t="str">
        <f>HYPERLINK("http://mystore1.ru/price_items/search?utf8=%E2%9C%93&amp;oem=3976ASMHT","3976ASMHT")</f>
        <v>3976ASMHT</v>
      </c>
      <c r="B3113" s="1" t="s">
        <v>6019</v>
      </c>
      <c r="C3113" s="9" t="s">
        <v>25</v>
      </c>
      <c r="D3113" s="14" t="s">
        <v>6020</v>
      </c>
      <c r="E3113" s="9" t="s">
        <v>27</v>
      </c>
    </row>
    <row r="3114" spans="1:5" ht="15" customHeight="1" outlineLevel="2" x14ac:dyDescent="0.25">
      <c r="A3114" s="3" t="str">
        <f>HYPERLINK("http://mystore1.ru/price_items/search?utf8=%E2%9C%93&amp;oem=3976LGSH3FDW","3976LGSH3FDW")</f>
        <v>3976LGSH3FDW</v>
      </c>
      <c r="B3114" s="1" t="s">
        <v>6021</v>
      </c>
      <c r="C3114" s="9" t="s">
        <v>984</v>
      </c>
      <c r="D3114" s="14" t="s">
        <v>6022</v>
      </c>
      <c r="E3114" s="9" t="s">
        <v>11</v>
      </c>
    </row>
    <row r="3115" spans="1:5" ht="15" customHeight="1" outlineLevel="2" x14ac:dyDescent="0.25">
      <c r="A3115" s="3" t="str">
        <f>HYPERLINK("http://mystore1.ru/price_items/search?utf8=%E2%9C%93&amp;oem=3976RGSH3FDW","3976RGSH3FDW")</f>
        <v>3976RGSH3FDW</v>
      </c>
      <c r="B3115" s="1" t="s">
        <v>6023</v>
      </c>
      <c r="C3115" s="9" t="s">
        <v>984</v>
      </c>
      <c r="D3115" s="14" t="s">
        <v>6024</v>
      </c>
      <c r="E3115" s="9" t="s">
        <v>11</v>
      </c>
    </row>
    <row r="3116" spans="1:5" outlineLevel="1" x14ac:dyDescent="0.25">
      <c r="A3116" s="2"/>
      <c r="B3116" s="6" t="s">
        <v>6025</v>
      </c>
      <c r="C3116" s="8"/>
      <c r="D3116" s="8"/>
      <c r="E3116" s="8"/>
    </row>
    <row r="3117" spans="1:5" ht="15" customHeight="1" outlineLevel="2" x14ac:dyDescent="0.25">
      <c r="A3117" s="3" t="str">
        <f>HYPERLINK("http://mystore1.ru/price_items/search?utf8=%E2%9C%93&amp;oem=3964AGNV","3964AGNV")</f>
        <v>3964AGNV</v>
      </c>
      <c r="B3117" s="1" t="s">
        <v>6026</v>
      </c>
      <c r="C3117" s="9" t="s">
        <v>984</v>
      </c>
      <c r="D3117" s="14" t="s">
        <v>6027</v>
      </c>
      <c r="E3117" s="9" t="s">
        <v>8</v>
      </c>
    </row>
    <row r="3118" spans="1:5" ht="15" customHeight="1" outlineLevel="2" x14ac:dyDescent="0.25">
      <c r="A3118" s="3" t="str">
        <f>HYPERLINK("http://mystore1.ru/price_items/search?utf8=%E2%9C%93&amp;oem=3964ASMCT","3964ASMCT")</f>
        <v>3964ASMCT</v>
      </c>
      <c r="B3118" s="1" t="s">
        <v>6028</v>
      </c>
      <c r="C3118" s="9" t="s">
        <v>25</v>
      </c>
      <c r="D3118" s="14" t="s">
        <v>6029</v>
      </c>
      <c r="E3118" s="9" t="s">
        <v>27</v>
      </c>
    </row>
    <row r="3119" spans="1:5" ht="15" customHeight="1" outlineLevel="2" x14ac:dyDescent="0.25">
      <c r="A3119" s="3" t="str">
        <f>HYPERLINK("http://mystore1.ru/price_items/search?utf8=%E2%9C%93&amp;oem=3964LGNC2FDW","3964LGNC2FDW")</f>
        <v>3964LGNC2FDW</v>
      </c>
      <c r="B3119" s="1" t="s">
        <v>6030</v>
      </c>
      <c r="C3119" s="9" t="s">
        <v>984</v>
      </c>
      <c r="D3119" s="14" t="s">
        <v>6031</v>
      </c>
      <c r="E3119" s="9" t="s">
        <v>11</v>
      </c>
    </row>
    <row r="3120" spans="1:5" ht="15" customHeight="1" outlineLevel="2" x14ac:dyDescent="0.25">
      <c r="A3120" s="3" t="str">
        <f>HYPERLINK("http://mystore1.ru/price_items/search?utf8=%E2%9C%93&amp;oem=3964RGNC2FDW","3964RGNC2FDW")</f>
        <v>3964RGNC2FDW</v>
      </c>
      <c r="B3120" s="1" t="s">
        <v>6032</v>
      </c>
      <c r="C3120" s="9" t="s">
        <v>984</v>
      </c>
      <c r="D3120" s="14" t="s">
        <v>6033</v>
      </c>
      <c r="E3120" s="9" t="s">
        <v>11</v>
      </c>
    </row>
    <row r="3121" spans="1:5" outlineLevel="1" x14ac:dyDescent="0.25">
      <c r="A3121" s="2"/>
      <c r="B3121" s="6" t="s">
        <v>6034</v>
      </c>
      <c r="C3121" s="8"/>
      <c r="D3121" s="8"/>
      <c r="E3121" s="8"/>
    </row>
    <row r="3122" spans="1:5" ht="15" customHeight="1" outlineLevel="2" x14ac:dyDescent="0.25">
      <c r="A3122" s="3" t="str">
        <f>HYPERLINK("http://mystore1.ru/price_items/search?utf8=%E2%9C%93&amp;oem=3980AGNBLV","3980AGNBLV")</f>
        <v>3980AGNBLV</v>
      </c>
      <c r="B3122" s="1" t="s">
        <v>6035</v>
      </c>
      <c r="C3122" s="9" t="s">
        <v>984</v>
      </c>
      <c r="D3122" s="14" t="s">
        <v>6036</v>
      </c>
      <c r="E3122" s="9" t="s">
        <v>8</v>
      </c>
    </row>
    <row r="3123" spans="1:5" ht="15" customHeight="1" outlineLevel="2" x14ac:dyDescent="0.25">
      <c r="A3123" s="3" t="str">
        <f>HYPERLINK("http://mystore1.ru/price_items/search?utf8=%E2%9C%93&amp;oem=3980AGNV","3980AGNV")</f>
        <v>3980AGNV</v>
      </c>
      <c r="B3123" s="1" t="s">
        <v>6037</v>
      </c>
      <c r="C3123" s="9" t="s">
        <v>984</v>
      </c>
      <c r="D3123" s="14" t="s">
        <v>6038</v>
      </c>
      <c r="E3123" s="9" t="s">
        <v>8</v>
      </c>
    </row>
    <row r="3124" spans="1:5" ht="15" customHeight="1" outlineLevel="2" x14ac:dyDescent="0.25">
      <c r="A3124" s="3" t="str">
        <f>HYPERLINK("http://mystore1.ru/price_items/search?utf8=%E2%9C%93&amp;oem=3980ASMST","3980ASMST")</f>
        <v>3980ASMST</v>
      </c>
      <c r="B3124" s="1" t="s">
        <v>6039</v>
      </c>
      <c r="C3124" s="9" t="s">
        <v>25</v>
      </c>
      <c r="D3124" s="14" t="s">
        <v>6040</v>
      </c>
      <c r="E3124" s="9" t="s">
        <v>27</v>
      </c>
    </row>
    <row r="3125" spans="1:5" ht="15" customHeight="1" outlineLevel="2" x14ac:dyDescent="0.25">
      <c r="A3125" s="3" t="str">
        <f>HYPERLINK("http://mystore1.ru/price_items/search?utf8=%E2%9C%93&amp;oem=3980LGNS4FDW","3980LGNS4FDW")</f>
        <v>3980LGNS4FDW</v>
      </c>
      <c r="B3125" s="1" t="s">
        <v>6041</v>
      </c>
      <c r="C3125" s="9" t="s">
        <v>984</v>
      </c>
      <c r="D3125" s="14" t="s">
        <v>6042</v>
      </c>
      <c r="E3125" s="9" t="s">
        <v>11</v>
      </c>
    </row>
    <row r="3126" spans="1:5" ht="15" customHeight="1" outlineLevel="2" x14ac:dyDescent="0.25">
      <c r="A3126" s="3" t="str">
        <f>HYPERLINK("http://mystore1.ru/price_items/search?utf8=%E2%9C%93&amp;oem=3980LGNS4RDW","3980LGNS4RDW")</f>
        <v>3980LGNS4RDW</v>
      </c>
      <c r="B3126" s="1" t="s">
        <v>6043</v>
      </c>
      <c r="C3126" s="9" t="s">
        <v>984</v>
      </c>
      <c r="D3126" s="14" t="s">
        <v>6044</v>
      </c>
      <c r="E3126" s="9" t="s">
        <v>11</v>
      </c>
    </row>
    <row r="3127" spans="1:5" ht="15" customHeight="1" outlineLevel="2" x14ac:dyDescent="0.25">
      <c r="A3127" s="3" t="str">
        <f>HYPERLINK("http://mystore1.ru/price_items/search?utf8=%E2%9C%93&amp;oem=3980LGNS4RV","3980LGNS4RV")</f>
        <v>3980LGNS4RV</v>
      </c>
      <c r="B3127" s="1" t="s">
        <v>6045</v>
      </c>
      <c r="C3127" s="9" t="s">
        <v>984</v>
      </c>
      <c r="D3127" s="14" t="s">
        <v>6046</v>
      </c>
      <c r="E3127" s="9" t="s">
        <v>11</v>
      </c>
    </row>
    <row r="3128" spans="1:5" ht="15" customHeight="1" outlineLevel="2" x14ac:dyDescent="0.25">
      <c r="A3128" s="3" t="str">
        <f>HYPERLINK("http://mystore1.ru/price_items/search?utf8=%E2%9C%93&amp;oem=3980RGNS4FDW","3980RGNS4FDW")</f>
        <v>3980RGNS4FDW</v>
      </c>
      <c r="B3128" s="1" t="s">
        <v>6047</v>
      </c>
      <c r="C3128" s="9" t="s">
        <v>984</v>
      </c>
      <c r="D3128" s="14" t="s">
        <v>6048</v>
      </c>
      <c r="E3128" s="9" t="s">
        <v>11</v>
      </c>
    </row>
    <row r="3129" spans="1:5" ht="15" customHeight="1" outlineLevel="2" x14ac:dyDescent="0.25">
      <c r="A3129" s="3" t="str">
        <f>HYPERLINK("http://mystore1.ru/price_items/search?utf8=%E2%9C%93&amp;oem=3980RGNS4RDW","3980RGNS4RDW")</f>
        <v>3980RGNS4RDW</v>
      </c>
      <c r="B3129" s="1" t="s">
        <v>6049</v>
      </c>
      <c r="C3129" s="9" t="s">
        <v>984</v>
      </c>
      <c r="D3129" s="14" t="s">
        <v>6050</v>
      </c>
      <c r="E3129" s="9" t="s">
        <v>11</v>
      </c>
    </row>
    <row r="3130" spans="1:5" ht="15" customHeight="1" outlineLevel="2" x14ac:dyDescent="0.25">
      <c r="A3130" s="3" t="str">
        <f>HYPERLINK("http://mystore1.ru/price_items/search?utf8=%E2%9C%93&amp;oem=3980RGNS4RV","3980RGNS4RV")</f>
        <v>3980RGNS4RV</v>
      </c>
      <c r="B3130" s="1" t="s">
        <v>6051</v>
      </c>
      <c r="C3130" s="9" t="s">
        <v>984</v>
      </c>
      <c r="D3130" s="14" t="s">
        <v>6052</v>
      </c>
      <c r="E3130" s="9" t="s">
        <v>11</v>
      </c>
    </row>
    <row r="3131" spans="1:5" outlineLevel="1" x14ac:dyDescent="0.25">
      <c r="A3131" s="2"/>
      <c r="B3131" s="6" t="s">
        <v>6053</v>
      </c>
      <c r="C3131" s="8"/>
      <c r="D3131" s="8"/>
      <c r="E3131" s="8"/>
    </row>
    <row r="3132" spans="1:5" ht="15" customHeight="1" outlineLevel="2" x14ac:dyDescent="0.25">
      <c r="A3132" s="3" t="str">
        <f>HYPERLINK("http://mystore1.ru/price_items/search?utf8=%E2%9C%93&amp;oem=3974AGSGNV","3974AGSGNV")</f>
        <v>3974AGSGNV</v>
      </c>
      <c r="B3132" s="1" t="s">
        <v>6054</v>
      </c>
      <c r="C3132" s="9" t="s">
        <v>984</v>
      </c>
      <c r="D3132" s="14" t="s">
        <v>6055</v>
      </c>
      <c r="E3132" s="9" t="s">
        <v>8</v>
      </c>
    </row>
    <row r="3133" spans="1:5" ht="15" customHeight="1" outlineLevel="2" x14ac:dyDescent="0.25">
      <c r="A3133" s="3" t="str">
        <f>HYPERLINK("http://mystore1.ru/price_items/search?utf8=%E2%9C%93&amp;oem=3974AGSV","3974AGSV")</f>
        <v>3974AGSV</v>
      </c>
      <c r="B3133" s="1" t="s">
        <v>6056</v>
      </c>
      <c r="C3133" s="9" t="s">
        <v>984</v>
      </c>
      <c r="D3133" s="14" t="s">
        <v>6057</v>
      </c>
      <c r="E3133" s="9" t="s">
        <v>8</v>
      </c>
    </row>
    <row r="3134" spans="1:5" ht="15" customHeight="1" outlineLevel="2" x14ac:dyDescent="0.25">
      <c r="A3134" s="3" t="str">
        <f>HYPERLINK("http://mystore1.ru/price_items/search?utf8=%E2%9C%93&amp;oem=3974AGSV1C","3974AGSV1C")</f>
        <v>3974AGSV1C</v>
      </c>
      <c r="B3134" s="1" t="s">
        <v>6058</v>
      </c>
      <c r="C3134" s="9" t="s">
        <v>6059</v>
      </c>
      <c r="D3134" s="14" t="s">
        <v>6060</v>
      </c>
      <c r="E3134" s="9" t="s">
        <v>8</v>
      </c>
    </row>
    <row r="3135" spans="1:5" ht="15" customHeight="1" outlineLevel="2" x14ac:dyDescent="0.25">
      <c r="A3135" s="3" t="str">
        <f>HYPERLINK("http://mystore1.ru/price_items/search?utf8=%E2%9C%93&amp;oem=3974ASMHT","3974ASMHT")</f>
        <v>3974ASMHT</v>
      </c>
      <c r="B3135" s="1" t="s">
        <v>6061</v>
      </c>
      <c r="C3135" s="9" t="s">
        <v>25</v>
      </c>
      <c r="D3135" s="14" t="s">
        <v>6062</v>
      </c>
      <c r="E3135" s="9" t="s">
        <v>27</v>
      </c>
    </row>
    <row r="3136" spans="1:5" ht="15" customHeight="1" outlineLevel="2" x14ac:dyDescent="0.25">
      <c r="A3136" s="3" t="str">
        <f>HYPERLINK("http://mystore1.ru/price_items/search?utf8=%E2%9C%93&amp;oem=3974LGSH5FDW","3974LGSH5FDW")</f>
        <v>3974LGSH5FDW</v>
      </c>
      <c r="B3136" s="1" t="s">
        <v>6063</v>
      </c>
      <c r="C3136" s="9" t="s">
        <v>984</v>
      </c>
      <c r="D3136" s="14" t="s">
        <v>6064</v>
      </c>
      <c r="E3136" s="9" t="s">
        <v>11</v>
      </c>
    </row>
    <row r="3137" spans="1:5" ht="15" customHeight="1" outlineLevel="2" x14ac:dyDescent="0.25">
      <c r="A3137" s="3" t="str">
        <f>HYPERLINK("http://mystore1.ru/price_items/search?utf8=%E2%9C%93&amp;oem=3974LGSH5RDW","3974LGSH5RDW")</f>
        <v>3974LGSH5RDW</v>
      </c>
      <c r="B3137" s="1" t="s">
        <v>6065</v>
      </c>
      <c r="C3137" s="9" t="s">
        <v>984</v>
      </c>
      <c r="D3137" s="14" t="s">
        <v>6066</v>
      </c>
      <c r="E3137" s="9" t="s">
        <v>11</v>
      </c>
    </row>
    <row r="3138" spans="1:5" ht="15" customHeight="1" outlineLevel="2" x14ac:dyDescent="0.25">
      <c r="A3138" s="3" t="str">
        <f>HYPERLINK("http://mystore1.ru/price_items/search?utf8=%E2%9C%93&amp;oem=3974LGSH5RQ","3974LGSH5RQ")</f>
        <v>3974LGSH5RQ</v>
      </c>
      <c r="B3138" s="1" t="s">
        <v>6067</v>
      </c>
      <c r="C3138" s="9" t="s">
        <v>984</v>
      </c>
      <c r="D3138" s="14" t="s">
        <v>6068</v>
      </c>
      <c r="E3138" s="9" t="s">
        <v>11</v>
      </c>
    </row>
    <row r="3139" spans="1:5" ht="15" customHeight="1" outlineLevel="2" x14ac:dyDescent="0.25">
      <c r="A3139" s="3" t="str">
        <f>HYPERLINK("http://mystore1.ru/price_items/search?utf8=%E2%9C%93&amp;oem=3974RGSH5FDW","3974RGSH5FDW")</f>
        <v>3974RGSH5FDW</v>
      </c>
      <c r="B3139" s="1" t="s">
        <v>6069</v>
      </c>
      <c r="C3139" s="9" t="s">
        <v>984</v>
      </c>
      <c r="D3139" s="14" t="s">
        <v>6070</v>
      </c>
      <c r="E3139" s="9" t="s">
        <v>11</v>
      </c>
    </row>
    <row r="3140" spans="1:5" ht="15" customHeight="1" outlineLevel="2" x14ac:dyDescent="0.25">
      <c r="A3140" s="3" t="str">
        <f>HYPERLINK("http://mystore1.ru/price_items/search?utf8=%E2%9C%93&amp;oem=3974RGSH5RDW","3974RGSH5RDW")</f>
        <v>3974RGSH5RDW</v>
      </c>
      <c r="B3140" s="1" t="s">
        <v>6071</v>
      </c>
      <c r="C3140" s="9" t="s">
        <v>984</v>
      </c>
      <c r="D3140" s="14" t="s">
        <v>6072</v>
      </c>
      <c r="E3140" s="9" t="s">
        <v>11</v>
      </c>
    </row>
    <row r="3141" spans="1:5" ht="15" customHeight="1" outlineLevel="2" x14ac:dyDescent="0.25">
      <c r="A3141" s="3" t="str">
        <f>HYPERLINK("http://mystore1.ru/price_items/search?utf8=%E2%9C%93&amp;oem=3974RGSH5RQ","3974RGSH5RQ")</f>
        <v>3974RGSH5RQ</v>
      </c>
      <c r="B3141" s="1" t="s">
        <v>6073</v>
      </c>
      <c r="C3141" s="9" t="s">
        <v>984</v>
      </c>
      <c r="D3141" s="14" t="s">
        <v>6074</v>
      </c>
      <c r="E3141" s="9" t="s">
        <v>11</v>
      </c>
    </row>
    <row r="3142" spans="1:5" outlineLevel="1" x14ac:dyDescent="0.25">
      <c r="A3142" s="2"/>
      <c r="B3142" s="6" t="s">
        <v>6075</v>
      </c>
      <c r="C3142" s="8"/>
      <c r="D3142" s="8"/>
      <c r="E3142" s="8"/>
    </row>
    <row r="3143" spans="1:5" ht="15" customHeight="1" outlineLevel="2" x14ac:dyDescent="0.25">
      <c r="A3143" s="3" t="str">
        <f>HYPERLINK("http://mystore1.ru/price_items/search?utf8=%E2%9C%93&amp;oem=3998AGSMV1B","3998AGSMV1B")</f>
        <v>3998AGSMV1B</v>
      </c>
      <c r="B3143" s="1" t="s">
        <v>6076</v>
      </c>
      <c r="C3143" s="9" t="s">
        <v>6077</v>
      </c>
      <c r="D3143" s="14" t="s">
        <v>6078</v>
      </c>
      <c r="E3143" s="9" t="s">
        <v>8</v>
      </c>
    </row>
    <row r="3144" spans="1:5" ht="15" customHeight="1" outlineLevel="2" x14ac:dyDescent="0.25">
      <c r="A3144" s="3" t="str">
        <f>HYPERLINK("http://mystore1.ru/price_items/search?utf8=%E2%9C%93&amp;oem=3998AGSV","3998AGSV")</f>
        <v>3998AGSV</v>
      </c>
      <c r="B3144" s="1" t="s">
        <v>6079</v>
      </c>
      <c r="C3144" s="9" t="s">
        <v>6077</v>
      </c>
      <c r="D3144" s="14" t="s">
        <v>6080</v>
      </c>
      <c r="E3144" s="9" t="s">
        <v>8</v>
      </c>
    </row>
    <row r="3145" spans="1:5" ht="15" customHeight="1" outlineLevel="2" x14ac:dyDescent="0.25">
      <c r="A3145" s="3" t="str">
        <f>HYPERLINK("http://mystore1.ru/price_items/search?utf8=%E2%9C%93&amp;oem=3998AGSBLV","3998AGSBLV")</f>
        <v>3998AGSBLV</v>
      </c>
      <c r="B3145" s="1" t="s">
        <v>6081</v>
      </c>
      <c r="C3145" s="9" t="s">
        <v>6077</v>
      </c>
      <c r="D3145" s="14" t="s">
        <v>6082</v>
      </c>
      <c r="E3145" s="9" t="s">
        <v>8</v>
      </c>
    </row>
    <row r="3146" spans="1:5" ht="15" customHeight="1" outlineLevel="2" x14ac:dyDescent="0.25">
      <c r="A3146" s="3" t="str">
        <f>HYPERLINK("http://mystore1.ru/price_items/search?utf8=%E2%9C%93&amp;oem=3998AGSMVW1B","3998AGSMVW1B")</f>
        <v>3998AGSMVW1B</v>
      </c>
      <c r="B3146" s="1" t="s">
        <v>6083</v>
      </c>
      <c r="C3146" s="9" t="s">
        <v>6077</v>
      </c>
      <c r="D3146" s="14" t="s">
        <v>6084</v>
      </c>
      <c r="E3146" s="9" t="s">
        <v>8</v>
      </c>
    </row>
    <row r="3147" spans="1:5" ht="15" customHeight="1" outlineLevel="2" x14ac:dyDescent="0.25">
      <c r="A3147" s="3" t="str">
        <f>HYPERLINK("http://mystore1.ru/price_items/search?utf8=%E2%9C%93&amp;oem=3998AGSVW","3998AGSVW")</f>
        <v>3998AGSVW</v>
      </c>
      <c r="B3147" s="1" t="s">
        <v>6085</v>
      </c>
      <c r="C3147" s="9" t="s">
        <v>6077</v>
      </c>
      <c r="D3147" s="14" t="s">
        <v>6080</v>
      </c>
      <c r="E3147" s="9" t="s">
        <v>8</v>
      </c>
    </row>
    <row r="3148" spans="1:5" ht="15" customHeight="1" outlineLevel="2" x14ac:dyDescent="0.25">
      <c r="A3148" s="3" t="str">
        <f>HYPERLINK("http://mystore1.ru/price_items/search?utf8=%E2%9C%93&amp;oem=3998ASMHT","3998ASMHT")</f>
        <v>3998ASMHT</v>
      </c>
      <c r="B3148" s="1" t="s">
        <v>6086</v>
      </c>
      <c r="C3148" s="9" t="s">
        <v>25</v>
      </c>
      <c r="D3148" s="14" t="s">
        <v>6087</v>
      </c>
      <c r="E3148" s="9" t="s">
        <v>27</v>
      </c>
    </row>
    <row r="3149" spans="1:5" ht="15" customHeight="1" outlineLevel="2" x14ac:dyDescent="0.25">
      <c r="A3149" s="3" t="str">
        <f>HYPERLINK("http://mystore1.ru/price_items/search?utf8=%E2%9C%93&amp;oem=3998BGSHAGY1B","3998BGSHAGY1B")</f>
        <v>3998BGSHAGY1B</v>
      </c>
      <c r="B3149" s="1" t="s">
        <v>6088</v>
      </c>
      <c r="C3149" s="9" t="s">
        <v>6077</v>
      </c>
      <c r="D3149" s="14" t="s">
        <v>6089</v>
      </c>
      <c r="E3149" s="9" t="s">
        <v>30</v>
      </c>
    </row>
    <row r="3150" spans="1:5" ht="15" customHeight="1" outlineLevel="2" x14ac:dyDescent="0.25">
      <c r="A3150" s="3" t="str">
        <f>HYPERLINK("http://mystore1.ru/price_items/search?utf8=%E2%9C%93&amp;oem=3998BGSHAGWY1M","3998BGSHAGWY1M")</f>
        <v>3998BGSHAGWY1M</v>
      </c>
      <c r="B3150" s="1" t="s">
        <v>6090</v>
      </c>
      <c r="C3150" s="9" t="s">
        <v>6077</v>
      </c>
      <c r="D3150" s="14" t="s">
        <v>6091</v>
      </c>
      <c r="E3150" s="9" t="s">
        <v>30</v>
      </c>
    </row>
    <row r="3151" spans="1:5" ht="15" customHeight="1" outlineLevel="2" x14ac:dyDescent="0.25">
      <c r="A3151" s="3" t="str">
        <f>HYPERLINK("http://mystore1.ru/price_items/search?utf8=%E2%9C%93&amp;oem=3998BGSHAWY","3998BGSHAWY")</f>
        <v>3998BGSHAWY</v>
      </c>
      <c r="B3151" s="1" t="s">
        <v>6092</v>
      </c>
      <c r="C3151" s="9" t="s">
        <v>6077</v>
      </c>
      <c r="D3151" s="14" t="s">
        <v>6093</v>
      </c>
      <c r="E3151" s="9" t="s">
        <v>30</v>
      </c>
    </row>
    <row r="3152" spans="1:5" ht="15" customHeight="1" outlineLevel="2" x14ac:dyDescent="0.25">
      <c r="A3152" s="3" t="str">
        <f>HYPERLINK("http://mystore1.ru/price_items/search?utf8=%E2%9C%93&amp;oem=3998BGSHAWY1M","3998BGSHAWY1M")</f>
        <v>3998BGSHAWY1M</v>
      </c>
      <c r="B3152" s="1" t="s">
        <v>6094</v>
      </c>
      <c r="C3152" s="9" t="s">
        <v>6077</v>
      </c>
      <c r="D3152" s="14" t="s">
        <v>6095</v>
      </c>
      <c r="E3152" s="9" t="s">
        <v>30</v>
      </c>
    </row>
    <row r="3153" spans="1:5" ht="15" customHeight="1" outlineLevel="2" x14ac:dyDescent="0.25">
      <c r="A3153" s="3" t="str">
        <f>HYPERLINK("http://mystore1.ru/price_items/search?utf8=%E2%9C%93&amp;oem=3998LGSH5FDW1M","3998LGSH5FDW1M")</f>
        <v>3998LGSH5FDW1M</v>
      </c>
      <c r="B3153" s="1" t="s">
        <v>6096</v>
      </c>
      <c r="C3153" s="9" t="s">
        <v>6077</v>
      </c>
      <c r="D3153" s="14" t="s">
        <v>6097</v>
      </c>
      <c r="E3153" s="9" t="s">
        <v>11</v>
      </c>
    </row>
    <row r="3154" spans="1:5" ht="15" customHeight="1" outlineLevel="2" x14ac:dyDescent="0.25">
      <c r="A3154" s="3" t="str">
        <f>HYPERLINK("http://mystore1.ru/price_items/search?utf8=%E2%9C%93&amp;oem=3998LGSH5FDW2M","3998LGSH5FDW2M")</f>
        <v>3998LGSH5FDW2M</v>
      </c>
      <c r="B3154" s="1" t="s">
        <v>6098</v>
      </c>
      <c r="C3154" s="9" t="s">
        <v>6077</v>
      </c>
      <c r="D3154" s="14" t="s">
        <v>6097</v>
      </c>
      <c r="E3154" s="9" t="s">
        <v>11</v>
      </c>
    </row>
    <row r="3155" spans="1:5" ht="15" customHeight="1" outlineLevel="2" x14ac:dyDescent="0.25">
      <c r="A3155" s="3" t="str">
        <f>HYPERLINK("http://mystore1.ru/price_items/search?utf8=%E2%9C%93&amp;oem=3998LGSH5RDW","3998LGSH5RDW")</f>
        <v>3998LGSH5RDW</v>
      </c>
      <c r="B3155" s="1" t="s">
        <v>6099</v>
      </c>
      <c r="C3155" s="9" t="s">
        <v>6077</v>
      </c>
      <c r="D3155" s="14" t="s">
        <v>6100</v>
      </c>
      <c r="E3155" s="9" t="s">
        <v>11</v>
      </c>
    </row>
    <row r="3156" spans="1:5" ht="15" customHeight="1" outlineLevel="2" x14ac:dyDescent="0.25">
      <c r="A3156" s="3" t="str">
        <f>HYPERLINK("http://mystore1.ru/price_items/search?utf8=%E2%9C%93&amp;oem=3998RGSH5FDW1M","3998RGSH5FDW1M")</f>
        <v>3998RGSH5FDW1M</v>
      </c>
      <c r="B3156" s="1" t="s">
        <v>6101</v>
      </c>
      <c r="C3156" s="9" t="s">
        <v>6077</v>
      </c>
      <c r="D3156" s="14" t="s">
        <v>6102</v>
      </c>
      <c r="E3156" s="9" t="s">
        <v>11</v>
      </c>
    </row>
    <row r="3157" spans="1:5" ht="15" customHeight="1" outlineLevel="2" x14ac:dyDescent="0.25">
      <c r="A3157" s="3" t="str">
        <f>HYPERLINK("http://mystore1.ru/price_items/search?utf8=%E2%9C%93&amp;oem=3998RGSH5FDW2M","3998RGSH5FDW2M")</f>
        <v>3998RGSH5FDW2M</v>
      </c>
      <c r="B3157" s="1" t="s">
        <v>6103</v>
      </c>
      <c r="C3157" s="9" t="s">
        <v>6077</v>
      </c>
      <c r="D3157" s="14" t="s">
        <v>6102</v>
      </c>
      <c r="E3157" s="9" t="s">
        <v>11</v>
      </c>
    </row>
    <row r="3158" spans="1:5" ht="15" customHeight="1" outlineLevel="2" x14ac:dyDescent="0.25">
      <c r="A3158" s="3" t="str">
        <f>HYPERLINK("http://mystore1.ru/price_items/search?utf8=%E2%9C%93&amp;oem=3998RGSH5RDW","3998RGSH5RDW")</f>
        <v>3998RGSH5RDW</v>
      </c>
      <c r="B3158" s="1" t="s">
        <v>6104</v>
      </c>
      <c r="C3158" s="9" t="s">
        <v>6077</v>
      </c>
      <c r="D3158" s="14" t="s">
        <v>6105</v>
      </c>
      <c r="E3158" s="9" t="s">
        <v>11</v>
      </c>
    </row>
    <row r="3159" spans="1:5" outlineLevel="1" x14ac:dyDescent="0.25">
      <c r="A3159" s="2"/>
      <c r="B3159" s="6" t="s">
        <v>6106</v>
      </c>
      <c r="C3159" s="8"/>
      <c r="D3159" s="8"/>
      <c r="E3159" s="8"/>
    </row>
    <row r="3160" spans="1:5" ht="15" customHeight="1" outlineLevel="2" x14ac:dyDescent="0.25">
      <c r="A3160" s="3" t="str">
        <f>HYPERLINK("http://mystore1.ru/price_items/search?utf8=%E2%9C%93&amp;oem=3999AGNV","3999AGNV")</f>
        <v>3999AGNV</v>
      </c>
      <c r="B3160" s="1" t="s">
        <v>6107</v>
      </c>
      <c r="C3160" s="9" t="s">
        <v>6108</v>
      </c>
      <c r="D3160" s="14" t="s">
        <v>6109</v>
      </c>
      <c r="E3160" s="9" t="s">
        <v>8</v>
      </c>
    </row>
    <row r="3161" spans="1:5" outlineLevel="1" x14ac:dyDescent="0.25">
      <c r="A3161" s="2"/>
      <c r="B3161" s="6" t="s">
        <v>6110</v>
      </c>
      <c r="C3161" s="8"/>
      <c r="D3161" s="8"/>
      <c r="E3161" s="8"/>
    </row>
    <row r="3162" spans="1:5" ht="15" customHeight="1" outlineLevel="2" x14ac:dyDescent="0.25">
      <c r="A3162" s="3" t="str">
        <f>HYPERLINK("http://mystore1.ru/price_items/search?utf8=%E2%9C%93&amp;oem=3943ABLBL","3943ABLBL")</f>
        <v>3943ABLBL</v>
      </c>
      <c r="B3162" s="1" t="s">
        <v>6111</v>
      </c>
      <c r="C3162" s="9" t="s">
        <v>6112</v>
      </c>
      <c r="D3162" s="14" t="s">
        <v>6113</v>
      </c>
      <c r="E3162" s="9" t="s">
        <v>8</v>
      </c>
    </row>
    <row r="3163" spans="1:5" ht="15" customHeight="1" outlineLevel="2" x14ac:dyDescent="0.25">
      <c r="A3163" s="3" t="str">
        <f>HYPERLINK("http://mystore1.ru/price_items/search?utf8=%E2%9C%93&amp;oem=3943AGNBL","3943AGNBL")</f>
        <v>3943AGNBL</v>
      </c>
      <c r="B3163" s="1" t="s">
        <v>6114</v>
      </c>
      <c r="C3163" s="9" t="s">
        <v>6112</v>
      </c>
      <c r="D3163" s="14" t="s">
        <v>6115</v>
      </c>
      <c r="E3163" s="9" t="s">
        <v>8</v>
      </c>
    </row>
    <row r="3164" spans="1:5" ht="15" customHeight="1" outlineLevel="2" x14ac:dyDescent="0.25">
      <c r="A3164" s="3" t="str">
        <f>HYPERLINK("http://mystore1.ru/price_items/search?utf8=%E2%9C%93&amp;oem=3943AKCH","3943AKCH")</f>
        <v>3943AKCH</v>
      </c>
      <c r="B3164" s="1" t="s">
        <v>6116</v>
      </c>
      <c r="C3164" s="9" t="s">
        <v>25</v>
      </c>
      <c r="D3164" s="14" t="s">
        <v>6117</v>
      </c>
      <c r="E3164" s="9" t="s">
        <v>27</v>
      </c>
    </row>
    <row r="3165" spans="1:5" ht="15" customHeight="1" outlineLevel="2" x14ac:dyDescent="0.25">
      <c r="A3165" s="3" t="str">
        <f>HYPERLINK("http://mystore1.ru/price_items/search?utf8=%E2%9C%93&amp;oem=3943ASMHT","3943ASMHT")</f>
        <v>3943ASMHT</v>
      </c>
      <c r="B3165" s="1" t="s">
        <v>6118</v>
      </c>
      <c r="C3165" s="9" t="s">
        <v>25</v>
      </c>
      <c r="D3165" s="14" t="s">
        <v>6119</v>
      </c>
      <c r="E3165" s="9" t="s">
        <v>27</v>
      </c>
    </row>
    <row r="3166" spans="1:5" outlineLevel="1" x14ac:dyDescent="0.25">
      <c r="A3166" s="2"/>
      <c r="B3166" s="6" t="s">
        <v>6120</v>
      </c>
      <c r="C3166" s="8"/>
      <c r="D3166" s="8"/>
      <c r="E3166" s="8"/>
    </row>
    <row r="3167" spans="1:5" ht="15" customHeight="1" outlineLevel="2" x14ac:dyDescent="0.25">
      <c r="A3167" s="3" t="str">
        <f>HYPERLINK("http://mystore1.ru/price_items/search?utf8=%E2%9C%93&amp;oem=3962AGN","3962AGN")</f>
        <v>3962AGN</v>
      </c>
      <c r="B3167" s="1" t="s">
        <v>6121</v>
      </c>
      <c r="C3167" s="9" t="s">
        <v>3106</v>
      </c>
      <c r="D3167" s="14" t="s">
        <v>6122</v>
      </c>
      <c r="E3167" s="9" t="s">
        <v>8</v>
      </c>
    </row>
    <row r="3168" spans="1:5" ht="15" customHeight="1" outlineLevel="2" x14ac:dyDescent="0.25">
      <c r="A3168" s="3" t="str">
        <f>HYPERLINK("http://mystore1.ru/price_items/search?utf8=%E2%9C%93&amp;oem=3962AGNBL","3962AGNBL")</f>
        <v>3962AGNBL</v>
      </c>
      <c r="B3168" s="1" t="s">
        <v>6123</v>
      </c>
      <c r="C3168" s="9" t="s">
        <v>3106</v>
      </c>
      <c r="D3168" s="14" t="s">
        <v>6124</v>
      </c>
      <c r="E3168" s="9" t="s">
        <v>8</v>
      </c>
    </row>
    <row r="3169" spans="1:5" ht="15" customHeight="1" outlineLevel="2" x14ac:dyDescent="0.25">
      <c r="A3169" s="3" t="str">
        <f>HYPERLINK("http://mystore1.ru/price_items/search?utf8=%E2%9C%93&amp;oem=3962AGNGN","3962AGNGN")</f>
        <v>3962AGNGN</v>
      </c>
      <c r="B3169" s="1" t="s">
        <v>6125</v>
      </c>
      <c r="C3169" s="9" t="s">
        <v>3106</v>
      </c>
      <c r="D3169" s="14" t="s">
        <v>6126</v>
      </c>
      <c r="E3169" s="9" t="s">
        <v>8</v>
      </c>
    </row>
    <row r="3170" spans="1:5" ht="15" customHeight="1" outlineLevel="2" x14ac:dyDescent="0.25">
      <c r="A3170" s="3" t="str">
        <f>HYPERLINK("http://mystore1.ru/price_items/search?utf8=%E2%9C%93&amp;oem=3962AGNGY","3962AGNGY")</f>
        <v>3962AGNGY</v>
      </c>
      <c r="B3170" s="1" t="s">
        <v>6127</v>
      </c>
      <c r="C3170" s="9" t="s">
        <v>3106</v>
      </c>
      <c r="D3170" s="14" t="s">
        <v>6128</v>
      </c>
      <c r="E3170" s="9" t="s">
        <v>8</v>
      </c>
    </row>
    <row r="3171" spans="1:5" ht="15" customHeight="1" outlineLevel="2" x14ac:dyDescent="0.25">
      <c r="A3171" s="3" t="str">
        <f>HYPERLINK("http://mystore1.ru/price_items/search?utf8=%E2%9C%93&amp;oem=3962AKSR","3962AKSR")</f>
        <v>3962AKSR</v>
      </c>
      <c r="B3171" s="1" t="s">
        <v>6129</v>
      </c>
      <c r="C3171" s="9" t="s">
        <v>25</v>
      </c>
      <c r="D3171" s="14" t="s">
        <v>6130</v>
      </c>
      <c r="E3171" s="9" t="s">
        <v>27</v>
      </c>
    </row>
    <row r="3172" spans="1:5" ht="15" customHeight="1" outlineLevel="2" x14ac:dyDescent="0.25">
      <c r="A3172" s="3" t="str">
        <f>HYPERLINK("http://mystore1.ru/price_items/search?utf8=%E2%9C%93&amp;oem=3962ASMR","3962ASMR")</f>
        <v>3962ASMR</v>
      </c>
      <c r="B3172" s="1" t="s">
        <v>6131</v>
      </c>
      <c r="C3172" s="9" t="s">
        <v>25</v>
      </c>
      <c r="D3172" s="14" t="s">
        <v>6132</v>
      </c>
      <c r="E3172" s="9" t="s">
        <v>27</v>
      </c>
    </row>
    <row r="3173" spans="1:5" ht="15" customHeight="1" outlineLevel="2" x14ac:dyDescent="0.25">
      <c r="A3173" s="3" t="str">
        <f>HYPERLINK("http://mystore1.ru/price_items/search?utf8=%E2%9C%93&amp;oem=3962LGNR5FDW","3962LGNR5FDW")</f>
        <v>3962LGNR5FDW</v>
      </c>
      <c r="B3173" s="1" t="s">
        <v>6133</v>
      </c>
      <c r="C3173" s="9" t="s">
        <v>3106</v>
      </c>
      <c r="D3173" s="14" t="s">
        <v>6134</v>
      </c>
      <c r="E3173" s="9" t="s">
        <v>11</v>
      </c>
    </row>
    <row r="3174" spans="1:5" ht="15" customHeight="1" outlineLevel="2" x14ac:dyDescent="0.25">
      <c r="A3174" s="3" t="str">
        <f>HYPERLINK("http://mystore1.ru/price_items/search?utf8=%E2%9C%93&amp;oem=3962LGNR5RDW","3962LGNR5RDW")</f>
        <v>3962LGNR5RDW</v>
      </c>
      <c r="B3174" s="1" t="s">
        <v>6135</v>
      </c>
      <c r="C3174" s="9" t="s">
        <v>3106</v>
      </c>
      <c r="D3174" s="14" t="s">
        <v>6136</v>
      </c>
      <c r="E3174" s="9" t="s">
        <v>11</v>
      </c>
    </row>
    <row r="3175" spans="1:5" ht="15" customHeight="1" outlineLevel="2" x14ac:dyDescent="0.25">
      <c r="A3175" s="3" t="str">
        <f>HYPERLINK("http://mystore1.ru/price_items/search?utf8=%E2%9C%93&amp;oem=3962LGNR5RV","3962LGNR5RV")</f>
        <v>3962LGNR5RV</v>
      </c>
      <c r="B3175" s="1" t="s">
        <v>6137</v>
      </c>
      <c r="C3175" s="9" t="s">
        <v>3106</v>
      </c>
      <c r="D3175" s="14" t="s">
        <v>6138</v>
      </c>
      <c r="E3175" s="9" t="s">
        <v>11</v>
      </c>
    </row>
    <row r="3176" spans="1:5" ht="15" customHeight="1" outlineLevel="2" x14ac:dyDescent="0.25">
      <c r="A3176" s="3" t="str">
        <f>HYPERLINK("http://mystore1.ru/price_items/search?utf8=%E2%9C%93&amp;oem=3962RGNR5FDW","3962RGNR5FDW")</f>
        <v>3962RGNR5FDW</v>
      </c>
      <c r="B3176" s="1" t="s">
        <v>6139</v>
      </c>
      <c r="C3176" s="9" t="s">
        <v>3106</v>
      </c>
      <c r="D3176" s="14" t="s">
        <v>6140</v>
      </c>
      <c r="E3176" s="9" t="s">
        <v>11</v>
      </c>
    </row>
    <row r="3177" spans="1:5" ht="15" customHeight="1" outlineLevel="2" x14ac:dyDescent="0.25">
      <c r="A3177" s="3" t="str">
        <f>HYPERLINK("http://mystore1.ru/price_items/search?utf8=%E2%9C%93&amp;oem=3962RGNR5RDW","3962RGNR5RDW")</f>
        <v>3962RGNR5RDW</v>
      </c>
      <c r="B3177" s="1" t="s">
        <v>6141</v>
      </c>
      <c r="C3177" s="9" t="s">
        <v>3106</v>
      </c>
      <c r="D3177" s="14" t="s">
        <v>6142</v>
      </c>
      <c r="E3177" s="9" t="s">
        <v>11</v>
      </c>
    </row>
    <row r="3178" spans="1:5" ht="15" customHeight="1" outlineLevel="2" x14ac:dyDescent="0.25">
      <c r="A3178" s="3" t="str">
        <f>HYPERLINK("http://mystore1.ru/price_items/search?utf8=%E2%9C%93&amp;oem=3962RGNR5RV","3962RGNR5RV")</f>
        <v>3962RGNR5RV</v>
      </c>
      <c r="B3178" s="1" t="s">
        <v>6143</v>
      </c>
      <c r="C3178" s="9" t="s">
        <v>3106</v>
      </c>
      <c r="D3178" s="14" t="s">
        <v>6144</v>
      </c>
      <c r="E3178" s="9" t="s">
        <v>11</v>
      </c>
    </row>
    <row r="3179" spans="1:5" outlineLevel="1" x14ac:dyDescent="0.25">
      <c r="A3179" s="2"/>
      <c r="B3179" s="6" t="s">
        <v>6145</v>
      </c>
      <c r="C3179" s="8"/>
      <c r="D3179" s="8"/>
      <c r="E3179" s="8"/>
    </row>
    <row r="3180" spans="1:5" ht="15" customHeight="1" outlineLevel="2" x14ac:dyDescent="0.25">
      <c r="A3180" s="3" t="str">
        <f>HYPERLINK("http://mystore1.ru/price_items/search?utf8=%E2%9C%93&amp;oem=3983AGSBLV","3983AGSBLV")</f>
        <v>3983AGSBLV</v>
      </c>
      <c r="B3180" s="1" t="s">
        <v>6146</v>
      </c>
      <c r="C3180" s="9" t="s">
        <v>1496</v>
      </c>
      <c r="D3180" s="14" t="s">
        <v>6147</v>
      </c>
      <c r="E3180" s="9" t="s">
        <v>8</v>
      </c>
    </row>
    <row r="3181" spans="1:5" ht="15" customHeight="1" outlineLevel="2" x14ac:dyDescent="0.25">
      <c r="A3181" s="3" t="str">
        <f>HYPERLINK("http://mystore1.ru/price_items/search?utf8=%E2%9C%93&amp;oem=3983AGSV","3983AGSV")</f>
        <v>3983AGSV</v>
      </c>
      <c r="B3181" s="1" t="s">
        <v>6148</v>
      </c>
      <c r="C3181" s="9" t="s">
        <v>1496</v>
      </c>
      <c r="D3181" s="14" t="s">
        <v>6149</v>
      </c>
      <c r="E3181" s="9" t="s">
        <v>8</v>
      </c>
    </row>
    <row r="3182" spans="1:5" ht="15" customHeight="1" outlineLevel="2" x14ac:dyDescent="0.25">
      <c r="A3182" s="3" t="str">
        <f>HYPERLINK("http://mystore1.ru/price_items/search?utf8=%E2%9C%93&amp;oem=3983AGSV1C","3983AGSV1C")</f>
        <v>3983AGSV1C</v>
      </c>
      <c r="B3182" s="1" t="s">
        <v>6150</v>
      </c>
      <c r="C3182" s="9" t="s">
        <v>1496</v>
      </c>
      <c r="D3182" s="14" t="s">
        <v>6151</v>
      </c>
      <c r="E3182" s="9" t="s">
        <v>8</v>
      </c>
    </row>
    <row r="3183" spans="1:5" ht="15" customHeight="1" outlineLevel="2" x14ac:dyDescent="0.25">
      <c r="A3183" s="3" t="str">
        <f>HYPERLINK("http://mystore1.ru/price_items/search?utf8=%E2%9C%93&amp;oem=3983AGSVW1C","3983AGSVW1C")</f>
        <v>3983AGSVW1C</v>
      </c>
      <c r="B3183" s="1" t="s">
        <v>6152</v>
      </c>
      <c r="C3183" s="9" t="s">
        <v>1496</v>
      </c>
      <c r="D3183" s="14" t="s">
        <v>6153</v>
      </c>
      <c r="E3183" s="9" t="s">
        <v>8</v>
      </c>
    </row>
    <row r="3184" spans="1:5" ht="15" customHeight="1" outlineLevel="2" x14ac:dyDescent="0.25">
      <c r="A3184" s="3" t="str">
        <f>HYPERLINK("http://mystore1.ru/price_items/search?utf8=%E2%9C%93&amp;oem=3983AGSBLV1C","3983AGSBLV1C")</f>
        <v>3983AGSBLV1C</v>
      </c>
      <c r="B3184" s="1" t="s">
        <v>6154</v>
      </c>
      <c r="C3184" s="9" t="s">
        <v>6155</v>
      </c>
      <c r="D3184" s="14" t="s">
        <v>6156</v>
      </c>
      <c r="E3184" s="9" t="s">
        <v>8</v>
      </c>
    </row>
    <row r="3185" spans="1:5" ht="15" customHeight="1" outlineLevel="2" x14ac:dyDescent="0.25">
      <c r="A3185" s="3" t="str">
        <f>HYPERLINK("http://mystore1.ru/price_items/search?utf8=%E2%9C%93&amp;oem=3983ASMRT","3983ASMRT")</f>
        <v>3983ASMRT</v>
      </c>
      <c r="B3185" s="1" t="s">
        <v>6157</v>
      </c>
      <c r="C3185" s="9" t="s">
        <v>25</v>
      </c>
      <c r="D3185" s="14" t="s">
        <v>6158</v>
      </c>
      <c r="E3185" s="9" t="s">
        <v>27</v>
      </c>
    </row>
    <row r="3186" spans="1:5" ht="15" customHeight="1" outlineLevel="2" x14ac:dyDescent="0.25">
      <c r="A3186" s="3" t="str">
        <f>HYPERLINK("http://mystore1.ru/price_items/search?utf8=%E2%9C%93&amp;oem=3983BGSRBOW","3983BGSRBOW")</f>
        <v>3983BGSRBOW</v>
      </c>
      <c r="B3186" s="1" t="s">
        <v>6159</v>
      </c>
      <c r="C3186" s="9" t="s">
        <v>1496</v>
      </c>
      <c r="D3186" s="14" t="s">
        <v>6160</v>
      </c>
      <c r="E3186" s="9" t="s">
        <v>30</v>
      </c>
    </row>
    <row r="3187" spans="1:5" ht="15" customHeight="1" outlineLevel="2" x14ac:dyDescent="0.25">
      <c r="A3187" s="3" t="str">
        <f>HYPERLINK("http://mystore1.ru/price_items/search?utf8=%E2%9C%93&amp;oem=3983LGSR5FDW","3983LGSR5FDW")</f>
        <v>3983LGSR5FDW</v>
      </c>
      <c r="B3187" s="1" t="s">
        <v>6161</v>
      </c>
      <c r="C3187" s="9" t="s">
        <v>1496</v>
      </c>
      <c r="D3187" s="14" t="s">
        <v>6162</v>
      </c>
      <c r="E3187" s="9" t="s">
        <v>11</v>
      </c>
    </row>
    <row r="3188" spans="1:5" ht="15" customHeight="1" outlineLevel="2" x14ac:dyDescent="0.25">
      <c r="A3188" s="3" t="str">
        <f>HYPERLINK("http://mystore1.ru/price_items/search?utf8=%E2%9C%93&amp;oem=3983LGSR5RDW","3983LGSR5RDW")</f>
        <v>3983LGSR5RDW</v>
      </c>
      <c r="B3188" s="1" t="s">
        <v>6163</v>
      </c>
      <c r="C3188" s="9" t="s">
        <v>1496</v>
      </c>
      <c r="D3188" s="14" t="s">
        <v>6164</v>
      </c>
      <c r="E3188" s="9" t="s">
        <v>11</v>
      </c>
    </row>
    <row r="3189" spans="1:5" ht="15" customHeight="1" outlineLevel="2" x14ac:dyDescent="0.25">
      <c r="A3189" s="3" t="str">
        <f>HYPERLINK("http://mystore1.ru/price_items/search?utf8=%E2%9C%93&amp;oem=3983LGSR5RV","3983LGSR5RV")</f>
        <v>3983LGSR5RV</v>
      </c>
      <c r="B3189" s="1" t="s">
        <v>6165</v>
      </c>
      <c r="C3189" s="9" t="s">
        <v>1496</v>
      </c>
      <c r="D3189" s="14" t="s">
        <v>6166</v>
      </c>
      <c r="E3189" s="9" t="s">
        <v>11</v>
      </c>
    </row>
    <row r="3190" spans="1:5" ht="15" customHeight="1" outlineLevel="2" x14ac:dyDescent="0.25">
      <c r="A3190" s="3" t="str">
        <f>HYPERLINK("http://mystore1.ru/price_items/search?utf8=%E2%9C%93&amp;oem=3983RGSR5FDW","3983RGSR5FDW")</f>
        <v>3983RGSR5FDW</v>
      </c>
      <c r="B3190" s="1" t="s">
        <v>6167</v>
      </c>
      <c r="C3190" s="9" t="s">
        <v>1496</v>
      </c>
      <c r="D3190" s="14" t="s">
        <v>6168</v>
      </c>
      <c r="E3190" s="9" t="s">
        <v>11</v>
      </c>
    </row>
    <row r="3191" spans="1:5" ht="15" customHeight="1" outlineLevel="2" x14ac:dyDescent="0.25">
      <c r="A3191" s="3" t="str">
        <f>HYPERLINK("http://mystore1.ru/price_items/search?utf8=%E2%9C%93&amp;oem=3983RGSR5RDW","3983RGSR5RDW")</f>
        <v>3983RGSR5RDW</v>
      </c>
      <c r="B3191" s="1" t="s">
        <v>6169</v>
      </c>
      <c r="C3191" s="9" t="s">
        <v>1496</v>
      </c>
      <c r="D3191" s="14" t="s">
        <v>6170</v>
      </c>
      <c r="E3191" s="9" t="s">
        <v>11</v>
      </c>
    </row>
    <row r="3192" spans="1:5" ht="15" customHeight="1" outlineLevel="2" x14ac:dyDescent="0.25">
      <c r="A3192" s="3" t="str">
        <f>HYPERLINK("http://mystore1.ru/price_items/search?utf8=%E2%9C%93&amp;oem=3983RGSR5RV","3983RGSR5RV")</f>
        <v>3983RGSR5RV</v>
      </c>
      <c r="B3192" s="1" t="s">
        <v>6171</v>
      </c>
      <c r="C3192" s="9" t="s">
        <v>1496</v>
      </c>
      <c r="D3192" s="14" t="s">
        <v>6172</v>
      </c>
      <c r="E3192" s="9" t="s">
        <v>11</v>
      </c>
    </row>
    <row r="3193" spans="1:5" outlineLevel="1" x14ac:dyDescent="0.25">
      <c r="A3193" s="2"/>
      <c r="B3193" s="6" t="s">
        <v>6173</v>
      </c>
      <c r="C3193" s="8"/>
      <c r="D3193" s="8"/>
      <c r="E3193" s="8"/>
    </row>
    <row r="3194" spans="1:5" ht="15" customHeight="1" outlineLevel="2" x14ac:dyDescent="0.25">
      <c r="A3194" s="3" t="str">
        <f>HYPERLINK("http://mystore1.ru/price_items/search?utf8=%E2%9C%93&amp;oem=4000AGAMV1B","4000AGAMV1B")</f>
        <v>4000AGAMV1B</v>
      </c>
      <c r="B3194" s="1" t="s">
        <v>6174</v>
      </c>
      <c r="C3194" s="9" t="s">
        <v>6175</v>
      </c>
      <c r="D3194" s="14" t="s">
        <v>6176</v>
      </c>
      <c r="E3194" s="9" t="s">
        <v>8</v>
      </c>
    </row>
    <row r="3195" spans="1:5" ht="15" customHeight="1" outlineLevel="2" x14ac:dyDescent="0.25">
      <c r="A3195" s="3" t="str">
        <f>HYPERLINK("http://mystore1.ru/price_items/search?utf8=%E2%9C%93&amp;oem=4000AGNMV1B","4000AGNMV1B")</f>
        <v>4000AGNMV1B</v>
      </c>
      <c r="B3195" s="1" t="s">
        <v>6177</v>
      </c>
      <c r="C3195" s="9" t="s">
        <v>6175</v>
      </c>
      <c r="D3195" s="14" t="s">
        <v>6178</v>
      </c>
      <c r="E3195" s="9" t="s">
        <v>8</v>
      </c>
    </row>
    <row r="3196" spans="1:5" ht="15" customHeight="1" outlineLevel="2" x14ac:dyDescent="0.25">
      <c r="A3196" s="3" t="str">
        <f>HYPERLINK("http://mystore1.ru/price_items/search?utf8=%E2%9C%93&amp;oem=4000AGAV","4000AGAV")</f>
        <v>4000AGAV</v>
      </c>
      <c r="B3196" s="1" t="s">
        <v>6179</v>
      </c>
      <c r="C3196" s="9" t="s">
        <v>6175</v>
      </c>
      <c r="D3196" s="14" t="s">
        <v>6180</v>
      </c>
      <c r="E3196" s="9" t="s">
        <v>8</v>
      </c>
    </row>
    <row r="3197" spans="1:5" ht="15" customHeight="1" outlineLevel="2" x14ac:dyDescent="0.25">
      <c r="A3197" s="3" t="str">
        <f>HYPERLINK("http://mystore1.ru/price_items/search?utf8=%E2%9C%93&amp;oem=4000AGAVW","4000AGAVW")</f>
        <v>4000AGAVW</v>
      </c>
      <c r="B3197" s="1" t="s">
        <v>6181</v>
      </c>
      <c r="C3197" s="9" t="s">
        <v>6175</v>
      </c>
      <c r="D3197" s="14" t="s">
        <v>6182</v>
      </c>
      <c r="E3197" s="9" t="s">
        <v>8</v>
      </c>
    </row>
    <row r="3198" spans="1:5" ht="15" customHeight="1" outlineLevel="2" x14ac:dyDescent="0.25">
      <c r="A3198" s="3" t="str">
        <f>HYPERLINK("http://mystore1.ru/price_items/search?utf8=%E2%9C%93&amp;oem=4000AGNV","4000AGNV")</f>
        <v>4000AGNV</v>
      </c>
      <c r="B3198" s="1" t="s">
        <v>6183</v>
      </c>
      <c r="C3198" s="9" t="s">
        <v>6175</v>
      </c>
      <c r="D3198" s="14" t="s">
        <v>6180</v>
      </c>
      <c r="E3198" s="9" t="s">
        <v>8</v>
      </c>
    </row>
    <row r="3199" spans="1:5" ht="15" customHeight="1" outlineLevel="2" x14ac:dyDescent="0.25">
      <c r="A3199" s="3" t="str">
        <f>HYPERLINK("http://mystore1.ru/price_items/search?utf8=%E2%9C%93&amp;oem=4000ASMRT","4000ASMRT")</f>
        <v>4000ASMRT</v>
      </c>
      <c r="B3199" s="1" t="s">
        <v>6184</v>
      </c>
      <c r="C3199" s="9" t="s">
        <v>25</v>
      </c>
      <c r="D3199" s="14" t="s">
        <v>6185</v>
      </c>
      <c r="E3199" s="9" t="s">
        <v>27</v>
      </c>
    </row>
    <row r="3200" spans="1:5" ht="15" customHeight="1" outlineLevel="2" x14ac:dyDescent="0.25">
      <c r="A3200" s="3" t="str">
        <f>HYPERLINK("http://mystore1.ru/price_items/search?utf8=%E2%9C%93&amp;oem=4000BGSRABIZ","4000BGSRABIZ")</f>
        <v>4000BGSRABIZ</v>
      </c>
      <c r="B3200" s="1" t="s">
        <v>6186</v>
      </c>
      <c r="C3200" s="9" t="s">
        <v>6175</v>
      </c>
      <c r="D3200" s="14" t="s">
        <v>6187</v>
      </c>
      <c r="E3200" s="9" t="s">
        <v>30</v>
      </c>
    </row>
    <row r="3201" spans="1:5" ht="15" customHeight="1" outlineLevel="2" x14ac:dyDescent="0.25">
      <c r="A3201" s="3" t="str">
        <f>HYPERLINK("http://mystore1.ru/price_items/search?utf8=%E2%9C%93&amp;oem=4000BGSRAB1F","4000BGSRAB1F")</f>
        <v>4000BGSRAB1F</v>
      </c>
      <c r="B3201" s="1" t="s">
        <v>6188</v>
      </c>
      <c r="C3201" s="9" t="s">
        <v>6175</v>
      </c>
      <c r="D3201" s="14" t="s">
        <v>6189</v>
      </c>
      <c r="E3201" s="9" t="s">
        <v>30</v>
      </c>
    </row>
    <row r="3202" spans="1:5" ht="15" customHeight="1" outlineLevel="2" x14ac:dyDescent="0.25">
      <c r="A3202" s="3" t="str">
        <f>HYPERLINK("http://mystore1.ru/price_items/search?utf8=%E2%9C%93&amp;oem=4000BGSRBIZ","4000BGSRBIZ")</f>
        <v>4000BGSRBIZ</v>
      </c>
      <c r="B3202" s="1" t="s">
        <v>6190</v>
      </c>
      <c r="C3202" s="9" t="s">
        <v>6175</v>
      </c>
      <c r="D3202" s="14" t="s">
        <v>6191</v>
      </c>
      <c r="E3202" s="9" t="s">
        <v>30</v>
      </c>
    </row>
    <row r="3203" spans="1:5" ht="15" customHeight="1" outlineLevel="2" x14ac:dyDescent="0.25">
      <c r="A3203" s="3" t="str">
        <f>HYPERLINK("http://mystore1.ru/price_items/search?utf8=%E2%9C%93&amp;oem=4000BYPRABIZ","4000BYPRABIZ")</f>
        <v>4000BYPRABIZ</v>
      </c>
      <c r="B3203" s="1" t="s">
        <v>6192</v>
      </c>
      <c r="C3203" s="9" t="s">
        <v>6175</v>
      </c>
      <c r="D3203" s="14" t="s">
        <v>6193</v>
      </c>
      <c r="E3203" s="9" t="s">
        <v>30</v>
      </c>
    </row>
    <row r="3204" spans="1:5" ht="15" customHeight="1" outlineLevel="2" x14ac:dyDescent="0.25">
      <c r="A3204" s="3" t="str">
        <f>HYPERLINK("http://mystore1.ru/price_items/search?utf8=%E2%9C%93&amp;oem=4000BYPRAB1F","4000BYPRAB1F")</f>
        <v>4000BYPRAB1F</v>
      </c>
      <c r="B3204" s="1" t="s">
        <v>6194</v>
      </c>
      <c r="C3204" s="9" t="s">
        <v>6175</v>
      </c>
      <c r="D3204" s="14" t="s">
        <v>6195</v>
      </c>
      <c r="E3204" s="9" t="s">
        <v>30</v>
      </c>
    </row>
    <row r="3205" spans="1:5" ht="15" customHeight="1" outlineLevel="2" x14ac:dyDescent="0.25">
      <c r="A3205" s="3" t="str">
        <f>HYPERLINK("http://mystore1.ru/price_items/search?utf8=%E2%9C%93&amp;oem=4000BYPRB","4000BYPRB")</f>
        <v>4000BYPRB</v>
      </c>
      <c r="B3205" s="1" t="s">
        <v>6196</v>
      </c>
      <c r="C3205" s="9" t="s">
        <v>6175</v>
      </c>
      <c r="D3205" s="14" t="s">
        <v>6197</v>
      </c>
      <c r="E3205" s="9" t="s">
        <v>30</v>
      </c>
    </row>
    <row r="3206" spans="1:5" ht="15" customHeight="1" outlineLevel="2" x14ac:dyDescent="0.25">
      <c r="A3206" s="3" t="str">
        <f>HYPERLINK("http://mystore1.ru/price_items/search?utf8=%E2%9C%93&amp;oem=4000LGSR5FDW1M","4000LGSR5FDW1M")</f>
        <v>4000LGSR5FDW1M</v>
      </c>
      <c r="B3206" s="1" t="s">
        <v>6198</v>
      </c>
      <c r="C3206" s="9" t="s">
        <v>6175</v>
      </c>
      <c r="D3206" s="14" t="s">
        <v>6199</v>
      </c>
      <c r="E3206" s="9" t="s">
        <v>11</v>
      </c>
    </row>
    <row r="3207" spans="1:5" ht="15" customHeight="1" outlineLevel="2" x14ac:dyDescent="0.25">
      <c r="A3207" s="3" t="str">
        <f>HYPERLINK("http://mystore1.ru/price_items/search?utf8=%E2%9C%93&amp;oem=4000LGSR5FDW2M","4000LGSR5FDW2M")</f>
        <v>4000LGSR5FDW2M</v>
      </c>
      <c r="B3207" s="1" t="s">
        <v>6200</v>
      </c>
      <c r="C3207" s="9" t="s">
        <v>6175</v>
      </c>
      <c r="D3207" s="14" t="s">
        <v>6199</v>
      </c>
      <c r="E3207" s="9" t="s">
        <v>11</v>
      </c>
    </row>
    <row r="3208" spans="1:5" ht="15" customHeight="1" outlineLevel="2" x14ac:dyDescent="0.25">
      <c r="A3208" s="3" t="str">
        <f>HYPERLINK("http://mystore1.ru/price_items/search?utf8=%E2%9C%93&amp;oem=4000LGSR5RDW","4000LGSR5RDW")</f>
        <v>4000LGSR5RDW</v>
      </c>
      <c r="B3208" s="1" t="s">
        <v>6201</v>
      </c>
      <c r="C3208" s="9" t="s">
        <v>6175</v>
      </c>
      <c r="D3208" s="14" t="s">
        <v>6202</v>
      </c>
      <c r="E3208" s="9" t="s">
        <v>11</v>
      </c>
    </row>
    <row r="3209" spans="1:5" ht="15" customHeight="1" outlineLevel="2" x14ac:dyDescent="0.25">
      <c r="A3209" s="3" t="str">
        <f>HYPERLINK("http://mystore1.ru/price_items/search?utf8=%E2%9C%93&amp;oem=4000LGSR5RQ","4000LGSR5RQ")</f>
        <v>4000LGSR5RQ</v>
      </c>
      <c r="B3209" s="1" t="s">
        <v>6203</v>
      </c>
      <c r="C3209" s="9" t="s">
        <v>6175</v>
      </c>
      <c r="D3209" s="14" t="s">
        <v>6204</v>
      </c>
      <c r="E3209" s="9" t="s">
        <v>11</v>
      </c>
    </row>
    <row r="3210" spans="1:5" ht="15" customHeight="1" outlineLevel="2" x14ac:dyDescent="0.25">
      <c r="A3210" s="3" t="str">
        <f>HYPERLINK("http://mystore1.ru/price_items/search?utf8=%E2%9C%93&amp;oem=4000LYPR5RDW","4000LYPR5RDW")</f>
        <v>4000LYPR5RDW</v>
      </c>
      <c r="B3210" s="1" t="s">
        <v>6205</v>
      </c>
      <c r="C3210" s="9" t="s">
        <v>6175</v>
      </c>
      <c r="D3210" s="14" t="s">
        <v>6206</v>
      </c>
      <c r="E3210" s="9" t="s">
        <v>11</v>
      </c>
    </row>
    <row r="3211" spans="1:5" ht="15" customHeight="1" outlineLevel="2" x14ac:dyDescent="0.25">
      <c r="A3211" s="3" t="str">
        <f>HYPERLINK("http://mystore1.ru/price_items/search?utf8=%E2%9C%93&amp;oem=4000LYPR5RQ","4000LYPR5RQ")</f>
        <v>4000LYPR5RQ</v>
      </c>
      <c r="B3211" s="1" t="s">
        <v>6207</v>
      </c>
      <c r="C3211" s="9" t="s">
        <v>6175</v>
      </c>
      <c r="D3211" s="14" t="s">
        <v>6208</v>
      </c>
      <c r="E3211" s="9" t="s">
        <v>11</v>
      </c>
    </row>
    <row r="3212" spans="1:5" ht="15" customHeight="1" outlineLevel="2" x14ac:dyDescent="0.25">
      <c r="A3212" s="3" t="str">
        <f>HYPERLINK("http://mystore1.ru/price_items/search?utf8=%E2%9C%93&amp;oem=4000RGSR5FDW1M","4000RGSR5FDW1M")</f>
        <v>4000RGSR5FDW1M</v>
      </c>
      <c r="B3212" s="1" t="s">
        <v>6209</v>
      </c>
      <c r="C3212" s="9" t="s">
        <v>6175</v>
      </c>
      <c r="D3212" s="14" t="s">
        <v>6210</v>
      </c>
      <c r="E3212" s="9" t="s">
        <v>11</v>
      </c>
    </row>
    <row r="3213" spans="1:5" ht="15" customHeight="1" outlineLevel="2" x14ac:dyDescent="0.25">
      <c r="A3213" s="3" t="str">
        <f>HYPERLINK("http://mystore1.ru/price_items/search?utf8=%E2%9C%93&amp;oem=4000RGSR5FDW2M","4000RGSR5FDW2M")</f>
        <v>4000RGSR5FDW2M</v>
      </c>
      <c r="B3213" s="1" t="s">
        <v>6211</v>
      </c>
      <c r="C3213" s="9" t="s">
        <v>6175</v>
      </c>
      <c r="D3213" s="14" t="s">
        <v>6210</v>
      </c>
      <c r="E3213" s="9" t="s">
        <v>11</v>
      </c>
    </row>
    <row r="3214" spans="1:5" ht="15" customHeight="1" outlineLevel="2" x14ac:dyDescent="0.25">
      <c r="A3214" s="3" t="str">
        <f>HYPERLINK("http://mystore1.ru/price_items/search?utf8=%E2%9C%93&amp;oem=4000RGSR5RDW","4000RGSR5RDW")</f>
        <v>4000RGSR5RDW</v>
      </c>
      <c r="B3214" s="1" t="s">
        <v>6212</v>
      </c>
      <c r="C3214" s="9" t="s">
        <v>6175</v>
      </c>
      <c r="D3214" s="14" t="s">
        <v>6213</v>
      </c>
      <c r="E3214" s="9" t="s">
        <v>11</v>
      </c>
    </row>
    <row r="3215" spans="1:5" ht="15" customHeight="1" outlineLevel="2" x14ac:dyDescent="0.25">
      <c r="A3215" s="3" t="str">
        <f>HYPERLINK("http://mystore1.ru/price_items/search?utf8=%E2%9C%93&amp;oem=4000RGSR5RQ","4000RGSR5RQ")</f>
        <v>4000RGSR5RQ</v>
      </c>
      <c r="B3215" s="1" t="s">
        <v>6214</v>
      </c>
      <c r="C3215" s="9" t="s">
        <v>6175</v>
      </c>
      <c r="D3215" s="14" t="s">
        <v>6215</v>
      </c>
      <c r="E3215" s="9" t="s">
        <v>11</v>
      </c>
    </row>
    <row r="3216" spans="1:5" ht="15" customHeight="1" outlineLevel="2" x14ac:dyDescent="0.25">
      <c r="A3216" s="3" t="str">
        <f>HYPERLINK("http://mystore1.ru/price_items/search?utf8=%E2%9C%93&amp;oem=4000RYPR5RDW","4000RYPR5RDW")</f>
        <v>4000RYPR5RDW</v>
      </c>
      <c r="B3216" s="1" t="s">
        <v>6216</v>
      </c>
      <c r="C3216" s="9" t="s">
        <v>6175</v>
      </c>
      <c r="D3216" s="14" t="s">
        <v>6217</v>
      </c>
      <c r="E3216" s="9" t="s">
        <v>11</v>
      </c>
    </row>
    <row r="3217" spans="1:5" ht="15" customHeight="1" outlineLevel="2" x14ac:dyDescent="0.25">
      <c r="A3217" s="3" t="str">
        <f>HYPERLINK("http://mystore1.ru/price_items/search?utf8=%E2%9C%93&amp;oem=4000RYPR5RQ","4000RYPR5RQ")</f>
        <v>4000RYPR5RQ</v>
      </c>
      <c r="B3217" s="1" t="s">
        <v>6218</v>
      </c>
      <c r="C3217" s="9" t="s">
        <v>6175</v>
      </c>
      <c r="D3217" s="14" t="s">
        <v>6219</v>
      </c>
      <c r="E3217" s="9" t="s">
        <v>11</v>
      </c>
    </row>
    <row r="3218" spans="1:5" outlineLevel="1" x14ac:dyDescent="0.25">
      <c r="A3218" s="2"/>
      <c r="B3218" s="6" t="s">
        <v>6220</v>
      </c>
      <c r="C3218" s="8"/>
      <c r="D3218" s="8"/>
      <c r="E3218" s="8"/>
    </row>
    <row r="3219" spans="1:5" ht="15" customHeight="1" outlineLevel="2" x14ac:dyDescent="0.25">
      <c r="A3219" s="3" t="str">
        <f>HYPERLINK("http://mystore1.ru/price_items/search?utf8=%E2%9C%93&amp;oem=3948ABL","3948ABL")</f>
        <v>3948ABL</v>
      </c>
      <c r="B3219" s="1" t="s">
        <v>6221</v>
      </c>
      <c r="C3219" s="9" t="s">
        <v>883</v>
      </c>
      <c r="D3219" s="14" t="s">
        <v>6222</v>
      </c>
      <c r="E3219" s="9" t="s">
        <v>8</v>
      </c>
    </row>
    <row r="3220" spans="1:5" ht="15" customHeight="1" outlineLevel="2" x14ac:dyDescent="0.25">
      <c r="A3220" s="3" t="str">
        <f>HYPERLINK("http://mystore1.ru/price_items/search?utf8=%E2%9C%93&amp;oem=3948AGN","3948AGN")</f>
        <v>3948AGN</v>
      </c>
      <c r="B3220" s="1" t="s">
        <v>6223</v>
      </c>
      <c r="C3220" s="9" t="s">
        <v>4428</v>
      </c>
      <c r="D3220" s="14" t="s">
        <v>6224</v>
      </c>
      <c r="E3220" s="9" t="s">
        <v>8</v>
      </c>
    </row>
    <row r="3221" spans="1:5" ht="15" customHeight="1" outlineLevel="2" x14ac:dyDescent="0.25">
      <c r="A3221" s="3" t="str">
        <f>HYPERLINK("http://mystore1.ru/price_items/search?utf8=%E2%9C%93&amp;oem=3948AKCC","3948AKCC")</f>
        <v>3948AKCC</v>
      </c>
      <c r="B3221" s="1" t="s">
        <v>6225</v>
      </c>
      <c r="C3221" s="9" t="s">
        <v>25</v>
      </c>
      <c r="D3221" s="14" t="s">
        <v>6226</v>
      </c>
      <c r="E3221" s="9" t="s">
        <v>27</v>
      </c>
    </row>
    <row r="3222" spans="1:5" ht="15" customHeight="1" outlineLevel="2" x14ac:dyDescent="0.25">
      <c r="A3222" s="3" t="str">
        <f>HYPERLINK("http://mystore1.ru/price_items/search?utf8=%E2%9C%93&amp;oem=3948ASMCT","3948ASMCT")</f>
        <v>3948ASMCT</v>
      </c>
      <c r="B3222" s="1" t="s">
        <v>6227</v>
      </c>
      <c r="C3222" s="9" t="s">
        <v>25</v>
      </c>
      <c r="D3222" s="14" t="s">
        <v>6228</v>
      </c>
      <c r="E3222" s="9" t="s">
        <v>27</v>
      </c>
    </row>
    <row r="3223" spans="1:5" outlineLevel="1" x14ac:dyDescent="0.25">
      <c r="A3223" s="2"/>
      <c r="B3223" s="6" t="s">
        <v>6229</v>
      </c>
      <c r="C3223" s="8"/>
      <c r="D3223" s="8"/>
      <c r="E3223" s="8"/>
    </row>
    <row r="3224" spans="1:5" ht="15" customHeight="1" outlineLevel="2" x14ac:dyDescent="0.25">
      <c r="A3224" s="3" t="str">
        <f>HYPERLINK("http://mystore1.ru/price_items/search?utf8=%E2%9C%93&amp;oem=4002AGNV","4002AGNV")</f>
        <v>4002AGNV</v>
      </c>
      <c r="B3224" s="1" t="s">
        <v>6230</v>
      </c>
      <c r="C3224" s="9" t="s">
        <v>6231</v>
      </c>
      <c r="D3224" s="14" t="s">
        <v>6232</v>
      </c>
      <c r="E3224" s="9" t="s">
        <v>8</v>
      </c>
    </row>
    <row r="3225" spans="1:5" ht="15" customHeight="1" outlineLevel="2" x14ac:dyDescent="0.25">
      <c r="A3225" s="3" t="str">
        <f>HYPERLINK("http://mystore1.ru/price_items/search?utf8=%E2%9C%93&amp;oem=39A6AGN","39A6AGN")</f>
        <v>39A6AGN</v>
      </c>
      <c r="B3225" s="1" t="s">
        <v>6233</v>
      </c>
      <c r="C3225" s="9" t="s">
        <v>6234</v>
      </c>
      <c r="D3225" s="14" t="s">
        <v>6235</v>
      </c>
      <c r="E3225" s="9" t="s">
        <v>8</v>
      </c>
    </row>
    <row r="3226" spans="1:5" outlineLevel="1" x14ac:dyDescent="0.25">
      <c r="A3226" s="2"/>
      <c r="B3226" s="6" t="s">
        <v>6236</v>
      </c>
      <c r="C3226" s="8"/>
      <c r="D3226" s="8"/>
      <c r="E3226" s="8"/>
    </row>
    <row r="3227" spans="1:5" ht="15" customHeight="1" outlineLevel="2" x14ac:dyDescent="0.25">
      <c r="A3227" s="3" t="str">
        <f>HYPERLINK("http://mystore1.ru/price_items/search?utf8=%E2%9C%93&amp;oem=3992AGNMV1B","3992AGNMV1B")</f>
        <v>3992AGNMV1B</v>
      </c>
      <c r="B3227" s="1" t="s">
        <v>6237</v>
      </c>
      <c r="C3227" s="9" t="s">
        <v>6238</v>
      </c>
      <c r="D3227" s="14" t="s">
        <v>6239</v>
      </c>
      <c r="E3227" s="9" t="s">
        <v>8</v>
      </c>
    </row>
    <row r="3228" spans="1:5" ht="15" customHeight="1" outlineLevel="2" x14ac:dyDescent="0.25">
      <c r="A3228" s="3" t="str">
        <f>HYPERLINK("http://mystore1.ru/price_items/search?utf8=%E2%9C%93&amp;oem=3992AGNV","3992AGNV")</f>
        <v>3992AGNV</v>
      </c>
      <c r="B3228" s="1" t="s">
        <v>6240</v>
      </c>
      <c r="C3228" s="9" t="s">
        <v>6241</v>
      </c>
      <c r="D3228" s="14" t="s">
        <v>6242</v>
      </c>
      <c r="E3228" s="9" t="s">
        <v>8</v>
      </c>
    </row>
    <row r="3229" spans="1:5" ht="15" customHeight="1" outlineLevel="2" x14ac:dyDescent="0.25">
      <c r="A3229" s="3" t="str">
        <f>HYPERLINK("http://mystore1.ru/price_items/search?utf8=%E2%9C%93&amp;oem=3992ASMVT","3992ASMVT")</f>
        <v>3992ASMVT</v>
      </c>
      <c r="B3229" s="1" t="s">
        <v>6243</v>
      </c>
      <c r="C3229" s="9" t="s">
        <v>25</v>
      </c>
      <c r="D3229" s="14" t="s">
        <v>6244</v>
      </c>
      <c r="E3229" s="9" t="s">
        <v>27</v>
      </c>
    </row>
    <row r="3230" spans="1:5" ht="15" customHeight="1" outlineLevel="2" x14ac:dyDescent="0.25">
      <c r="A3230" s="3" t="str">
        <f>HYPERLINK("http://mystore1.ru/price_items/search?utf8=%E2%9C%93&amp;oem=3992RGSV5FDW1M","3992RGSV5FDW1M")</f>
        <v>3992RGSV5FDW1M</v>
      </c>
      <c r="B3230" s="1" t="s">
        <v>6245</v>
      </c>
      <c r="C3230" s="9" t="s">
        <v>6241</v>
      </c>
      <c r="D3230" s="14" t="s">
        <v>6246</v>
      </c>
      <c r="E3230" s="9" t="s">
        <v>11</v>
      </c>
    </row>
    <row r="3231" spans="1:5" outlineLevel="1" x14ac:dyDescent="0.25">
      <c r="A3231" s="2"/>
      <c r="B3231" s="6" t="s">
        <v>6247</v>
      </c>
      <c r="C3231" s="8"/>
      <c r="D3231" s="8"/>
      <c r="E3231" s="8"/>
    </row>
    <row r="3232" spans="1:5" ht="15" customHeight="1" outlineLevel="2" x14ac:dyDescent="0.25">
      <c r="A3232" s="3" t="str">
        <f>HYPERLINK("http://mystore1.ru/price_items/search?utf8=%E2%9C%93&amp;oem=3967AGNBLV1P","3967AGNBLV1P")</f>
        <v>3967AGNBLV1P</v>
      </c>
      <c r="B3232" s="1" t="s">
        <v>6248</v>
      </c>
      <c r="C3232" s="9" t="s">
        <v>2031</v>
      </c>
      <c r="D3232" s="14" t="s">
        <v>6249</v>
      </c>
      <c r="E3232" s="9" t="s">
        <v>8</v>
      </c>
    </row>
    <row r="3233" spans="1:5" ht="15" customHeight="1" outlineLevel="2" x14ac:dyDescent="0.25">
      <c r="A3233" s="3" t="str">
        <f>HYPERLINK("http://mystore1.ru/price_items/search?utf8=%E2%9C%93&amp;oem=3967AGNV","3967AGNV")</f>
        <v>3967AGNV</v>
      </c>
      <c r="B3233" s="1" t="s">
        <v>6250</v>
      </c>
      <c r="C3233" s="9" t="s">
        <v>2031</v>
      </c>
      <c r="D3233" s="14" t="s">
        <v>6251</v>
      </c>
      <c r="E3233" s="9" t="s">
        <v>8</v>
      </c>
    </row>
    <row r="3234" spans="1:5" ht="15" customHeight="1" outlineLevel="2" x14ac:dyDescent="0.25">
      <c r="A3234" s="3" t="str">
        <f>HYPERLINK("http://mystore1.ru/price_items/search?utf8=%E2%9C%93&amp;oem=3967AGNV1P","3967AGNV1P")</f>
        <v>3967AGNV1P</v>
      </c>
      <c r="B3234" s="1" t="s">
        <v>6252</v>
      </c>
      <c r="C3234" s="9" t="s">
        <v>2031</v>
      </c>
      <c r="D3234" s="14" t="s">
        <v>6253</v>
      </c>
      <c r="E3234" s="9" t="s">
        <v>8</v>
      </c>
    </row>
    <row r="3235" spans="1:5" ht="15" customHeight="1" outlineLevel="2" x14ac:dyDescent="0.25">
      <c r="A3235" s="3" t="str">
        <f>HYPERLINK("http://mystore1.ru/price_items/search?utf8=%E2%9C%93&amp;oem=3967ASMR","3967ASMR")</f>
        <v>3967ASMR</v>
      </c>
      <c r="B3235" s="1" t="s">
        <v>6254</v>
      </c>
      <c r="C3235" s="9" t="s">
        <v>25</v>
      </c>
      <c r="D3235" s="14" t="s">
        <v>6255</v>
      </c>
      <c r="E3235" s="9" t="s">
        <v>27</v>
      </c>
    </row>
    <row r="3236" spans="1:5" ht="15" customHeight="1" outlineLevel="2" x14ac:dyDescent="0.25">
      <c r="A3236" s="3" t="str">
        <f>HYPERLINK("http://mystore1.ru/price_items/search?utf8=%E2%9C%93&amp;oem=3967LGNR3FDW","3967LGNR3FDW")</f>
        <v>3967LGNR3FDW</v>
      </c>
      <c r="B3236" s="1" t="s">
        <v>6256</v>
      </c>
      <c r="C3236" s="9" t="s">
        <v>2031</v>
      </c>
      <c r="D3236" s="14" t="s">
        <v>6257</v>
      </c>
      <c r="E3236" s="9" t="s">
        <v>11</v>
      </c>
    </row>
    <row r="3237" spans="1:5" ht="15" customHeight="1" outlineLevel="2" x14ac:dyDescent="0.25">
      <c r="A3237" s="3" t="str">
        <f>HYPERLINK("http://mystore1.ru/price_items/search?utf8=%E2%9C%93&amp;oem=3967LGNR3RQ","3967LGNR3RQ")</f>
        <v>3967LGNR3RQ</v>
      </c>
      <c r="B3237" s="1" t="s">
        <v>6258</v>
      </c>
      <c r="C3237" s="9" t="s">
        <v>2031</v>
      </c>
      <c r="D3237" s="14" t="s">
        <v>6259</v>
      </c>
      <c r="E3237" s="9" t="s">
        <v>11</v>
      </c>
    </row>
    <row r="3238" spans="1:5" ht="15" customHeight="1" outlineLevel="2" x14ac:dyDescent="0.25">
      <c r="A3238" s="3" t="str">
        <f>HYPERLINK("http://mystore1.ru/price_items/search?utf8=%E2%9C%93&amp;oem=3967LGNR5FDW","3967LGNR5FDW")</f>
        <v>3967LGNR5FDW</v>
      </c>
      <c r="B3238" s="1" t="s">
        <v>6260</v>
      </c>
      <c r="C3238" s="9" t="s">
        <v>2031</v>
      </c>
      <c r="D3238" s="14" t="s">
        <v>6261</v>
      </c>
      <c r="E3238" s="9" t="s">
        <v>11</v>
      </c>
    </row>
    <row r="3239" spans="1:5" ht="15" customHeight="1" outlineLevel="2" x14ac:dyDescent="0.25">
      <c r="A3239" s="3" t="str">
        <f>HYPERLINK("http://mystore1.ru/price_items/search?utf8=%E2%9C%93&amp;oem=3967LGNR5RDW","3967LGNR5RDW")</f>
        <v>3967LGNR5RDW</v>
      </c>
      <c r="B3239" s="1" t="s">
        <v>6262</v>
      </c>
      <c r="C3239" s="9" t="s">
        <v>2031</v>
      </c>
      <c r="D3239" s="14" t="s">
        <v>6263</v>
      </c>
      <c r="E3239" s="9" t="s">
        <v>11</v>
      </c>
    </row>
    <row r="3240" spans="1:5" ht="15" customHeight="1" outlineLevel="2" x14ac:dyDescent="0.25">
      <c r="A3240" s="3" t="str">
        <f>HYPERLINK("http://mystore1.ru/price_items/search?utf8=%E2%9C%93&amp;oem=3967RGNR3FDW","3967RGNR3FDW")</f>
        <v>3967RGNR3FDW</v>
      </c>
      <c r="B3240" s="1" t="s">
        <v>6264</v>
      </c>
      <c r="C3240" s="9" t="s">
        <v>2031</v>
      </c>
      <c r="D3240" s="14" t="s">
        <v>6265</v>
      </c>
      <c r="E3240" s="9" t="s">
        <v>11</v>
      </c>
    </row>
    <row r="3241" spans="1:5" ht="15" customHeight="1" outlineLevel="2" x14ac:dyDescent="0.25">
      <c r="A3241" s="3" t="str">
        <f>HYPERLINK("http://mystore1.ru/price_items/search?utf8=%E2%9C%93&amp;oem=3967RGNR3RQ","3967RGNR3RQ")</f>
        <v>3967RGNR3RQ</v>
      </c>
      <c r="B3241" s="1" t="s">
        <v>6266</v>
      </c>
      <c r="C3241" s="9" t="s">
        <v>2031</v>
      </c>
      <c r="D3241" s="14" t="s">
        <v>6267</v>
      </c>
      <c r="E3241" s="9" t="s">
        <v>11</v>
      </c>
    </row>
    <row r="3242" spans="1:5" ht="15" customHeight="1" outlineLevel="2" x14ac:dyDescent="0.25">
      <c r="A3242" s="3" t="str">
        <f>HYPERLINK("http://mystore1.ru/price_items/search?utf8=%E2%9C%93&amp;oem=3967RGNR5FDW","3967RGNR5FDW")</f>
        <v>3967RGNR5FDW</v>
      </c>
      <c r="B3242" s="1" t="s">
        <v>6268</v>
      </c>
      <c r="C3242" s="9" t="s">
        <v>2031</v>
      </c>
      <c r="D3242" s="14" t="s">
        <v>6269</v>
      </c>
      <c r="E3242" s="9" t="s">
        <v>11</v>
      </c>
    </row>
    <row r="3243" spans="1:5" ht="15" customHeight="1" outlineLevel="2" x14ac:dyDescent="0.25">
      <c r="A3243" s="3" t="str">
        <f>HYPERLINK("http://mystore1.ru/price_items/search?utf8=%E2%9C%93&amp;oem=3967RGNR5RDW","3967RGNR5RDW")</f>
        <v>3967RGNR5RDW</v>
      </c>
      <c r="B3243" s="1" t="s">
        <v>6270</v>
      </c>
      <c r="C3243" s="9" t="s">
        <v>2031</v>
      </c>
      <c r="D3243" s="14" t="s">
        <v>6271</v>
      </c>
      <c r="E3243" s="9" t="s">
        <v>11</v>
      </c>
    </row>
    <row r="3244" spans="1:5" outlineLevel="1" x14ac:dyDescent="0.25">
      <c r="A3244" s="2"/>
      <c r="B3244" s="6" t="s">
        <v>6272</v>
      </c>
      <c r="C3244" s="8"/>
      <c r="D3244" s="8"/>
      <c r="E3244" s="8"/>
    </row>
    <row r="3245" spans="1:5" ht="15" customHeight="1" outlineLevel="2" x14ac:dyDescent="0.25">
      <c r="A3245" s="3" t="str">
        <f>HYPERLINK("http://mystore1.ru/price_items/search?utf8=%E2%9C%93&amp;oem=3926ABL","3926ABL")</f>
        <v>3926ABL</v>
      </c>
      <c r="B3245" s="1" t="s">
        <v>6273</v>
      </c>
      <c r="C3245" s="9" t="s">
        <v>6274</v>
      </c>
      <c r="D3245" s="14" t="s">
        <v>6275</v>
      </c>
      <c r="E3245" s="9" t="s">
        <v>8</v>
      </c>
    </row>
    <row r="3246" spans="1:5" outlineLevel="1" x14ac:dyDescent="0.25">
      <c r="A3246" s="2"/>
      <c r="B3246" s="6" t="s">
        <v>6276</v>
      </c>
      <c r="C3246" s="8"/>
      <c r="D3246" s="8"/>
      <c r="E3246" s="8"/>
    </row>
    <row r="3247" spans="1:5" ht="15" customHeight="1" outlineLevel="2" x14ac:dyDescent="0.25">
      <c r="A3247" s="3" t="str">
        <f>HYPERLINK("http://mystore1.ru/price_items/search?utf8=%E2%9C%93&amp;oem=3965AGN","3965AGN")</f>
        <v>3965AGN</v>
      </c>
      <c r="B3247" s="1" t="s">
        <v>6277</v>
      </c>
      <c r="C3247" s="9" t="s">
        <v>631</v>
      </c>
      <c r="D3247" s="14" t="s">
        <v>6278</v>
      </c>
      <c r="E3247" s="9" t="s">
        <v>8</v>
      </c>
    </row>
    <row r="3248" spans="1:5" outlineLevel="1" x14ac:dyDescent="0.25">
      <c r="A3248" s="2"/>
      <c r="B3248" s="6" t="s">
        <v>6279</v>
      </c>
      <c r="C3248" s="8"/>
      <c r="D3248" s="8"/>
      <c r="E3248" s="8"/>
    </row>
    <row r="3249" spans="1:5" ht="15" customHeight="1" outlineLevel="2" x14ac:dyDescent="0.25">
      <c r="A3249" s="3" t="str">
        <f>HYPERLINK("http://mystore1.ru/price_items/search?utf8=%E2%9C%93&amp;oem=3919ABL","3919ABL")</f>
        <v>3919ABL</v>
      </c>
      <c r="B3249" s="1" t="s">
        <v>6280</v>
      </c>
      <c r="C3249" s="9" t="s">
        <v>5837</v>
      </c>
      <c r="D3249" s="14" t="s">
        <v>6281</v>
      </c>
      <c r="E3249" s="9" t="s">
        <v>8</v>
      </c>
    </row>
    <row r="3250" spans="1:5" outlineLevel="1" x14ac:dyDescent="0.25">
      <c r="A3250" s="2"/>
      <c r="B3250" s="6" t="s">
        <v>6282</v>
      </c>
      <c r="C3250" s="8"/>
      <c r="D3250" s="8"/>
      <c r="E3250" s="8"/>
    </row>
    <row r="3251" spans="1:5" ht="15" customHeight="1" outlineLevel="2" x14ac:dyDescent="0.25">
      <c r="A3251" s="3" t="str">
        <f>HYPERLINK("http://mystore1.ru/price_items/search?utf8=%E2%9C%93&amp;oem=3979AGNGNV","3979AGNGNV")</f>
        <v>3979AGNGNV</v>
      </c>
      <c r="B3251" s="1" t="s">
        <v>6283</v>
      </c>
      <c r="C3251" s="9" t="s">
        <v>4782</v>
      </c>
      <c r="D3251" s="14" t="s">
        <v>6284</v>
      </c>
      <c r="E3251" s="9" t="s">
        <v>8</v>
      </c>
    </row>
    <row r="3252" spans="1:5" ht="15" customHeight="1" outlineLevel="2" x14ac:dyDescent="0.25">
      <c r="A3252" s="3" t="str">
        <f>HYPERLINK("http://mystore1.ru/price_items/search?utf8=%E2%9C%93&amp;oem=3979AGNV","3979AGNV")</f>
        <v>3979AGNV</v>
      </c>
      <c r="B3252" s="1" t="s">
        <v>6285</v>
      </c>
      <c r="C3252" s="9" t="s">
        <v>4782</v>
      </c>
      <c r="D3252" s="14" t="s">
        <v>6286</v>
      </c>
      <c r="E3252" s="9" t="s">
        <v>8</v>
      </c>
    </row>
    <row r="3253" spans="1:5" ht="15" customHeight="1" outlineLevel="2" x14ac:dyDescent="0.25">
      <c r="A3253" s="3" t="str">
        <f>HYPERLINK("http://mystore1.ru/price_items/search?utf8=%E2%9C%93&amp;oem=3979ASMH","3979ASMH")</f>
        <v>3979ASMH</v>
      </c>
      <c r="B3253" s="1" t="s">
        <v>6287</v>
      </c>
      <c r="C3253" s="9" t="s">
        <v>25</v>
      </c>
      <c r="D3253" s="14" t="s">
        <v>6288</v>
      </c>
      <c r="E3253" s="9" t="s">
        <v>27</v>
      </c>
    </row>
    <row r="3254" spans="1:5" ht="15" customHeight="1" outlineLevel="2" x14ac:dyDescent="0.25">
      <c r="A3254" s="3" t="str">
        <f>HYPERLINK("http://mystore1.ru/price_items/search?utf8=%E2%9C%93&amp;oem=3979BGNHB","3979BGNHB")</f>
        <v>3979BGNHB</v>
      </c>
      <c r="B3254" s="1" t="s">
        <v>6289</v>
      </c>
      <c r="C3254" s="9" t="s">
        <v>4782</v>
      </c>
      <c r="D3254" s="14" t="s">
        <v>6290</v>
      </c>
      <c r="E3254" s="9" t="s">
        <v>30</v>
      </c>
    </row>
    <row r="3255" spans="1:5" ht="15" customHeight="1" outlineLevel="2" x14ac:dyDescent="0.25">
      <c r="A3255" s="3" t="str">
        <f>HYPERLINK("http://mystore1.ru/price_items/search?utf8=%E2%9C%93&amp;oem=3979LGNH5FDW","3979LGNH5FDW")</f>
        <v>3979LGNH5FDW</v>
      </c>
      <c r="B3255" s="1" t="s">
        <v>6291</v>
      </c>
      <c r="C3255" s="9" t="s">
        <v>4782</v>
      </c>
      <c r="D3255" s="14" t="s">
        <v>6292</v>
      </c>
      <c r="E3255" s="9" t="s">
        <v>11</v>
      </c>
    </row>
    <row r="3256" spans="1:5" ht="15" customHeight="1" outlineLevel="2" x14ac:dyDescent="0.25">
      <c r="A3256" s="3" t="str">
        <f>HYPERLINK("http://mystore1.ru/price_items/search?utf8=%E2%9C%93&amp;oem=3979LGNH5RDW","3979LGNH5RDW")</f>
        <v>3979LGNH5RDW</v>
      </c>
      <c r="B3256" s="1" t="s">
        <v>6293</v>
      </c>
      <c r="C3256" s="9" t="s">
        <v>4782</v>
      </c>
      <c r="D3256" s="14" t="s">
        <v>6294</v>
      </c>
      <c r="E3256" s="9" t="s">
        <v>11</v>
      </c>
    </row>
    <row r="3257" spans="1:5" ht="15" customHeight="1" outlineLevel="2" x14ac:dyDescent="0.25">
      <c r="A3257" s="3" t="str">
        <f>HYPERLINK("http://mystore1.ru/price_items/search?utf8=%E2%9C%93&amp;oem=3979LGNH5RQ","3979LGNH5RQ")</f>
        <v>3979LGNH5RQ</v>
      </c>
      <c r="B3257" s="1" t="s">
        <v>6295</v>
      </c>
      <c r="C3257" s="9" t="s">
        <v>4782</v>
      </c>
      <c r="D3257" s="14" t="s">
        <v>6296</v>
      </c>
      <c r="E3257" s="9" t="s">
        <v>11</v>
      </c>
    </row>
    <row r="3258" spans="1:5" ht="15" customHeight="1" outlineLevel="2" x14ac:dyDescent="0.25">
      <c r="A3258" s="3" t="str">
        <f>HYPERLINK("http://mystore1.ru/price_items/search?utf8=%E2%9C%93&amp;oem=3979RGNH5FDW","3979RGNH5FDW")</f>
        <v>3979RGNH5FDW</v>
      </c>
      <c r="B3258" s="1" t="s">
        <v>6297</v>
      </c>
      <c r="C3258" s="9" t="s">
        <v>4782</v>
      </c>
      <c r="D3258" s="14" t="s">
        <v>6298</v>
      </c>
      <c r="E3258" s="9" t="s">
        <v>11</v>
      </c>
    </row>
    <row r="3259" spans="1:5" ht="15" customHeight="1" outlineLevel="2" x14ac:dyDescent="0.25">
      <c r="A3259" s="3" t="str">
        <f>HYPERLINK("http://mystore1.ru/price_items/search?utf8=%E2%9C%93&amp;oem=3979RGNH5RDW","3979RGNH5RDW")</f>
        <v>3979RGNH5RDW</v>
      </c>
      <c r="B3259" s="1" t="s">
        <v>6299</v>
      </c>
      <c r="C3259" s="9" t="s">
        <v>4782</v>
      </c>
      <c r="D3259" s="14" t="s">
        <v>6300</v>
      </c>
      <c r="E3259" s="9" t="s">
        <v>11</v>
      </c>
    </row>
    <row r="3260" spans="1:5" ht="15" customHeight="1" outlineLevel="2" x14ac:dyDescent="0.25">
      <c r="A3260" s="3" t="str">
        <f>HYPERLINK("http://mystore1.ru/price_items/search?utf8=%E2%9C%93&amp;oem=3979RGNH5RQ","3979RGNH5RQ")</f>
        <v>3979RGNH5RQ</v>
      </c>
      <c r="B3260" s="1" t="s">
        <v>6301</v>
      </c>
      <c r="C3260" s="9" t="s">
        <v>4782</v>
      </c>
      <c r="D3260" s="14" t="s">
        <v>6302</v>
      </c>
      <c r="E3260" s="9" t="s">
        <v>11</v>
      </c>
    </row>
    <row r="3261" spans="1:5" outlineLevel="1" x14ac:dyDescent="0.25">
      <c r="A3261" s="2"/>
      <c r="B3261" s="6" t="s">
        <v>6303</v>
      </c>
      <c r="C3261" s="8"/>
      <c r="D3261" s="8"/>
      <c r="E3261" s="8"/>
    </row>
    <row r="3262" spans="1:5" ht="15" customHeight="1" outlineLevel="2" x14ac:dyDescent="0.25">
      <c r="A3262" s="3" t="str">
        <f>HYPERLINK("http://mystore1.ru/price_items/search?utf8=%E2%9C%93&amp;oem=4004AGSMV1B","4004AGSMV1B")</f>
        <v>4004AGSMV1B</v>
      </c>
      <c r="B3262" s="1" t="s">
        <v>6304</v>
      </c>
      <c r="C3262" s="9" t="s">
        <v>642</v>
      </c>
      <c r="D3262" s="14" t="s">
        <v>6305</v>
      </c>
      <c r="E3262" s="9" t="s">
        <v>8</v>
      </c>
    </row>
    <row r="3263" spans="1:5" ht="15" customHeight="1" outlineLevel="2" x14ac:dyDescent="0.25">
      <c r="A3263" s="3" t="str">
        <f>HYPERLINK("http://mystore1.ru/price_items/search?utf8=%E2%9C%93&amp;oem=4004AGSV","4004AGSV")</f>
        <v>4004AGSV</v>
      </c>
      <c r="B3263" s="1" t="s">
        <v>6306</v>
      </c>
      <c r="C3263" s="9" t="s">
        <v>642</v>
      </c>
      <c r="D3263" s="14" t="s">
        <v>6307</v>
      </c>
      <c r="E3263" s="9" t="s">
        <v>8</v>
      </c>
    </row>
    <row r="3264" spans="1:5" outlineLevel="1" x14ac:dyDescent="0.25">
      <c r="A3264" s="2"/>
      <c r="B3264" s="6" t="s">
        <v>6308</v>
      </c>
      <c r="C3264" s="8"/>
      <c r="D3264" s="8"/>
      <c r="E3264" s="8"/>
    </row>
    <row r="3265" spans="1:5" ht="15" customHeight="1" outlineLevel="2" x14ac:dyDescent="0.25">
      <c r="A3265" s="3" t="str">
        <f>HYPERLINK("http://mystore1.ru/price_items/search?utf8=%E2%9C%93&amp;oem=3959AGNBL","3959AGNBL")</f>
        <v>3959AGNBL</v>
      </c>
      <c r="B3265" s="1" t="s">
        <v>6309</v>
      </c>
      <c r="C3265" s="9" t="s">
        <v>2099</v>
      </c>
      <c r="D3265" s="14" t="s">
        <v>6310</v>
      </c>
      <c r="E3265" s="9" t="s">
        <v>8</v>
      </c>
    </row>
    <row r="3266" spans="1:5" ht="15" customHeight="1" outlineLevel="2" x14ac:dyDescent="0.25">
      <c r="A3266" s="3" t="str">
        <f>HYPERLINK("http://mystore1.ru/price_items/search?utf8=%E2%9C%93&amp;oem=3959LGNS4FDW","3959LGNS4FDW")</f>
        <v>3959LGNS4FDW</v>
      </c>
      <c r="B3266" s="1" t="s">
        <v>6311</v>
      </c>
      <c r="C3266" s="9" t="s">
        <v>2099</v>
      </c>
      <c r="D3266" s="14" t="s">
        <v>6312</v>
      </c>
      <c r="E3266" s="9" t="s">
        <v>11</v>
      </c>
    </row>
    <row r="3267" spans="1:5" ht="15" customHeight="1" outlineLevel="2" x14ac:dyDescent="0.25">
      <c r="A3267" s="3" t="str">
        <f>HYPERLINK("http://mystore1.ru/price_items/search?utf8=%E2%9C%93&amp;oem=3959LGNS4RDW","3959LGNS4RDW")</f>
        <v>3959LGNS4RDW</v>
      </c>
      <c r="B3267" s="1" t="s">
        <v>6313</v>
      </c>
      <c r="C3267" s="9" t="s">
        <v>2099</v>
      </c>
      <c r="D3267" s="14" t="s">
        <v>6314</v>
      </c>
      <c r="E3267" s="9" t="s">
        <v>11</v>
      </c>
    </row>
    <row r="3268" spans="1:5" ht="15" customHeight="1" outlineLevel="2" x14ac:dyDescent="0.25">
      <c r="A3268" s="3" t="str">
        <f>HYPERLINK("http://mystore1.ru/price_items/search?utf8=%E2%9C%93&amp;oem=3959RGNS4RDW","3959RGNS4RDW")</f>
        <v>3959RGNS4RDW</v>
      </c>
      <c r="B3268" s="1" t="s">
        <v>6315</v>
      </c>
      <c r="C3268" s="9" t="s">
        <v>2099</v>
      </c>
      <c r="D3268" s="14" t="s">
        <v>6316</v>
      </c>
      <c r="E3268" s="9" t="s">
        <v>11</v>
      </c>
    </row>
    <row r="3269" spans="1:5" outlineLevel="1" x14ac:dyDescent="0.25">
      <c r="A3269" s="2"/>
      <c r="B3269" s="6" t="s">
        <v>6317</v>
      </c>
      <c r="C3269" s="8"/>
      <c r="D3269" s="8"/>
      <c r="E3269" s="8"/>
    </row>
    <row r="3270" spans="1:5" ht="15" customHeight="1" outlineLevel="2" x14ac:dyDescent="0.25">
      <c r="A3270" s="3" t="str">
        <f>HYPERLINK("http://mystore1.ru/price_items/search?utf8=%E2%9C%93&amp;oem=4001AGSBLMV","4001AGSBLMV")</f>
        <v>4001AGSBLMV</v>
      </c>
      <c r="B3270" s="1" t="s">
        <v>6318</v>
      </c>
      <c r="C3270" s="9" t="s">
        <v>511</v>
      </c>
      <c r="D3270" s="14" t="s">
        <v>6319</v>
      </c>
      <c r="E3270" s="9" t="s">
        <v>8</v>
      </c>
    </row>
    <row r="3271" spans="1:5" outlineLevel="1" x14ac:dyDescent="0.25">
      <c r="A3271" s="2"/>
      <c r="B3271" s="6" t="s">
        <v>6320</v>
      </c>
      <c r="C3271" s="8"/>
      <c r="D3271" s="8"/>
      <c r="E3271" s="8"/>
    </row>
    <row r="3272" spans="1:5" ht="15" customHeight="1" outlineLevel="2" x14ac:dyDescent="0.25">
      <c r="A3272" s="3" t="str">
        <f>HYPERLINK("http://mystore1.ru/price_items/search?utf8=%E2%9C%93&amp;oem=3968AGNV","3968AGNV")</f>
        <v>3968AGNV</v>
      </c>
      <c r="B3272" s="1" t="s">
        <v>6321</v>
      </c>
      <c r="C3272" s="9" t="s">
        <v>1144</v>
      </c>
      <c r="D3272" s="14" t="s">
        <v>6322</v>
      </c>
      <c r="E3272" s="9" t="s">
        <v>8</v>
      </c>
    </row>
    <row r="3273" spans="1:5" ht="15" customHeight="1" outlineLevel="2" x14ac:dyDescent="0.25">
      <c r="A3273" s="3" t="str">
        <f>HYPERLINK("http://mystore1.ru/price_items/search?utf8=%E2%9C%93&amp;oem=OLD-3968ASMH","OLD-3968ASMH")</f>
        <v>OLD-3968ASMH</v>
      </c>
      <c r="B3273" s="1" t="s">
        <v>6323</v>
      </c>
      <c r="C3273" s="9" t="s">
        <v>25</v>
      </c>
      <c r="D3273" s="14" t="s">
        <v>6324</v>
      </c>
      <c r="E3273" s="9" t="s">
        <v>27</v>
      </c>
    </row>
    <row r="3274" spans="1:5" ht="15" customHeight="1" outlineLevel="2" x14ac:dyDescent="0.25">
      <c r="A3274" s="3" t="str">
        <f>HYPERLINK("http://mystore1.ru/price_items/search?utf8=%E2%9C%93&amp;oem=3968BGNHB","3968BGNHB")</f>
        <v>3968BGNHB</v>
      </c>
      <c r="B3274" s="1" t="s">
        <v>6325</v>
      </c>
      <c r="C3274" s="9" t="s">
        <v>1144</v>
      </c>
      <c r="D3274" s="14" t="s">
        <v>6326</v>
      </c>
      <c r="E3274" s="9" t="s">
        <v>30</v>
      </c>
    </row>
    <row r="3275" spans="1:5" ht="15" customHeight="1" outlineLevel="2" x14ac:dyDescent="0.25">
      <c r="A3275" s="3" t="str">
        <f>HYPERLINK("http://mystore1.ru/price_items/search?utf8=%E2%9C%93&amp;oem=3968LGNH3FDW","3968LGNH3FDW")</f>
        <v>3968LGNH3FDW</v>
      </c>
      <c r="B3275" s="1" t="s">
        <v>6327</v>
      </c>
      <c r="C3275" s="9" t="s">
        <v>1144</v>
      </c>
      <c r="D3275" s="14" t="s">
        <v>6328</v>
      </c>
      <c r="E3275" s="9" t="s">
        <v>11</v>
      </c>
    </row>
    <row r="3276" spans="1:5" ht="15" customHeight="1" outlineLevel="2" x14ac:dyDescent="0.25">
      <c r="A3276" s="3" t="str">
        <f>HYPERLINK("http://mystore1.ru/price_items/search?utf8=%E2%9C%93&amp;oem=3968RGNH3FDW","3968RGNH3FDW")</f>
        <v>3968RGNH3FDW</v>
      </c>
      <c r="B3276" s="1" t="s">
        <v>6329</v>
      </c>
      <c r="C3276" s="9" t="s">
        <v>1144</v>
      </c>
      <c r="D3276" s="14" t="s">
        <v>6330</v>
      </c>
      <c r="E3276" s="9" t="s">
        <v>11</v>
      </c>
    </row>
    <row r="3277" spans="1:5" outlineLevel="1" x14ac:dyDescent="0.25">
      <c r="A3277" s="2"/>
      <c r="B3277" s="6" t="s">
        <v>6331</v>
      </c>
      <c r="C3277" s="8"/>
      <c r="D3277" s="8"/>
      <c r="E3277" s="8"/>
    </row>
    <row r="3278" spans="1:5" ht="15" customHeight="1" outlineLevel="2" x14ac:dyDescent="0.25">
      <c r="A3278" s="3" t="str">
        <f>HYPERLINK("http://mystore1.ru/price_items/search?utf8=%E2%9C%93&amp;oem=3984AGNBL","3984AGNBL")</f>
        <v>3984AGNBL</v>
      </c>
      <c r="B3278" s="1" t="s">
        <v>6332</v>
      </c>
      <c r="C3278" s="9" t="s">
        <v>586</v>
      </c>
      <c r="D3278" s="14" t="s">
        <v>6333</v>
      </c>
      <c r="E3278" s="9" t="s">
        <v>8</v>
      </c>
    </row>
    <row r="3279" spans="1:5" outlineLevel="1" x14ac:dyDescent="0.25">
      <c r="A3279" s="2"/>
      <c r="B3279" s="6" t="s">
        <v>6334</v>
      </c>
      <c r="C3279" s="8"/>
      <c r="D3279" s="8"/>
      <c r="E3279" s="8"/>
    </row>
    <row r="3280" spans="1:5" ht="15" customHeight="1" outlineLevel="2" x14ac:dyDescent="0.25">
      <c r="A3280" s="3" t="str">
        <f>HYPERLINK("http://mystore1.ru/price_items/search?utf8=%E2%9C%93&amp;oem=39C1AGNBLV","39C1AGNBLV")</f>
        <v>39C1AGNBLV</v>
      </c>
      <c r="B3280" s="1" t="s">
        <v>6335</v>
      </c>
      <c r="C3280" s="9" t="s">
        <v>642</v>
      </c>
      <c r="D3280" s="14" t="s">
        <v>6336</v>
      </c>
      <c r="E3280" s="9" t="s">
        <v>8</v>
      </c>
    </row>
    <row r="3281" spans="1:5" outlineLevel="1" x14ac:dyDescent="0.25">
      <c r="A3281" s="2"/>
      <c r="B3281" s="6" t="s">
        <v>6337</v>
      </c>
      <c r="C3281" s="8"/>
      <c r="D3281" s="8"/>
      <c r="E3281" s="8"/>
    </row>
    <row r="3282" spans="1:5" ht="15" customHeight="1" outlineLevel="2" x14ac:dyDescent="0.25">
      <c r="A3282" s="3" t="str">
        <f>HYPERLINK("http://mystore1.ru/price_items/search?utf8=%E2%9C%93&amp;oem=3918ABL","3918ABL")</f>
        <v>3918ABL</v>
      </c>
      <c r="B3282" s="1" t="s">
        <v>6338</v>
      </c>
      <c r="C3282" s="9" t="s">
        <v>3476</v>
      </c>
      <c r="D3282" s="14" t="s">
        <v>6339</v>
      </c>
      <c r="E3282" s="9" t="s">
        <v>8</v>
      </c>
    </row>
    <row r="3283" spans="1:5" ht="15" customHeight="1" outlineLevel="2" x14ac:dyDescent="0.25">
      <c r="A3283" s="3" t="str">
        <f>HYPERLINK("http://mystore1.ru/price_items/search?utf8=%E2%9C%93&amp;oem=3918LBLC2FDW","3918LBLC2FDW")</f>
        <v>3918LBLC2FDW</v>
      </c>
      <c r="B3283" s="1" t="s">
        <v>6340</v>
      </c>
      <c r="C3283" s="9" t="s">
        <v>3476</v>
      </c>
      <c r="D3283" s="14" t="s">
        <v>6341</v>
      </c>
      <c r="E3283" s="9" t="s">
        <v>11</v>
      </c>
    </row>
    <row r="3284" spans="1:5" ht="15" customHeight="1" outlineLevel="2" x14ac:dyDescent="0.25">
      <c r="A3284" s="3" t="str">
        <f>HYPERLINK("http://mystore1.ru/price_items/search?utf8=%E2%9C%93&amp;oem=3918RBLC2FDW","3918RBLC2FDW")</f>
        <v>3918RBLC2FDW</v>
      </c>
      <c r="B3284" s="1" t="s">
        <v>6342</v>
      </c>
      <c r="C3284" s="9" t="s">
        <v>3476</v>
      </c>
      <c r="D3284" s="14" t="s">
        <v>6343</v>
      </c>
      <c r="E3284" s="9" t="s">
        <v>11</v>
      </c>
    </row>
    <row r="3285" spans="1:5" outlineLevel="1" x14ac:dyDescent="0.25">
      <c r="A3285" s="2"/>
      <c r="B3285" s="6" t="s">
        <v>6344</v>
      </c>
      <c r="C3285" s="8"/>
      <c r="D3285" s="8"/>
      <c r="E3285" s="8"/>
    </row>
    <row r="3286" spans="1:5" ht="15" customHeight="1" outlineLevel="2" x14ac:dyDescent="0.25">
      <c r="A3286" s="3" t="str">
        <f>HYPERLINK("http://mystore1.ru/price_items/search?utf8=%E2%9C%93&amp;oem=3931ABL","3931ABL")</f>
        <v>3931ABL</v>
      </c>
      <c r="B3286" s="1" t="s">
        <v>6345</v>
      </c>
      <c r="C3286" s="9" t="s">
        <v>6346</v>
      </c>
      <c r="D3286" s="14" t="s">
        <v>6347</v>
      </c>
      <c r="E3286" s="9" t="s">
        <v>8</v>
      </c>
    </row>
    <row r="3287" spans="1:5" ht="15" customHeight="1" outlineLevel="2" x14ac:dyDescent="0.25">
      <c r="A3287" s="3" t="str">
        <f>HYPERLINK("http://mystore1.ru/price_items/search?utf8=%E2%9C%93&amp;oem=3931ABLBL","3931ABLBL")</f>
        <v>3931ABLBL</v>
      </c>
      <c r="B3287" s="1" t="s">
        <v>6348</v>
      </c>
      <c r="C3287" s="9" t="s">
        <v>6346</v>
      </c>
      <c r="D3287" s="14" t="s">
        <v>6349</v>
      </c>
      <c r="E3287" s="9" t="s">
        <v>8</v>
      </c>
    </row>
    <row r="3288" spans="1:5" ht="15" customHeight="1" outlineLevel="2" x14ac:dyDescent="0.25">
      <c r="A3288" s="3" t="str">
        <f>HYPERLINK("http://mystore1.ru/price_items/search?utf8=%E2%9C%93&amp;oem=3931AKSC","3931AKSC")</f>
        <v>3931AKSC</v>
      </c>
      <c r="B3288" s="1" t="s">
        <v>6350</v>
      </c>
      <c r="C3288" s="9" t="s">
        <v>25</v>
      </c>
      <c r="D3288" s="14" t="s">
        <v>6351</v>
      </c>
      <c r="E3288" s="9" t="s">
        <v>27</v>
      </c>
    </row>
    <row r="3289" spans="1:5" ht="15" customHeight="1" outlineLevel="2" x14ac:dyDescent="0.25">
      <c r="A3289" s="3" t="str">
        <f>HYPERLINK("http://mystore1.ru/price_items/search?utf8=%E2%9C%93&amp;oem=3931LBLC2FDW","3931LBLC2FDW")</f>
        <v>3931LBLC2FDW</v>
      </c>
      <c r="B3289" s="1" t="s">
        <v>6352</v>
      </c>
      <c r="C3289" s="9" t="s">
        <v>6346</v>
      </c>
      <c r="D3289" s="14" t="s">
        <v>6353</v>
      </c>
      <c r="E3289" s="9" t="s">
        <v>11</v>
      </c>
    </row>
    <row r="3290" spans="1:5" ht="15" customHeight="1" outlineLevel="2" x14ac:dyDescent="0.25">
      <c r="A3290" s="3" t="str">
        <f>HYPERLINK("http://mystore1.ru/price_items/search?utf8=%E2%9C%93&amp;oem=3931RBLC2FDW","3931RBLC2FDW")</f>
        <v>3931RBLC2FDW</v>
      </c>
      <c r="B3290" s="1" t="s">
        <v>6354</v>
      </c>
      <c r="C3290" s="9" t="s">
        <v>6346</v>
      </c>
      <c r="D3290" s="14" t="s">
        <v>6355</v>
      </c>
      <c r="E3290" s="9" t="s">
        <v>11</v>
      </c>
    </row>
    <row r="3291" spans="1:5" outlineLevel="1" x14ac:dyDescent="0.25">
      <c r="A3291" s="2"/>
      <c r="B3291" s="6" t="s">
        <v>6356</v>
      </c>
      <c r="C3291" s="8"/>
      <c r="D3291" s="8"/>
      <c r="E3291" s="8"/>
    </row>
    <row r="3292" spans="1:5" ht="15" customHeight="1" outlineLevel="2" x14ac:dyDescent="0.25">
      <c r="A3292" s="3" t="str">
        <f>HYPERLINK("http://mystore1.ru/price_items/search?utf8=%E2%9C%93&amp;oem=3942ABL","3942ABL")</f>
        <v>3942ABL</v>
      </c>
      <c r="B3292" s="1" t="s">
        <v>6357</v>
      </c>
      <c r="C3292" s="9" t="s">
        <v>6358</v>
      </c>
      <c r="D3292" s="14" t="s">
        <v>6359</v>
      </c>
      <c r="E3292" s="9" t="s">
        <v>8</v>
      </c>
    </row>
    <row r="3293" spans="1:5" ht="15" customHeight="1" outlineLevel="2" x14ac:dyDescent="0.25">
      <c r="A3293" s="3" t="str">
        <f>HYPERLINK("http://mystore1.ru/price_items/search?utf8=%E2%9C%93&amp;oem=3942ABLBL","3942ABLBL")</f>
        <v>3942ABLBL</v>
      </c>
      <c r="B3293" s="1" t="s">
        <v>6360</v>
      </c>
      <c r="C3293" s="9" t="s">
        <v>6358</v>
      </c>
      <c r="D3293" s="14" t="s">
        <v>6361</v>
      </c>
      <c r="E3293" s="9" t="s">
        <v>8</v>
      </c>
    </row>
    <row r="3294" spans="1:5" ht="15" customHeight="1" outlineLevel="2" x14ac:dyDescent="0.25">
      <c r="A3294" s="3" t="str">
        <f>HYPERLINK("http://mystore1.ru/price_items/search?utf8=%E2%9C%93&amp;oem=3942AGN","3942AGN")</f>
        <v>3942AGN</v>
      </c>
      <c r="B3294" s="1" t="s">
        <v>6362</v>
      </c>
      <c r="C3294" s="9" t="s">
        <v>6358</v>
      </c>
      <c r="D3294" s="14" t="s">
        <v>6363</v>
      </c>
      <c r="E3294" s="9" t="s">
        <v>8</v>
      </c>
    </row>
    <row r="3295" spans="1:5" ht="15" customHeight="1" outlineLevel="2" x14ac:dyDescent="0.25">
      <c r="A3295" s="3" t="str">
        <f>HYPERLINK("http://mystore1.ru/price_items/search?utf8=%E2%9C%93&amp;oem=3942AKCC","3942AKCC")</f>
        <v>3942AKCC</v>
      </c>
      <c r="B3295" s="1" t="s">
        <v>6364</v>
      </c>
      <c r="C3295" s="9" t="s">
        <v>25</v>
      </c>
      <c r="D3295" s="14" t="s">
        <v>6365</v>
      </c>
      <c r="E3295" s="9" t="s">
        <v>27</v>
      </c>
    </row>
    <row r="3296" spans="1:5" ht="15" customHeight="1" outlineLevel="2" x14ac:dyDescent="0.25">
      <c r="A3296" s="3" t="str">
        <f>HYPERLINK("http://mystore1.ru/price_items/search?utf8=%E2%9C%93&amp;oem=3942ASMC","3942ASMC")</f>
        <v>3942ASMC</v>
      </c>
      <c r="B3296" s="1" t="s">
        <v>6366</v>
      </c>
      <c r="C3296" s="9" t="s">
        <v>25</v>
      </c>
      <c r="D3296" s="14" t="s">
        <v>6367</v>
      </c>
      <c r="E3296" s="9" t="s">
        <v>27</v>
      </c>
    </row>
    <row r="3297" spans="1:5" ht="15" customHeight="1" outlineLevel="2" x14ac:dyDescent="0.25">
      <c r="A3297" s="3" t="str">
        <f>HYPERLINK("http://mystore1.ru/price_items/search?utf8=%E2%9C%93&amp;oem=3942LBLC2FDW","3942LBLC2FDW")</f>
        <v>3942LBLC2FDW</v>
      </c>
      <c r="B3297" s="1" t="s">
        <v>6368</v>
      </c>
      <c r="C3297" s="9" t="s">
        <v>6358</v>
      </c>
      <c r="D3297" s="14" t="s">
        <v>6369</v>
      </c>
      <c r="E3297" s="9" t="s">
        <v>11</v>
      </c>
    </row>
    <row r="3298" spans="1:5" ht="15" customHeight="1" outlineLevel="2" x14ac:dyDescent="0.25">
      <c r="A3298" s="3" t="str">
        <f>HYPERLINK("http://mystore1.ru/price_items/search?utf8=%E2%9C%93&amp;oem=3942RBLC2FDW","3942RBLC2FDW")</f>
        <v>3942RBLC2FDW</v>
      </c>
      <c r="B3298" s="1" t="s">
        <v>6370</v>
      </c>
      <c r="C3298" s="9" t="s">
        <v>6358</v>
      </c>
      <c r="D3298" s="14" t="s">
        <v>6371</v>
      </c>
      <c r="E3298" s="9" t="s">
        <v>11</v>
      </c>
    </row>
    <row r="3299" spans="1:5" outlineLevel="1" x14ac:dyDescent="0.25">
      <c r="A3299" s="2"/>
      <c r="B3299" s="6" t="s">
        <v>6372</v>
      </c>
      <c r="C3299" s="8"/>
      <c r="D3299" s="8"/>
      <c r="E3299" s="8"/>
    </row>
    <row r="3300" spans="1:5" ht="15" customHeight="1" outlineLevel="2" x14ac:dyDescent="0.25">
      <c r="A3300" s="3" t="str">
        <f>HYPERLINK("http://mystore1.ru/price_items/search?utf8=%E2%9C%93&amp;oem=3961AGN","3961AGN")</f>
        <v>3961AGN</v>
      </c>
      <c r="B3300" s="1" t="s">
        <v>6373</v>
      </c>
      <c r="C3300" s="9" t="s">
        <v>3575</v>
      </c>
      <c r="D3300" s="14" t="s">
        <v>6374</v>
      </c>
      <c r="E3300" s="9" t="s">
        <v>8</v>
      </c>
    </row>
    <row r="3301" spans="1:5" ht="15" customHeight="1" outlineLevel="2" x14ac:dyDescent="0.25">
      <c r="A3301" s="3" t="str">
        <f>HYPERLINK("http://mystore1.ru/price_items/search?utf8=%E2%9C%93&amp;oem=3961AGNBL","3961AGNBL")</f>
        <v>3961AGNBL</v>
      </c>
      <c r="B3301" s="1" t="s">
        <v>6375</v>
      </c>
      <c r="C3301" s="9" t="s">
        <v>3575</v>
      </c>
      <c r="D3301" s="14" t="s">
        <v>6376</v>
      </c>
      <c r="E3301" s="9" t="s">
        <v>8</v>
      </c>
    </row>
    <row r="3302" spans="1:5" ht="15" customHeight="1" outlineLevel="2" x14ac:dyDescent="0.25">
      <c r="A3302" s="3" t="str">
        <f>HYPERLINK("http://mystore1.ru/price_items/search?utf8=%E2%9C%93&amp;oem=3961ASMC","3961ASMC")</f>
        <v>3961ASMC</v>
      </c>
      <c r="B3302" s="1" t="s">
        <v>6377</v>
      </c>
      <c r="C3302" s="9" t="s">
        <v>25</v>
      </c>
      <c r="D3302" s="14" t="s">
        <v>6378</v>
      </c>
      <c r="E3302" s="9" t="s">
        <v>27</v>
      </c>
    </row>
    <row r="3303" spans="1:5" ht="15" customHeight="1" outlineLevel="2" x14ac:dyDescent="0.25">
      <c r="A3303" s="3" t="str">
        <f>HYPERLINK("http://mystore1.ru/price_items/search?utf8=%E2%9C%93&amp;oem=3961LGNC2FDW","3961LGNC2FDW")</f>
        <v>3961LGNC2FDW</v>
      </c>
      <c r="B3303" s="1" t="s">
        <v>6379</v>
      </c>
      <c r="C3303" s="9" t="s">
        <v>3575</v>
      </c>
      <c r="D3303" s="14" t="s">
        <v>6380</v>
      </c>
      <c r="E3303" s="9" t="s">
        <v>11</v>
      </c>
    </row>
    <row r="3304" spans="1:5" ht="15" customHeight="1" outlineLevel="2" x14ac:dyDescent="0.25">
      <c r="A3304" s="3" t="str">
        <f>HYPERLINK("http://mystore1.ru/price_items/search?utf8=%E2%9C%93&amp;oem=3961RGNC2FDW","3961RGNC2FDW")</f>
        <v>3961RGNC2FDW</v>
      </c>
      <c r="B3304" s="1" t="s">
        <v>6381</v>
      </c>
      <c r="C3304" s="9" t="s">
        <v>3575</v>
      </c>
      <c r="D3304" s="14" t="s">
        <v>6382</v>
      </c>
      <c r="E3304" s="9" t="s">
        <v>11</v>
      </c>
    </row>
    <row r="3305" spans="1:5" outlineLevel="1" x14ac:dyDescent="0.25">
      <c r="A3305" s="2"/>
      <c r="B3305" s="6" t="s">
        <v>6383</v>
      </c>
      <c r="C3305" s="8"/>
      <c r="D3305" s="8"/>
      <c r="E3305" s="8"/>
    </row>
    <row r="3306" spans="1:5" ht="15" customHeight="1" outlineLevel="2" x14ac:dyDescent="0.25">
      <c r="A3306" s="3" t="str">
        <f>HYPERLINK("http://mystore1.ru/price_items/search?utf8=%E2%9C%93&amp;oem=3969AGNV","3969AGNV")</f>
        <v>3969AGNV</v>
      </c>
      <c r="B3306" s="1" t="s">
        <v>6384</v>
      </c>
      <c r="C3306" s="9" t="s">
        <v>6385</v>
      </c>
      <c r="D3306" s="14" t="s">
        <v>6386</v>
      </c>
      <c r="E3306" s="9" t="s">
        <v>8</v>
      </c>
    </row>
    <row r="3307" spans="1:5" outlineLevel="1" x14ac:dyDescent="0.25">
      <c r="A3307" s="2"/>
      <c r="B3307" s="6" t="s">
        <v>6387</v>
      </c>
      <c r="C3307" s="8"/>
      <c r="D3307" s="8"/>
      <c r="E3307" s="8"/>
    </row>
    <row r="3308" spans="1:5" ht="15" customHeight="1" outlineLevel="2" x14ac:dyDescent="0.25">
      <c r="A3308" s="3" t="str">
        <f>HYPERLINK("http://mystore1.ru/price_items/search?utf8=%E2%9C%93&amp;oem=3978AGNV","3978AGNV")</f>
        <v>3978AGNV</v>
      </c>
      <c r="B3308" s="1" t="s">
        <v>6388</v>
      </c>
      <c r="C3308" s="9" t="s">
        <v>984</v>
      </c>
      <c r="D3308" s="14" t="s">
        <v>6389</v>
      </c>
      <c r="E3308" s="9" t="s">
        <v>8</v>
      </c>
    </row>
    <row r="3309" spans="1:5" ht="15" customHeight="1" outlineLevel="2" x14ac:dyDescent="0.25">
      <c r="A3309" s="3" t="str">
        <f>HYPERLINK("http://mystore1.ru/price_items/search?utf8=%E2%9C%93&amp;oem=3978ASMVT","3978ASMVT")</f>
        <v>3978ASMVT</v>
      </c>
      <c r="B3309" s="1" t="s">
        <v>6390</v>
      </c>
      <c r="C3309" s="9" t="s">
        <v>25</v>
      </c>
      <c r="D3309" s="14" t="s">
        <v>6391</v>
      </c>
      <c r="E3309" s="9" t="s">
        <v>27</v>
      </c>
    </row>
    <row r="3310" spans="1:5" ht="15" customHeight="1" outlineLevel="2" x14ac:dyDescent="0.25">
      <c r="A3310" s="3" t="str">
        <f>HYPERLINK("http://mystore1.ru/price_items/search?utf8=%E2%9C%93&amp;oem=3978BGNV","3978BGNV")</f>
        <v>3978BGNV</v>
      </c>
      <c r="B3310" s="1" t="s">
        <v>6392</v>
      </c>
      <c r="C3310" s="9" t="s">
        <v>984</v>
      </c>
      <c r="D3310" s="14" t="s">
        <v>6393</v>
      </c>
      <c r="E3310" s="9" t="s">
        <v>30</v>
      </c>
    </row>
    <row r="3311" spans="1:5" ht="15" customHeight="1" outlineLevel="2" x14ac:dyDescent="0.25">
      <c r="A3311" s="3" t="str">
        <f>HYPERLINK("http://mystore1.ru/price_items/search?utf8=%E2%9C%93&amp;oem=3978LGNV5FDW","3978LGNV5FDW")</f>
        <v>3978LGNV5FDW</v>
      </c>
      <c r="B3311" s="1" t="s">
        <v>6394</v>
      </c>
      <c r="C3311" s="9" t="s">
        <v>984</v>
      </c>
      <c r="D3311" s="14" t="s">
        <v>6395</v>
      </c>
      <c r="E3311" s="9" t="s">
        <v>11</v>
      </c>
    </row>
    <row r="3312" spans="1:5" ht="15" customHeight="1" outlineLevel="2" x14ac:dyDescent="0.25">
      <c r="A3312" s="3" t="str">
        <f>HYPERLINK("http://mystore1.ru/price_items/search?utf8=%E2%9C%93&amp;oem=3978LGNV5RDW","3978LGNV5RDW")</f>
        <v>3978LGNV5RDW</v>
      </c>
      <c r="B3312" s="1" t="s">
        <v>6396</v>
      </c>
      <c r="C3312" s="9" t="s">
        <v>984</v>
      </c>
      <c r="D3312" s="14" t="s">
        <v>6397</v>
      </c>
      <c r="E3312" s="9" t="s">
        <v>11</v>
      </c>
    </row>
    <row r="3313" spans="1:5" ht="15" customHeight="1" outlineLevel="2" x14ac:dyDescent="0.25">
      <c r="A3313" s="3" t="str">
        <f>HYPERLINK("http://mystore1.ru/price_items/search?utf8=%E2%9C%93&amp;oem=3978LGNV5RQ","3978LGNV5RQ")</f>
        <v>3978LGNV5RQ</v>
      </c>
      <c r="B3313" s="1" t="s">
        <v>6398</v>
      </c>
      <c r="C3313" s="9" t="s">
        <v>984</v>
      </c>
      <c r="D3313" s="14" t="s">
        <v>6399</v>
      </c>
      <c r="E3313" s="9" t="s">
        <v>11</v>
      </c>
    </row>
    <row r="3314" spans="1:5" ht="15" customHeight="1" outlineLevel="2" x14ac:dyDescent="0.25">
      <c r="A3314" s="3" t="str">
        <f>HYPERLINK("http://mystore1.ru/price_items/search?utf8=%E2%9C%93&amp;oem=3978RGNV5FDW","3978RGNV5FDW")</f>
        <v>3978RGNV5FDW</v>
      </c>
      <c r="B3314" s="1" t="s">
        <v>6400</v>
      </c>
      <c r="C3314" s="9" t="s">
        <v>984</v>
      </c>
      <c r="D3314" s="14" t="s">
        <v>6401</v>
      </c>
      <c r="E3314" s="9" t="s">
        <v>11</v>
      </c>
    </row>
    <row r="3315" spans="1:5" ht="15" customHeight="1" outlineLevel="2" x14ac:dyDescent="0.25">
      <c r="A3315" s="3" t="str">
        <f>HYPERLINK("http://mystore1.ru/price_items/search?utf8=%E2%9C%93&amp;oem=3978RGNV5RDW","3978RGNV5RDW")</f>
        <v>3978RGNV5RDW</v>
      </c>
      <c r="B3315" s="1" t="s">
        <v>6402</v>
      </c>
      <c r="C3315" s="9" t="s">
        <v>984</v>
      </c>
      <c r="D3315" s="14" t="s">
        <v>6403</v>
      </c>
      <c r="E3315" s="9" t="s">
        <v>11</v>
      </c>
    </row>
    <row r="3316" spans="1:5" ht="15" customHeight="1" outlineLevel="2" x14ac:dyDescent="0.25">
      <c r="A3316" s="3" t="str">
        <f>HYPERLINK("http://mystore1.ru/price_items/search?utf8=%E2%9C%93&amp;oem=3978RGNV5RQ","3978RGNV5RQ")</f>
        <v>3978RGNV5RQ</v>
      </c>
      <c r="B3316" s="1" t="s">
        <v>6404</v>
      </c>
      <c r="C3316" s="9" t="s">
        <v>984</v>
      </c>
      <c r="D3316" s="14" t="s">
        <v>6405</v>
      </c>
      <c r="E3316" s="9" t="s">
        <v>11</v>
      </c>
    </row>
    <row r="3317" spans="1:5" outlineLevel="1" x14ac:dyDescent="0.25">
      <c r="A3317" s="2"/>
      <c r="B3317" s="6" t="s">
        <v>6406</v>
      </c>
      <c r="C3317" s="8"/>
      <c r="D3317" s="8"/>
      <c r="E3317" s="8"/>
    </row>
    <row r="3318" spans="1:5" outlineLevel="2" x14ac:dyDescent="0.25">
      <c r="A3318" s="3" t="str">
        <f>HYPERLINK("http://mystore1.ru/price_items/search?utf8=%E2%9C%93&amp;oem=3977AGNV","3977AGNV")</f>
        <v>3977AGNV</v>
      </c>
      <c r="B3318" s="1" t="s">
        <v>6407</v>
      </c>
      <c r="C3318" s="9" t="s">
        <v>1147</v>
      </c>
      <c r="D3318" s="14" t="s">
        <v>6408</v>
      </c>
      <c r="E3318" s="9" t="s">
        <v>8</v>
      </c>
    </row>
    <row r="3319" spans="1:5" outlineLevel="2" x14ac:dyDescent="0.25">
      <c r="A3319" s="3" t="str">
        <f>HYPERLINK("http://mystore1.ru/price_items/search?utf8=%E2%9C%93&amp;oem=3977LGNV5RQ","3977LGNV5RQ")</f>
        <v>3977LGNV5RQ</v>
      </c>
      <c r="B3319" s="1" t="s">
        <v>6409</v>
      </c>
      <c r="C3319" s="9" t="s">
        <v>1147</v>
      </c>
      <c r="D3319" s="14" t="s">
        <v>6410</v>
      </c>
      <c r="E3319" s="9" t="s">
        <v>11</v>
      </c>
    </row>
    <row r="3320" spans="1:5" outlineLevel="2" x14ac:dyDescent="0.25">
      <c r="A3320" s="3" t="str">
        <f>HYPERLINK("http://mystore1.ru/price_items/search?utf8=%E2%9C%93&amp;oem=3977RGNV5RQ","3977RGNV5RQ")</f>
        <v>3977RGNV5RQ</v>
      </c>
      <c r="B3320" s="1" t="s">
        <v>6411</v>
      </c>
      <c r="C3320" s="9" t="s">
        <v>1147</v>
      </c>
      <c r="D3320" s="14" t="s">
        <v>6412</v>
      </c>
      <c r="E3320" s="9" t="s">
        <v>11</v>
      </c>
    </row>
    <row r="3321" spans="1:5" x14ac:dyDescent="0.25">
      <c r="A3321" s="61" t="s">
        <v>6413</v>
      </c>
      <c r="B3321" s="61"/>
      <c r="C3321" s="61"/>
      <c r="D3321" s="61"/>
      <c r="E3321" s="61"/>
    </row>
    <row r="3322" spans="1:5" outlineLevel="1" x14ac:dyDescent="0.25">
      <c r="A3322" s="2"/>
      <c r="B3322" s="6" t="s">
        <v>6414</v>
      </c>
      <c r="C3322" s="8"/>
      <c r="D3322" s="8"/>
      <c r="E3322" s="8"/>
    </row>
    <row r="3323" spans="1:5" ht="15" customHeight="1" outlineLevel="2" x14ac:dyDescent="0.25">
      <c r="A3323" s="3" t="str">
        <f>HYPERLINK("http://mystore1.ru/price_items/search?utf8=%E2%9C%93&amp;oem=AG12AGSVW","AG12AGSVW")</f>
        <v>AG12AGSVW</v>
      </c>
      <c r="B3323" s="1" t="s">
        <v>6415</v>
      </c>
      <c r="C3323" s="9" t="s">
        <v>6238</v>
      </c>
      <c r="D3323" s="14" t="s">
        <v>6416</v>
      </c>
      <c r="E3323" s="9" t="s">
        <v>8</v>
      </c>
    </row>
    <row r="3324" spans="1:5" ht="15" customHeight="1" outlineLevel="2" x14ac:dyDescent="0.25">
      <c r="A3324" s="3" t="str">
        <f>HYPERLINK("http://mystore1.ru/price_items/search?utf8=%E2%9C%93&amp;oem=AG12AGSW","AG12AGSW")</f>
        <v>AG12AGSW</v>
      </c>
      <c r="B3324" s="1" t="s">
        <v>6417</v>
      </c>
      <c r="C3324" s="9" t="s">
        <v>6238</v>
      </c>
      <c r="D3324" s="14" t="s">
        <v>6418</v>
      </c>
      <c r="E3324" s="9" t="s">
        <v>8</v>
      </c>
    </row>
    <row r="3325" spans="1:5" ht="15" customHeight="1" outlineLevel="2" x14ac:dyDescent="0.25">
      <c r="A3325" s="3" t="str">
        <f>HYPERLINK("http://mystore1.ru/price_items/search?utf8=%E2%9C%93&amp;oem=AG12BGSRW","AG12BGSRW")</f>
        <v>AG12BGSRW</v>
      </c>
      <c r="B3325" s="1" t="s">
        <v>6419</v>
      </c>
      <c r="C3325" s="9" t="s">
        <v>6238</v>
      </c>
      <c r="D3325" s="14" t="s">
        <v>6420</v>
      </c>
      <c r="E3325" s="9" t="s">
        <v>30</v>
      </c>
    </row>
    <row r="3326" spans="1:5" ht="15" customHeight="1" outlineLevel="2" x14ac:dyDescent="0.25">
      <c r="A3326" s="3" t="str">
        <f>HYPERLINK("http://mystore1.ru/price_items/search?utf8=%E2%9C%93&amp;oem=AG12LGSR5FD","AG12LGSR5FD")</f>
        <v>AG12LGSR5FD</v>
      </c>
      <c r="B3326" s="1" t="s">
        <v>6421</v>
      </c>
      <c r="C3326" s="9" t="s">
        <v>6238</v>
      </c>
      <c r="D3326" s="14" t="s">
        <v>6422</v>
      </c>
      <c r="E3326" s="9" t="s">
        <v>11</v>
      </c>
    </row>
    <row r="3327" spans="1:5" ht="15" customHeight="1" outlineLevel="2" x14ac:dyDescent="0.25">
      <c r="A3327" s="3" t="str">
        <f>HYPERLINK("http://mystore1.ru/price_items/search?utf8=%E2%9C%93&amp;oem=AG12LGSR5RD","AG12LGSR5RD")</f>
        <v>AG12LGSR5RD</v>
      </c>
      <c r="B3327" s="1" t="s">
        <v>6423</v>
      </c>
      <c r="C3327" s="9" t="s">
        <v>6238</v>
      </c>
      <c r="D3327" s="14" t="s">
        <v>6424</v>
      </c>
      <c r="E3327" s="9" t="s">
        <v>11</v>
      </c>
    </row>
    <row r="3328" spans="1:5" ht="15" customHeight="1" outlineLevel="2" x14ac:dyDescent="0.25">
      <c r="A3328" s="3" t="str">
        <f>HYPERLINK("http://mystore1.ru/price_items/search?utf8=%E2%9C%93&amp;oem=AG12RGSR5FD","AG12RGSR5FD")</f>
        <v>AG12RGSR5FD</v>
      </c>
      <c r="B3328" s="1" t="s">
        <v>6425</v>
      </c>
      <c r="C3328" s="9" t="s">
        <v>6238</v>
      </c>
      <c r="D3328" s="14" t="s">
        <v>6426</v>
      </c>
      <c r="E3328" s="9" t="s">
        <v>11</v>
      </c>
    </row>
    <row r="3329" spans="1:5" outlineLevel="1" x14ac:dyDescent="0.25">
      <c r="A3329" s="2"/>
      <c r="B3329" s="6" t="s">
        <v>6427</v>
      </c>
      <c r="C3329" s="8"/>
      <c r="D3329" s="8"/>
      <c r="E3329" s="8"/>
    </row>
    <row r="3330" spans="1:5" outlineLevel="2" x14ac:dyDescent="0.25">
      <c r="A3330" s="3" t="str">
        <f>HYPERLINK("http://mystore1.ru/price_items/search?utf8=%E2%9C%93&amp;oem=AG13AGNBLW","AG13AGNBLW")</f>
        <v>AG13AGNBLW</v>
      </c>
      <c r="B3330" s="1" t="s">
        <v>6428</v>
      </c>
      <c r="C3330" s="9" t="s">
        <v>6077</v>
      </c>
      <c r="D3330" s="14" t="s">
        <v>6429</v>
      </c>
      <c r="E3330" s="9" t="s">
        <v>8</v>
      </c>
    </row>
    <row r="3331" spans="1:5" outlineLevel="2" x14ac:dyDescent="0.25">
      <c r="A3331" s="3" t="str">
        <f>HYPERLINK("http://mystore1.ru/price_items/search?utf8=%E2%9C%93&amp;oem=AG13BGPRW","AG13BGPRW")</f>
        <v>AG13BGPRW</v>
      </c>
      <c r="B3331" s="1" t="s">
        <v>6430</v>
      </c>
      <c r="C3331" s="9" t="s">
        <v>6077</v>
      </c>
      <c r="D3331" s="14" t="s">
        <v>6431</v>
      </c>
      <c r="E3331" s="9" t="s">
        <v>30</v>
      </c>
    </row>
    <row r="3332" spans="1:5" outlineLevel="2" x14ac:dyDescent="0.25">
      <c r="A3332" s="3" t="str">
        <f>HYPERLINK("http://mystore1.ru/price_items/search?utf8=%E2%9C%93&amp;oem=AG13LGSR5FD","AG13LGSR5FD")</f>
        <v>AG13LGSR5FD</v>
      </c>
      <c r="B3332" s="1" t="s">
        <v>6432</v>
      </c>
      <c r="C3332" s="9" t="s">
        <v>6077</v>
      </c>
      <c r="D3332" s="14" t="s">
        <v>6433</v>
      </c>
      <c r="E3332" s="9" t="s">
        <v>11</v>
      </c>
    </row>
    <row r="3333" spans="1:5" outlineLevel="2" x14ac:dyDescent="0.25">
      <c r="A3333" s="3" t="str">
        <f>HYPERLINK("http://mystore1.ru/price_items/search?utf8=%E2%9C%93&amp;oem=AG13RGSR5FD","AG13RGSR5FD")</f>
        <v>AG13RGSR5FD</v>
      </c>
      <c r="B3333" s="1" t="s">
        <v>6434</v>
      </c>
      <c r="C3333" s="9" t="s">
        <v>6077</v>
      </c>
      <c r="D3333" s="14" t="s">
        <v>6435</v>
      </c>
      <c r="E3333" s="9" t="s">
        <v>11</v>
      </c>
    </row>
    <row r="3334" spans="1:5" outlineLevel="2" x14ac:dyDescent="0.25">
      <c r="A3334" s="3" t="str">
        <f>HYPERLINK("http://mystore1.ru/price_items/search?utf8=%E2%9C%93&amp;oem=AG13RGSR5RD","AG13RGSR5RD")</f>
        <v>AG13RGSR5RD</v>
      </c>
      <c r="B3334" s="1" t="s">
        <v>6436</v>
      </c>
      <c r="C3334" s="9" t="s">
        <v>6077</v>
      </c>
      <c r="D3334" s="14" t="s">
        <v>6437</v>
      </c>
      <c r="E3334" s="9" t="s">
        <v>11</v>
      </c>
    </row>
    <row r="3335" spans="1:5" x14ac:dyDescent="0.25">
      <c r="A3335" s="61" t="s">
        <v>6438</v>
      </c>
      <c r="B3335" s="61"/>
      <c r="C3335" s="61"/>
      <c r="D3335" s="61"/>
      <c r="E3335" s="61"/>
    </row>
    <row r="3336" spans="1:5" outlineLevel="1" x14ac:dyDescent="0.25">
      <c r="A3336" s="2"/>
      <c r="B3336" s="6" t="s">
        <v>6439</v>
      </c>
      <c r="C3336" s="47"/>
      <c r="D3336" s="8"/>
      <c r="E3336" s="8"/>
    </row>
    <row r="3337" spans="1:5" ht="15" customHeight="1" outlineLevel="2" x14ac:dyDescent="0.25">
      <c r="A3337" s="3" t="str">
        <f>HYPERLINK("http://mystore1.ru/price_items/search?utf8=%E2%9C%93&amp;oem=4109AGNBL","4109AGNBL")</f>
        <v>4109AGNBL</v>
      </c>
      <c r="B3337" s="1" t="s">
        <v>6440</v>
      </c>
      <c r="C3337" s="9" t="s">
        <v>1141</v>
      </c>
      <c r="D3337" s="14" t="s">
        <v>6441</v>
      </c>
      <c r="E3337" s="9" t="s">
        <v>8</v>
      </c>
    </row>
    <row r="3338" spans="1:5" ht="15" customHeight="1" outlineLevel="2" x14ac:dyDescent="0.25">
      <c r="A3338" s="3" t="str">
        <f>HYPERLINK("http://mystore1.ru/price_items/search?utf8=%E2%9C%93&amp;oem=4109AGNBL1C","4109AGNBL1C")</f>
        <v>4109AGNBL1C</v>
      </c>
      <c r="B3338" s="1" t="s">
        <v>6442</v>
      </c>
      <c r="C3338" s="9" t="s">
        <v>1141</v>
      </c>
      <c r="D3338" s="14" t="s">
        <v>6441</v>
      </c>
      <c r="E3338" s="9" t="s">
        <v>8</v>
      </c>
    </row>
    <row r="3339" spans="1:5" ht="15" customHeight="1" outlineLevel="2" x14ac:dyDescent="0.25">
      <c r="A3339" s="3" t="str">
        <f>HYPERLINK("http://mystore1.ru/price_items/search?utf8=%E2%9C%93&amp;oem=4109AGNBL2C","4109AGNBL2C")</f>
        <v>4109AGNBL2C</v>
      </c>
      <c r="B3339" s="1" t="s">
        <v>6443</v>
      </c>
      <c r="C3339" s="9" t="s">
        <v>883</v>
      </c>
      <c r="D3339" s="14" t="s">
        <v>6444</v>
      </c>
      <c r="E3339" s="9" t="s">
        <v>8</v>
      </c>
    </row>
    <row r="3340" spans="1:5" ht="15" customHeight="1" outlineLevel="2" x14ac:dyDescent="0.25">
      <c r="A3340" s="3" t="str">
        <f>HYPERLINK("http://mystore1.ru/price_items/search?utf8=%E2%9C%93&amp;oem=4109AKMH","4109AKMH")</f>
        <v>4109AKMH</v>
      </c>
      <c r="B3340" s="1" t="s">
        <v>6445</v>
      </c>
      <c r="C3340" s="9" t="s">
        <v>25</v>
      </c>
      <c r="D3340" s="14" t="s">
        <v>6446</v>
      </c>
      <c r="E3340" s="9" t="s">
        <v>27</v>
      </c>
    </row>
    <row r="3341" spans="1:5" ht="15" customHeight="1" outlineLevel="2" x14ac:dyDescent="0.25">
      <c r="A3341" s="3" t="str">
        <f>HYPERLINK("http://mystore1.ru/price_items/search?utf8=%E2%9C%93&amp;oem=4109BCLH1H","4109BCLH1H")</f>
        <v>4109BCLH1H</v>
      </c>
      <c r="B3341" s="1" t="s">
        <v>6447</v>
      </c>
      <c r="C3341" s="9" t="s">
        <v>883</v>
      </c>
      <c r="D3341" s="14" t="s">
        <v>6448</v>
      </c>
      <c r="E3341" s="9" t="s">
        <v>30</v>
      </c>
    </row>
    <row r="3342" spans="1:5" ht="15" customHeight="1" outlineLevel="2" x14ac:dyDescent="0.25">
      <c r="A3342" s="3" t="str">
        <f>HYPERLINK("http://mystore1.ru/price_items/search?utf8=%E2%9C%93&amp;oem=4109BGNH1H","4109BGNH1H")</f>
        <v>4109BGNH1H</v>
      </c>
      <c r="B3342" s="1" t="s">
        <v>6449</v>
      </c>
      <c r="C3342" s="9" t="s">
        <v>883</v>
      </c>
      <c r="D3342" s="14" t="s">
        <v>6450</v>
      </c>
      <c r="E3342" s="9" t="s">
        <v>30</v>
      </c>
    </row>
    <row r="3343" spans="1:5" ht="15" customHeight="1" outlineLevel="2" x14ac:dyDescent="0.25">
      <c r="A3343" s="3" t="str">
        <f>HYPERLINK("http://mystore1.ru/price_items/search?utf8=%E2%9C%93&amp;oem=4109BGNS","4109BGNS")</f>
        <v>4109BGNS</v>
      </c>
      <c r="B3343" s="1" t="s">
        <v>6451</v>
      </c>
      <c r="C3343" s="9" t="s">
        <v>883</v>
      </c>
      <c r="D3343" s="14" t="s">
        <v>6452</v>
      </c>
      <c r="E3343" s="9" t="s">
        <v>30</v>
      </c>
    </row>
    <row r="3344" spans="1:5" ht="15" customHeight="1" outlineLevel="2" x14ac:dyDescent="0.25">
      <c r="A3344" s="3" t="str">
        <f>HYPERLINK("http://mystore1.ru/price_items/search?utf8=%E2%9C%93&amp;oem=4109LGNH5RDW","4109LGNH5RDW")</f>
        <v>4109LGNH5RDW</v>
      </c>
      <c r="B3344" s="1" t="s">
        <v>6453</v>
      </c>
      <c r="C3344" s="9" t="s">
        <v>883</v>
      </c>
      <c r="D3344" s="14" t="s">
        <v>6454</v>
      </c>
      <c r="E3344" s="9" t="s">
        <v>11</v>
      </c>
    </row>
    <row r="3345" spans="1:5" ht="15" customHeight="1" outlineLevel="2" x14ac:dyDescent="0.25">
      <c r="A3345" s="3" t="str">
        <f>HYPERLINK("http://mystore1.ru/price_items/search?utf8=%E2%9C%93&amp;oem=4109LGNH5RV","4109LGNH5RV")</f>
        <v>4109LGNH5RV</v>
      </c>
      <c r="B3345" s="1" t="s">
        <v>6455</v>
      </c>
      <c r="C3345" s="9" t="s">
        <v>883</v>
      </c>
      <c r="D3345" s="14" t="s">
        <v>6456</v>
      </c>
      <c r="E3345" s="9" t="s">
        <v>11</v>
      </c>
    </row>
    <row r="3346" spans="1:5" ht="15" customHeight="1" outlineLevel="2" x14ac:dyDescent="0.25">
      <c r="A3346" s="3" t="str">
        <f>HYPERLINK("http://mystore1.ru/price_items/search?utf8=%E2%9C%93&amp;oem=4109RCLH5FDW","4109RCLH5FDW")</f>
        <v>4109RCLH5FDW</v>
      </c>
      <c r="B3346" s="1" t="s">
        <v>6457</v>
      </c>
      <c r="C3346" s="9" t="s">
        <v>883</v>
      </c>
      <c r="D3346" s="14" t="s">
        <v>6458</v>
      </c>
      <c r="E3346" s="9" t="s">
        <v>11</v>
      </c>
    </row>
    <row r="3347" spans="1:5" ht="15" customHeight="1" outlineLevel="2" x14ac:dyDescent="0.25">
      <c r="A3347" s="3" t="str">
        <f>HYPERLINK("http://mystore1.ru/price_items/search?utf8=%E2%9C%93&amp;oem=4109RGNH3FDW","4109RGNH3FDW")</f>
        <v>4109RGNH3FDW</v>
      </c>
      <c r="B3347" s="1" t="s">
        <v>6459</v>
      </c>
      <c r="C3347" s="9" t="s">
        <v>883</v>
      </c>
      <c r="D3347" s="14" t="s">
        <v>6460</v>
      </c>
      <c r="E3347" s="9" t="s">
        <v>11</v>
      </c>
    </row>
    <row r="3348" spans="1:5" ht="15" customHeight="1" outlineLevel="2" x14ac:dyDescent="0.25">
      <c r="A3348" s="3" t="str">
        <f>HYPERLINK("http://mystore1.ru/price_items/search?utf8=%E2%9C%93&amp;oem=4109RGNH5FDW","4109RGNH5FDW")</f>
        <v>4109RGNH5FDW</v>
      </c>
      <c r="B3348" s="1" t="s">
        <v>6461</v>
      </c>
      <c r="C3348" s="9" t="s">
        <v>883</v>
      </c>
      <c r="D3348" s="14" t="s">
        <v>6462</v>
      </c>
      <c r="E3348" s="9" t="s">
        <v>11</v>
      </c>
    </row>
    <row r="3349" spans="1:5" ht="15" customHeight="1" outlineLevel="2" x14ac:dyDescent="0.25">
      <c r="A3349" s="3" t="str">
        <f>HYPERLINK("http://mystore1.ru/price_items/search?utf8=%E2%9C%93&amp;oem=4109RGNH5RDW","4109RGNH5RDW")</f>
        <v>4109RGNH5RDW</v>
      </c>
      <c r="B3349" s="1" t="s">
        <v>6463</v>
      </c>
      <c r="C3349" s="9" t="s">
        <v>883</v>
      </c>
      <c r="D3349" s="14" t="s">
        <v>6464</v>
      </c>
      <c r="E3349" s="9" t="s">
        <v>11</v>
      </c>
    </row>
    <row r="3350" spans="1:5" ht="15" customHeight="1" outlineLevel="2" x14ac:dyDescent="0.25">
      <c r="A3350" s="3" t="str">
        <f>HYPERLINK("http://mystore1.ru/price_items/search?utf8=%E2%9C%93&amp;oem=4109RGNH5RV","4109RGNH5RV")</f>
        <v>4109RGNH5RV</v>
      </c>
      <c r="B3350" s="1" t="s">
        <v>6465</v>
      </c>
      <c r="C3350" s="9" t="s">
        <v>883</v>
      </c>
      <c r="D3350" s="14" t="s">
        <v>6466</v>
      </c>
      <c r="E3350" s="9" t="s">
        <v>11</v>
      </c>
    </row>
    <row r="3351" spans="1:5" outlineLevel="1" x14ac:dyDescent="0.25">
      <c r="A3351" s="2"/>
      <c r="B3351" s="6" t="s">
        <v>6467</v>
      </c>
      <c r="C3351" s="8"/>
      <c r="D3351" s="8"/>
      <c r="E3351" s="8"/>
    </row>
    <row r="3352" spans="1:5" ht="15" customHeight="1" outlineLevel="2" x14ac:dyDescent="0.25">
      <c r="A3352" s="3" t="str">
        <f>HYPERLINK("http://mystore1.ru/price_items/search?utf8=%E2%9C%93&amp;oem=4118ACL","4118ACL")</f>
        <v>4118ACL</v>
      </c>
      <c r="B3352" s="1" t="s">
        <v>6468</v>
      </c>
      <c r="C3352" s="9" t="s">
        <v>1499</v>
      </c>
      <c r="D3352" s="14" t="s">
        <v>6469</v>
      </c>
      <c r="E3352" s="9" t="s">
        <v>8</v>
      </c>
    </row>
    <row r="3353" spans="1:5" ht="15" customHeight="1" outlineLevel="2" x14ac:dyDescent="0.25">
      <c r="A3353" s="3" t="str">
        <f>HYPERLINK("http://mystore1.ru/price_items/search?utf8=%E2%9C%93&amp;oem=4118AGNBL","4118AGNBL")</f>
        <v>4118AGNBL</v>
      </c>
      <c r="B3353" s="1" t="s">
        <v>6470</v>
      </c>
      <c r="C3353" s="9" t="s">
        <v>1499</v>
      </c>
      <c r="D3353" s="14" t="s">
        <v>6471</v>
      </c>
      <c r="E3353" s="9" t="s">
        <v>8</v>
      </c>
    </row>
    <row r="3354" spans="1:5" ht="15" customHeight="1" outlineLevel="2" x14ac:dyDescent="0.25">
      <c r="A3354" s="3" t="str">
        <f>HYPERLINK("http://mystore1.ru/price_items/search?utf8=%E2%9C%93&amp;oem=4118ASMH","4118ASMH")</f>
        <v>4118ASMH</v>
      </c>
      <c r="B3354" s="1" t="s">
        <v>6472</v>
      </c>
      <c r="C3354" s="9" t="s">
        <v>25</v>
      </c>
      <c r="D3354" s="14" t="s">
        <v>6473</v>
      </c>
      <c r="E3354" s="9" t="s">
        <v>27</v>
      </c>
    </row>
    <row r="3355" spans="1:5" ht="15" customHeight="1" outlineLevel="2" x14ac:dyDescent="0.25">
      <c r="A3355" s="3" t="str">
        <f>HYPERLINK("http://mystore1.ru/price_items/search?utf8=%E2%9C%93&amp;oem=4118BGNHW","4118BGNHW")</f>
        <v>4118BGNHW</v>
      </c>
      <c r="B3355" s="1" t="s">
        <v>6474</v>
      </c>
      <c r="C3355" s="9" t="s">
        <v>1499</v>
      </c>
      <c r="D3355" s="14" t="s">
        <v>6475</v>
      </c>
      <c r="E3355" s="9" t="s">
        <v>30</v>
      </c>
    </row>
    <row r="3356" spans="1:5" ht="15" customHeight="1" outlineLevel="2" x14ac:dyDescent="0.25">
      <c r="A3356" s="3" t="str">
        <f>HYPERLINK("http://mystore1.ru/price_items/search?utf8=%E2%9C%93&amp;oem=4118BGNHW1H","4118BGNHW1H")</f>
        <v>4118BGNHW1H</v>
      </c>
      <c r="B3356" s="1" t="s">
        <v>6476</v>
      </c>
      <c r="C3356" s="9" t="s">
        <v>1499</v>
      </c>
      <c r="D3356" s="14" t="s">
        <v>6477</v>
      </c>
      <c r="E3356" s="9" t="s">
        <v>30</v>
      </c>
    </row>
    <row r="3357" spans="1:5" ht="15" customHeight="1" outlineLevel="2" x14ac:dyDescent="0.25">
      <c r="A3357" s="3" t="str">
        <f>HYPERLINK("http://mystore1.ru/price_items/search?utf8=%E2%9C%93&amp;oem=4118BGNS","4118BGNS")</f>
        <v>4118BGNS</v>
      </c>
      <c r="B3357" s="1" t="s">
        <v>6478</v>
      </c>
      <c r="C3357" s="9" t="s">
        <v>1499</v>
      </c>
      <c r="D3357" s="14" t="s">
        <v>6479</v>
      </c>
      <c r="E3357" s="9" t="s">
        <v>30</v>
      </c>
    </row>
    <row r="3358" spans="1:5" ht="15" customHeight="1" outlineLevel="2" x14ac:dyDescent="0.25">
      <c r="A3358" s="3" t="str">
        <f>HYPERLINK("http://mystore1.ru/price_items/search?utf8=%E2%9C%93&amp;oem=4118LCLH5RD","4118LCLH5RD")</f>
        <v>4118LCLH5RD</v>
      </c>
      <c r="B3358" s="1" t="s">
        <v>6480</v>
      </c>
      <c r="C3358" s="9" t="s">
        <v>1499</v>
      </c>
      <c r="D3358" s="14" t="s">
        <v>6481</v>
      </c>
      <c r="E3358" s="9" t="s">
        <v>11</v>
      </c>
    </row>
    <row r="3359" spans="1:5" ht="15" customHeight="1" outlineLevel="2" x14ac:dyDescent="0.25">
      <c r="A3359" s="3" t="str">
        <f>HYPERLINK("http://mystore1.ru/price_items/search?utf8=%E2%9C%93&amp;oem=4118LCLH5RV","4118LCLH5RV")</f>
        <v>4118LCLH5RV</v>
      </c>
      <c r="B3359" s="1" t="s">
        <v>6482</v>
      </c>
      <c r="C3359" s="9" t="s">
        <v>1499</v>
      </c>
      <c r="D3359" s="14" t="s">
        <v>6483</v>
      </c>
      <c r="E3359" s="9" t="s">
        <v>11</v>
      </c>
    </row>
    <row r="3360" spans="1:5" ht="15" customHeight="1" outlineLevel="2" x14ac:dyDescent="0.25">
      <c r="A3360" s="3" t="str">
        <f>HYPERLINK("http://mystore1.ru/price_items/search?utf8=%E2%9C%93&amp;oem=4118LGNH3FD","4118LGNH3FD")</f>
        <v>4118LGNH3FD</v>
      </c>
      <c r="B3360" s="1" t="s">
        <v>6484</v>
      </c>
      <c r="C3360" s="9" t="s">
        <v>1499</v>
      </c>
      <c r="D3360" s="14" t="s">
        <v>6485</v>
      </c>
      <c r="E3360" s="9" t="s">
        <v>11</v>
      </c>
    </row>
    <row r="3361" spans="1:5" ht="15" customHeight="1" outlineLevel="2" x14ac:dyDescent="0.25">
      <c r="A3361" s="3" t="str">
        <f>HYPERLINK("http://mystore1.ru/price_items/search?utf8=%E2%9C%93&amp;oem=4118LGNH5FD","4118LGNH5FD")</f>
        <v>4118LGNH5FD</v>
      </c>
      <c r="B3361" s="1" t="s">
        <v>6486</v>
      </c>
      <c r="C3361" s="9" t="s">
        <v>1499</v>
      </c>
      <c r="D3361" s="14" t="s">
        <v>6487</v>
      </c>
      <c r="E3361" s="9" t="s">
        <v>11</v>
      </c>
    </row>
    <row r="3362" spans="1:5" ht="15" customHeight="1" outlineLevel="2" x14ac:dyDescent="0.25">
      <c r="A3362" s="3" t="str">
        <f>HYPERLINK("http://mystore1.ru/price_items/search?utf8=%E2%9C%93&amp;oem=4118LGNH5RD","4118LGNH5RD")</f>
        <v>4118LGNH5RD</v>
      </c>
      <c r="B3362" s="1" t="s">
        <v>6488</v>
      </c>
      <c r="C3362" s="9" t="s">
        <v>1499</v>
      </c>
      <c r="D3362" s="14" t="s">
        <v>6489</v>
      </c>
      <c r="E3362" s="9" t="s">
        <v>11</v>
      </c>
    </row>
    <row r="3363" spans="1:5" ht="15" customHeight="1" outlineLevel="2" x14ac:dyDescent="0.25">
      <c r="A3363" s="3" t="str">
        <f>HYPERLINK("http://mystore1.ru/price_items/search?utf8=%E2%9C%93&amp;oem=4118LGNH5RV","4118LGNH5RV")</f>
        <v>4118LGNH5RV</v>
      </c>
      <c r="B3363" s="1" t="s">
        <v>6490</v>
      </c>
      <c r="C3363" s="9" t="s">
        <v>1499</v>
      </c>
      <c r="D3363" s="14" t="s">
        <v>6491</v>
      </c>
      <c r="E3363" s="9" t="s">
        <v>11</v>
      </c>
    </row>
    <row r="3364" spans="1:5" ht="15" customHeight="1" outlineLevel="2" x14ac:dyDescent="0.25">
      <c r="A3364" s="3" t="str">
        <f>HYPERLINK("http://mystore1.ru/price_items/search?utf8=%E2%9C%93&amp;oem=4118RCLH5FD","4118RCLH5FD")</f>
        <v>4118RCLH5FD</v>
      </c>
      <c r="B3364" s="1" t="s">
        <v>6492</v>
      </c>
      <c r="C3364" s="9" t="s">
        <v>1499</v>
      </c>
      <c r="D3364" s="14" t="s">
        <v>6493</v>
      </c>
      <c r="E3364" s="9" t="s">
        <v>11</v>
      </c>
    </row>
    <row r="3365" spans="1:5" ht="15" customHeight="1" outlineLevel="2" x14ac:dyDescent="0.25">
      <c r="A3365" s="3" t="str">
        <f>HYPERLINK("http://mystore1.ru/price_items/search?utf8=%E2%9C%93&amp;oem=4118RCLH5RD","4118RCLH5RD")</f>
        <v>4118RCLH5RD</v>
      </c>
      <c r="B3365" s="1" t="s">
        <v>6494</v>
      </c>
      <c r="C3365" s="9" t="s">
        <v>1499</v>
      </c>
      <c r="D3365" s="14" t="s">
        <v>6495</v>
      </c>
      <c r="E3365" s="9" t="s">
        <v>11</v>
      </c>
    </row>
    <row r="3366" spans="1:5" ht="15" customHeight="1" outlineLevel="2" x14ac:dyDescent="0.25">
      <c r="A3366" s="3" t="str">
        <f>HYPERLINK("http://mystore1.ru/price_items/search?utf8=%E2%9C%93&amp;oem=4118RGNH3FD","4118RGNH3FD")</f>
        <v>4118RGNH3FD</v>
      </c>
      <c r="B3366" s="1" t="s">
        <v>6496</v>
      </c>
      <c r="C3366" s="9" t="s">
        <v>1499</v>
      </c>
      <c r="D3366" s="14" t="s">
        <v>6497</v>
      </c>
      <c r="E3366" s="9" t="s">
        <v>11</v>
      </c>
    </row>
    <row r="3367" spans="1:5" ht="15" customHeight="1" outlineLevel="2" x14ac:dyDescent="0.25">
      <c r="A3367" s="3" t="str">
        <f>HYPERLINK("http://mystore1.ru/price_items/search?utf8=%E2%9C%93&amp;oem=4118RGNH5FD","4118RGNH5FD")</f>
        <v>4118RGNH5FD</v>
      </c>
      <c r="B3367" s="1" t="s">
        <v>6498</v>
      </c>
      <c r="C3367" s="9" t="s">
        <v>1499</v>
      </c>
      <c r="D3367" s="14" t="s">
        <v>6499</v>
      </c>
      <c r="E3367" s="9" t="s">
        <v>11</v>
      </c>
    </row>
    <row r="3368" spans="1:5" ht="15" customHeight="1" outlineLevel="2" x14ac:dyDescent="0.25">
      <c r="A3368" s="3" t="str">
        <f>HYPERLINK("http://mystore1.ru/price_items/search?utf8=%E2%9C%93&amp;oem=4118RGNH5RD","4118RGNH5RD")</f>
        <v>4118RGNH5RD</v>
      </c>
      <c r="B3368" s="1" t="s">
        <v>6500</v>
      </c>
      <c r="C3368" s="9" t="s">
        <v>1499</v>
      </c>
      <c r="D3368" s="14" t="s">
        <v>6501</v>
      </c>
      <c r="E3368" s="9" t="s">
        <v>11</v>
      </c>
    </row>
    <row r="3369" spans="1:5" ht="15" customHeight="1" outlineLevel="2" x14ac:dyDescent="0.25">
      <c r="A3369" s="3" t="str">
        <f>HYPERLINK("http://mystore1.ru/price_items/search?utf8=%E2%9C%93&amp;oem=4118RGNH5RV","4118RGNH5RV")</f>
        <v>4118RGNH5RV</v>
      </c>
      <c r="B3369" s="1" t="s">
        <v>6502</v>
      </c>
      <c r="C3369" s="9" t="s">
        <v>1499</v>
      </c>
      <c r="D3369" s="14" t="s">
        <v>6503</v>
      </c>
      <c r="E3369" s="9" t="s">
        <v>11</v>
      </c>
    </row>
    <row r="3370" spans="1:5" outlineLevel="1" x14ac:dyDescent="0.25">
      <c r="A3370" s="2"/>
      <c r="B3370" s="6" t="s">
        <v>6504</v>
      </c>
      <c r="C3370" s="8"/>
      <c r="D3370" s="8"/>
      <c r="E3370" s="8"/>
    </row>
    <row r="3371" spans="1:5" ht="15" customHeight="1" outlineLevel="2" x14ac:dyDescent="0.25">
      <c r="A3371" s="3" t="str">
        <f>HYPERLINK("http://mystore1.ru/price_items/search?utf8=%E2%9C%93&amp;oem=4115ACL","4115ACL")</f>
        <v>4115ACL</v>
      </c>
      <c r="B3371" s="1" t="s">
        <v>6505</v>
      </c>
      <c r="C3371" s="9" t="s">
        <v>631</v>
      </c>
      <c r="D3371" s="14" t="s">
        <v>6506</v>
      </c>
      <c r="E3371" s="9" t="s">
        <v>8</v>
      </c>
    </row>
    <row r="3372" spans="1:5" ht="15" customHeight="1" outlineLevel="2" x14ac:dyDescent="0.25">
      <c r="A3372" s="3" t="str">
        <f>HYPERLINK("http://mystore1.ru/price_items/search?utf8=%E2%9C%93&amp;oem=4115ALG","4115ALG")</f>
        <v>4115ALG</v>
      </c>
      <c r="B3372" s="1" t="s">
        <v>6507</v>
      </c>
      <c r="C3372" s="9" t="s">
        <v>631</v>
      </c>
      <c r="D3372" s="14" t="s">
        <v>6508</v>
      </c>
      <c r="E3372" s="9" t="s">
        <v>8</v>
      </c>
    </row>
    <row r="3373" spans="1:5" ht="15" customHeight="1" outlineLevel="2" x14ac:dyDescent="0.25">
      <c r="A3373" s="3" t="str">
        <f>HYPERLINK("http://mystore1.ru/price_items/search?utf8=%E2%9C%93&amp;oem=4115ASMH","4115ASMH")</f>
        <v>4115ASMH</v>
      </c>
      <c r="B3373" s="1" t="s">
        <v>6509</v>
      </c>
      <c r="C3373" s="9" t="s">
        <v>25</v>
      </c>
      <c r="D3373" s="14" t="s">
        <v>6510</v>
      </c>
      <c r="E3373" s="9" t="s">
        <v>27</v>
      </c>
    </row>
    <row r="3374" spans="1:5" outlineLevel="1" x14ac:dyDescent="0.25">
      <c r="A3374" s="2"/>
      <c r="B3374" s="6" t="s">
        <v>6511</v>
      </c>
      <c r="C3374" s="8"/>
      <c r="D3374" s="8"/>
      <c r="E3374" s="8"/>
    </row>
    <row r="3375" spans="1:5" ht="15" customHeight="1" outlineLevel="2" x14ac:dyDescent="0.25">
      <c r="A3375" s="3" t="str">
        <f>HYPERLINK("http://mystore1.ru/price_items/search?utf8=%E2%9C%93&amp;oem=4121ALGBL","4121ALGBL")</f>
        <v>4121ALGBL</v>
      </c>
      <c r="B3375" s="1" t="s">
        <v>6512</v>
      </c>
      <c r="C3375" s="9" t="s">
        <v>4714</v>
      </c>
      <c r="D3375" s="14" t="s">
        <v>6513</v>
      </c>
      <c r="E3375" s="9" t="s">
        <v>8</v>
      </c>
    </row>
    <row r="3376" spans="1:5" ht="15" customHeight="1" outlineLevel="2" x14ac:dyDescent="0.25">
      <c r="A3376" s="3" t="str">
        <f>HYPERLINK("http://mystore1.ru/price_items/search?utf8=%E2%9C%93&amp;oem=4121LLGH5FD","4121LLGH5FD")</f>
        <v>4121LLGH5FD</v>
      </c>
      <c r="B3376" s="1" t="s">
        <v>6514</v>
      </c>
      <c r="C3376" s="9" t="s">
        <v>4714</v>
      </c>
      <c r="D3376" s="14" t="s">
        <v>6515</v>
      </c>
      <c r="E3376" s="9" t="s">
        <v>11</v>
      </c>
    </row>
    <row r="3377" spans="1:5" ht="15" customHeight="1" outlineLevel="2" x14ac:dyDescent="0.25">
      <c r="A3377" s="3" t="str">
        <f>HYPERLINK("http://mystore1.ru/price_items/search?utf8=%E2%9C%93&amp;oem=4121LLGH5RV","4121LLGH5RV")</f>
        <v>4121LLGH5RV</v>
      </c>
      <c r="B3377" s="1" t="s">
        <v>6516</v>
      </c>
      <c r="C3377" s="9" t="s">
        <v>4714</v>
      </c>
      <c r="D3377" s="14" t="s">
        <v>6517</v>
      </c>
      <c r="E3377" s="9" t="s">
        <v>11</v>
      </c>
    </row>
    <row r="3378" spans="1:5" ht="15" customHeight="1" outlineLevel="2" x14ac:dyDescent="0.25">
      <c r="A3378" s="3" t="str">
        <f>HYPERLINK("http://mystore1.ru/price_items/search?utf8=%E2%9C%93&amp;oem=4121RLGH5FD","4121RLGH5FD")</f>
        <v>4121RLGH5FD</v>
      </c>
      <c r="B3378" s="1" t="s">
        <v>6518</v>
      </c>
      <c r="C3378" s="9" t="s">
        <v>4714</v>
      </c>
      <c r="D3378" s="14" t="s">
        <v>6519</v>
      </c>
      <c r="E3378" s="9" t="s">
        <v>11</v>
      </c>
    </row>
    <row r="3379" spans="1:5" ht="15" customHeight="1" outlineLevel="2" x14ac:dyDescent="0.25">
      <c r="A3379" s="3" t="str">
        <f>HYPERLINK("http://mystore1.ru/price_items/search?utf8=%E2%9C%93&amp;oem=4121RLGH5RV","4121RLGH5RV")</f>
        <v>4121RLGH5RV</v>
      </c>
      <c r="B3379" s="1" t="s">
        <v>6520</v>
      </c>
      <c r="C3379" s="9" t="s">
        <v>4714</v>
      </c>
      <c r="D3379" s="14" t="s">
        <v>6521</v>
      </c>
      <c r="E3379" s="9" t="s">
        <v>11</v>
      </c>
    </row>
    <row r="3380" spans="1:5" outlineLevel="1" x14ac:dyDescent="0.25">
      <c r="A3380" s="2"/>
      <c r="B3380" s="6" t="s">
        <v>6522</v>
      </c>
      <c r="C3380" s="8"/>
      <c r="D3380" s="8"/>
      <c r="E3380" s="8"/>
    </row>
    <row r="3381" spans="1:5" ht="15" customHeight="1" outlineLevel="2" x14ac:dyDescent="0.25">
      <c r="A3381" s="3" t="str">
        <f>HYPERLINK("http://mystore1.ru/price_items/search?utf8=%E2%9C%93&amp;oem=4122AGN","4122AGN")</f>
        <v>4122AGN</v>
      </c>
      <c r="B3381" s="1" t="s">
        <v>6523</v>
      </c>
      <c r="C3381" s="9" t="s">
        <v>1499</v>
      </c>
      <c r="D3381" s="14" t="s">
        <v>6524</v>
      </c>
      <c r="E3381" s="9" t="s">
        <v>8</v>
      </c>
    </row>
    <row r="3382" spans="1:5" ht="15" customHeight="1" outlineLevel="2" x14ac:dyDescent="0.25">
      <c r="A3382" s="3" t="str">
        <f>HYPERLINK("http://mystore1.ru/price_items/search?utf8=%E2%9C%93&amp;oem=4122AGNBL","4122AGNBL")</f>
        <v>4122AGNBL</v>
      </c>
      <c r="B3382" s="1" t="s">
        <v>6525</v>
      </c>
      <c r="C3382" s="9" t="s">
        <v>1499</v>
      </c>
      <c r="D3382" s="14" t="s">
        <v>6526</v>
      </c>
      <c r="E3382" s="9" t="s">
        <v>8</v>
      </c>
    </row>
    <row r="3383" spans="1:5" ht="15" customHeight="1" outlineLevel="2" x14ac:dyDescent="0.25">
      <c r="A3383" s="3" t="str">
        <f>HYPERLINK("http://mystore1.ru/price_items/search?utf8=%E2%9C%93&amp;oem=4122ASMHT","4122ASMHT")</f>
        <v>4122ASMHT</v>
      </c>
      <c r="B3383" s="1" t="s">
        <v>6527</v>
      </c>
      <c r="C3383" s="9" t="s">
        <v>25</v>
      </c>
      <c r="D3383" s="14" t="s">
        <v>6528</v>
      </c>
      <c r="E3383" s="9" t="s">
        <v>27</v>
      </c>
    </row>
    <row r="3384" spans="1:5" ht="15" customHeight="1" outlineLevel="2" x14ac:dyDescent="0.25">
      <c r="A3384" s="3" t="str">
        <f>HYPERLINK("http://mystore1.ru/price_items/search?utf8=%E2%9C%93&amp;oem=4122BGNHBW","4122BGNHBW")</f>
        <v>4122BGNHBW</v>
      </c>
      <c r="B3384" s="1" t="s">
        <v>6529</v>
      </c>
      <c r="C3384" s="9" t="s">
        <v>1499</v>
      </c>
      <c r="D3384" s="14" t="s">
        <v>6530</v>
      </c>
      <c r="E3384" s="9" t="s">
        <v>30</v>
      </c>
    </row>
    <row r="3385" spans="1:5" ht="15" customHeight="1" outlineLevel="2" x14ac:dyDescent="0.25">
      <c r="A3385" s="3" t="str">
        <f>HYPERLINK("http://mystore1.ru/price_items/search?utf8=%E2%9C%93&amp;oem=4122BGNSW","4122BGNSW")</f>
        <v>4122BGNSW</v>
      </c>
      <c r="B3385" s="1" t="s">
        <v>6531</v>
      </c>
      <c r="C3385" s="9" t="s">
        <v>1499</v>
      </c>
      <c r="D3385" s="14" t="s">
        <v>6532</v>
      </c>
      <c r="E3385" s="9" t="s">
        <v>30</v>
      </c>
    </row>
    <row r="3386" spans="1:5" ht="15" customHeight="1" outlineLevel="2" x14ac:dyDescent="0.25">
      <c r="A3386" s="3" t="str">
        <f>HYPERLINK("http://mystore1.ru/price_items/search?utf8=%E2%9C%93&amp;oem=4122LGNH5FDW","4122LGNH5FDW")</f>
        <v>4122LGNH5FDW</v>
      </c>
      <c r="B3386" s="1" t="s">
        <v>6533</v>
      </c>
      <c r="C3386" s="9" t="s">
        <v>1499</v>
      </c>
      <c r="D3386" s="14" t="s">
        <v>6534</v>
      </c>
      <c r="E3386" s="9" t="s">
        <v>11</v>
      </c>
    </row>
    <row r="3387" spans="1:5" ht="15" customHeight="1" outlineLevel="2" x14ac:dyDescent="0.25">
      <c r="A3387" s="3" t="str">
        <f>HYPERLINK("http://mystore1.ru/price_items/search?utf8=%E2%9C%93&amp;oem=4122LGNH5RDW","4122LGNH5RDW")</f>
        <v>4122LGNH5RDW</v>
      </c>
      <c r="B3387" s="1" t="s">
        <v>6535</v>
      </c>
      <c r="C3387" s="9" t="s">
        <v>1499</v>
      </c>
      <c r="D3387" s="14" t="s">
        <v>6536</v>
      </c>
      <c r="E3387" s="9" t="s">
        <v>11</v>
      </c>
    </row>
    <row r="3388" spans="1:5" ht="15" customHeight="1" outlineLevel="2" x14ac:dyDescent="0.25">
      <c r="A3388" s="3" t="str">
        <f>HYPERLINK("http://mystore1.ru/price_items/search?utf8=%E2%9C%93&amp;oem=4122LGNS4RDW","4122LGNS4RDW")</f>
        <v>4122LGNS4RDW</v>
      </c>
      <c r="B3388" s="1" t="s">
        <v>6537</v>
      </c>
      <c r="C3388" s="9" t="s">
        <v>1499</v>
      </c>
      <c r="D3388" s="14" t="s">
        <v>6538</v>
      </c>
      <c r="E3388" s="9" t="s">
        <v>11</v>
      </c>
    </row>
    <row r="3389" spans="1:5" ht="15" customHeight="1" outlineLevel="2" x14ac:dyDescent="0.25">
      <c r="A3389" s="3" t="str">
        <f>HYPERLINK("http://mystore1.ru/price_items/search?utf8=%E2%9C%93&amp;oem=4122LGNS4RV","4122LGNS4RV")</f>
        <v>4122LGNS4RV</v>
      </c>
      <c r="B3389" s="1" t="s">
        <v>6539</v>
      </c>
      <c r="C3389" s="9" t="s">
        <v>1499</v>
      </c>
      <c r="D3389" s="14" t="s">
        <v>6540</v>
      </c>
      <c r="E3389" s="9" t="s">
        <v>11</v>
      </c>
    </row>
    <row r="3390" spans="1:5" ht="15" customHeight="1" outlineLevel="2" x14ac:dyDescent="0.25">
      <c r="A3390" s="3" t="str">
        <f>HYPERLINK("http://mystore1.ru/price_items/search?utf8=%E2%9C%93&amp;oem=4122RGNH5FDW","4122RGNH5FDW")</f>
        <v>4122RGNH5FDW</v>
      </c>
      <c r="B3390" s="1" t="s">
        <v>6541</v>
      </c>
      <c r="C3390" s="9" t="s">
        <v>1499</v>
      </c>
      <c r="D3390" s="14" t="s">
        <v>6542</v>
      </c>
      <c r="E3390" s="9" t="s">
        <v>11</v>
      </c>
    </row>
    <row r="3391" spans="1:5" ht="15" customHeight="1" outlineLevel="2" x14ac:dyDescent="0.25">
      <c r="A3391" s="3" t="str">
        <f>HYPERLINK("http://mystore1.ru/price_items/search?utf8=%E2%9C%93&amp;oem=4122RGNH5RDW","4122RGNH5RDW")</f>
        <v>4122RGNH5RDW</v>
      </c>
      <c r="B3391" s="1" t="s">
        <v>6543</v>
      </c>
      <c r="C3391" s="9" t="s">
        <v>1499</v>
      </c>
      <c r="D3391" s="14" t="s">
        <v>6544</v>
      </c>
      <c r="E3391" s="9" t="s">
        <v>11</v>
      </c>
    </row>
    <row r="3392" spans="1:5" ht="15" customHeight="1" outlineLevel="2" x14ac:dyDescent="0.25">
      <c r="A3392" s="3" t="str">
        <f>HYPERLINK("http://mystore1.ru/price_items/search?utf8=%E2%9C%93&amp;oem=4122RGNS4RDW","4122RGNS4RDW")</f>
        <v>4122RGNS4RDW</v>
      </c>
      <c r="B3392" s="1" t="s">
        <v>6545</v>
      </c>
      <c r="C3392" s="9" t="s">
        <v>1499</v>
      </c>
      <c r="D3392" s="14" t="s">
        <v>6546</v>
      </c>
      <c r="E3392" s="9" t="s">
        <v>11</v>
      </c>
    </row>
    <row r="3393" spans="1:5" ht="15" customHeight="1" outlineLevel="2" x14ac:dyDescent="0.25">
      <c r="A3393" s="3" t="str">
        <f>HYPERLINK("http://mystore1.ru/price_items/search?utf8=%E2%9C%93&amp;oem=4122RGNS4RV","4122RGNS4RV")</f>
        <v>4122RGNS4RV</v>
      </c>
      <c r="B3393" s="1" t="s">
        <v>6547</v>
      </c>
      <c r="C3393" s="9" t="s">
        <v>1499</v>
      </c>
      <c r="D3393" s="14" t="s">
        <v>6548</v>
      </c>
      <c r="E3393" s="9" t="s">
        <v>11</v>
      </c>
    </row>
    <row r="3394" spans="1:5" outlineLevel="1" x14ac:dyDescent="0.25">
      <c r="A3394" s="2"/>
      <c r="B3394" s="6" t="s">
        <v>6549</v>
      </c>
      <c r="C3394" s="8"/>
      <c r="D3394" s="8"/>
      <c r="E3394" s="8"/>
    </row>
    <row r="3395" spans="1:5" ht="15" customHeight="1" outlineLevel="2" x14ac:dyDescent="0.25">
      <c r="A3395" s="3" t="str">
        <f>HYPERLINK("http://mystore1.ru/price_items/search?utf8=%E2%9C%93&amp;oem=41A3AGNBLW-OES","41A3AGNBLW-OES")</f>
        <v>41A3AGNBLW-OES</v>
      </c>
      <c r="B3395" s="1" t="s">
        <v>6550</v>
      </c>
      <c r="C3395" s="9" t="s">
        <v>1204</v>
      </c>
      <c r="D3395" s="14" t="s">
        <v>6551</v>
      </c>
      <c r="E3395" s="9" t="s">
        <v>8</v>
      </c>
    </row>
    <row r="3396" spans="1:5" ht="15" customHeight="1" outlineLevel="2" x14ac:dyDescent="0.25">
      <c r="A3396" s="3" t="str">
        <f>HYPERLINK("http://mystore1.ru/price_items/search?utf8=%E2%9C%93&amp;oem=41A3AGNBL","41A3AGNBL")</f>
        <v>41A3AGNBL</v>
      </c>
      <c r="B3396" s="1" t="s">
        <v>6552</v>
      </c>
      <c r="C3396" s="9" t="s">
        <v>1204</v>
      </c>
      <c r="D3396" s="14" t="s">
        <v>6551</v>
      </c>
      <c r="E3396" s="9" t="s">
        <v>8</v>
      </c>
    </row>
    <row r="3397" spans="1:5" outlineLevel="1" x14ac:dyDescent="0.25">
      <c r="A3397" s="2"/>
      <c r="B3397" s="6" t="s">
        <v>6553</v>
      </c>
      <c r="C3397" s="8"/>
      <c r="D3397" s="8"/>
      <c r="E3397" s="8"/>
    </row>
    <row r="3398" spans="1:5" ht="15" customHeight="1" outlineLevel="2" x14ac:dyDescent="0.25">
      <c r="A3398" s="3" t="str">
        <f>HYPERLINK("http://mystore1.ru/price_items/search?utf8=%E2%9C%93&amp;oem=4114ABL","4114ABL")</f>
        <v>4114ABL</v>
      </c>
      <c r="B3398" s="1" t="s">
        <v>6554</v>
      </c>
      <c r="C3398" s="9" t="s">
        <v>1154</v>
      </c>
      <c r="D3398" s="14" t="s">
        <v>6555</v>
      </c>
      <c r="E3398" s="9" t="s">
        <v>8</v>
      </c>
    </row>
    <row r="3399" spans="1:5" ht="15" customHeight="1" outlineLevel="2" x14ac:dyDescent="0.25">
      <c r="A3399" s="3" t="str">
        <f>HYPERLINK("http://mystore1.ru/price_items/search?utf8=%E2%9C%93&amp;oem=4114ABLBL","4114ABLBL")</f>
        <v>4114ABLBL</v>
      </c>
      <c r="B3399" s="1" t="s">
        <v>6556</v>
      </c>
      <c r="C3399" s="9" t="s">
        <v>1154</v>
      </c>
      <c r="D3399" s="14" t="s">
        <v>6557</v>
      </c>
      <c r="E3399" s="9" t="s">
        <v>8</v>
      </c>
    </row>
    <row r="3400" spans="1:5" ht="15" customHeight="1" outlineLevel="2" x14ac:dyDescent="0.25">
      <c r="A3400" s="3" t="str">
        <f>HYPERLINK("http://mystore1.ru/price_items/search?utf8=%E2%9C%93&amp;oem=4114AGNBL","4114AGNBL")</f>
        <v>4114AGNBL</v>
      </c>
      <c r="B3400" s="1" t="s">
        <v>6558</v>
      </c>
      <c r="C3400" s="9" t="s">
        <v>1154</v>
      </c>
      <c r="D3400" s="14" t="s">
        <v>6559</v>
      </c>
      <c r="E3400" s="9" t="s">
        <v>8</v>
      </c>
    </row>
    <row r="3401" spans="1:5" ht="15" customHeight="1" outlineLevel="2" x14ac:dyDescent="0.25">
      <c r="A3401" s="3" t="str">
        <f>HYPERLINK("http://mystore1.ru/price_items/search?utf8=%E2%9C%93&amp;oem=4114BGNR","4114BGNR")</f>
        <v>4114BGNR</v>
      </c>
      <c r="B3401" s="1" t="s">
        <v>6560</v>
      </c>
      <c r="C3401" s="9" t="s">
        <v>1154</v>
      </c>
      <c r="D3401" s="14" t="s">
        <v>6561</v>
      </c>
      <c r="E3401" s="9" t="s">
        <v>30</v>
      </c>
    </row>
    <row r="3402" spans="1:5" outlineLevel="1" x14ac:dyDescent="0.25">
      <c r="A3402" s="2"/>
      <c r="B3402" s="6" t="s">
        <v>6562</v>
      </c>
      <c r="C3402" s="8"/>
      <c r="D3402" s="8"/>
      <c r="E3402" s="8"/>
    </row>
    <row r="3403" spans="1:5" ht="15" customHeight="1" outlineLevel="2" x14ac:dyDescent="0.25">
      <c r="A3403" s="3" t="str">
        <f>HYPERLINK("http://mystore1.ru/price_items/search?utf8=%E2%9C%93&amp;oem=4128AGSBL","4128AGSBL")</f>
        <v>4128AGSBL</v>
      </c>
      <c r="B3403" s="1" t="s">
        <v>6563</v>
      </c>
      <c r="C3403" s="9" t="s">
        <v>6564</v>
      </c>
      <c r="D3403" s="14" t="s">
        <v>6565</v>
      </c>
      <c r="E3403" s="9" t="s">
        <v>8</v>
      </c>
    </row>
    <row r="3404" spans="1:5" ht="15" customHeight="1" outlineLevel="2" x14ac:dyDescent="0.25">
      <c r="A3404" s="3" t="str">
        <f>HYPERLINK("http://mystore1.ru/price_items/search?utf8=%E2%9C%93&amp;oem=4128ASMH","4128ASMH")</f>
        <v>4128ASMH</v>
      </c>
      <c r="B3404" s="1" t="s">
        <v>6566</v>
      </c>
      <c r="C3404" s="9" t="s">
        <v>25</v>
      </c>
      <c r="D3404" s="14" t="s">
        <v>6567</v>
      </c>
      <c r="E3404" s="9" t="s">
        <v>27</v>
      </c>
    </row>
    <row r="3405" spans="1:5" ht="15" customHeight="1" outlineLevel="2" x14ac:dyDescent="0.25">
      <c r="A3405" s="3" t="str">
        <f>HYPERLINK("http://mystore1.ru/price_items/search?utf8=%E2%9C%93&amp;oem=4128BGSHW","4128BGSHW")</f>
        <v>4128BGSHW</v>
      </c>
      <c r="B3405" s="1" t="s">
        <v>6568</v>
      </c>
      <c r="C3405" s="9" t="s">
        <v>6564</v>
      </c>
      <c r="D3405" s="14" t="s">
        <v>6569</v>
      </c>
      <c r="E3405" s="9" t="s">
        <v>30</v>
      </c>
    </row>
    <row r="3406" spans="1:5" ht="15" customHeight="1" outlineLevel="2" x14ac:dyDescent="0.25">
      <c r="A3406" s="3" t="str">
        <f>HYPERLINK("http://mystore1.ru/price_items/search?utf8=%E2%9C%93&amp;oem=4128BGSHW1H","4128BGSHW1H")</f>
        <v>4128BGSHW1H</v>
      </c>
      <c r="B3406" s="1" t="s">
        <v>6570</v>
      </c>
      <c r="C3406" s="9" t="s">
        <v>6564</v>
      </c>
      <c r="D3406" s="14" t="s">
        <v>6571</v>
      </c>
      <c r="E3406" s="9" t="s">
        <v>30</v>
      </c>
    </row>
    <row r="3407" spans="1:5" ht="15" customHeight="1" outlineLevel="2" x14ac:dyDescent="0.25">
      <c r="A3407" s="3" t="str">
        <f>HYPERLINK("http://mystore1.ru/price_items/search?utf8=%E2%9C%93&amp;oem=4128LGSH3FDW","4128LGSH3FDW")</f>
        <v>4128LGSH3FDW</v>
      </c>
      <c r="B3407" s="1" t="s">
        <v>6572</v>
      </c>
      <c r="C3407" s="9" t="s">
        <v>6564</v>
      </c>
      <c r="D3407" s="14" t="s">
        <v>6573</v>
      </c>
      <c r="E3407" s="9" t="s">
        <v>11</v>
      </c>
    </row>
    <row r="3408" spans="1:5" ht="15" customHeight="1" outlineLevel="2" x14ac:dyDescent="0.25">
      <c r="A3408" s="3" t="str">
        <f>HYPERLINK("http://mystore1.ru/price_items/search?utf8=%E2%9C%93&amp;oem=4128LGSH3RQZ","4128LGSH3RQZ")</f>
        <v>4128LGSH3RQZ</v>
      </c>
      <c r="B3408" s="1" t="s">
        <v>6574</v>
      </c>
      <c r="C3408" s="9" t="s">
        <v>6564</v>
      </c>
      <c r="D3408" s="14" t="s">
        <v>6575</v>
      </c>
      <c r="E3408" s="9" t="s">
        <v>11</v>
      </c>
    </row>
    <row r="3409" spans="1:5" ht="15" customHeight="1" outlineLevel="2" x14ac:dyDescent="0.25">
      <c r="A3409" s="3" t="str">
        <f>HYPERLINK("http://mystore1.ru/price_items/search?utf8=%E2%9C%93&amp;oem=4128LGSH5FDW","4128LGSH5FDW")</f>
        <v>4128LGSH5FDW</v>
      </c>
      <c r="B3409" s="1" t="s">
        <v>6576</v>
      </c>
      <c r="C3409" s="9" t="s">
        <v>6564</v>
      </c>
      <c r="D3409" s="14" t="s">
        <v>6577</v>
      </c>
      <c r="E3409" s="9" t="s">
        <v>11</v>
      </c>
    </row>
    <row r="3410" spans="1:5" ht="15" customHeight="1" outlineLevel="2" x14ac:dyDescent="0.25">
      <c r="A3410" s="3" t="str">
        <f>HYPERLINK("http://mystore1.ru/price_items/search?utf8=%E2%9C%93&amp;oem=4128LGSH5RDW","4128LGSH5RDW")</f>
        <v>4128LGSH5RDW</v>
      </c>
      <c r="B3410" s="1" t="s">
        <v>6578</v>
      </c>
      <c r="C3410" s="9" t="s">
        <v>6564</v>
      </c>
      <c r="D3410" s="14" t="s">
        <v>6579</v>
      </c>
      <c r="E3410" s="9" t="s">
        <v>11</v>
      </c>
    </row>
    <row r="3411" spans="1:5" ht="15" customHeight="1" outlineLevel="2" x14ac:dyDescent="0.25">
      <c r="A3411" s="3" t="str">
        <f>HYPERLINK("http://mystore1.ru/price_items/search?utf8=%E2%9C%93&amp;oem=4128LGSH5RV","4128LGSH5RV")</f>
        <v>4128LGSH5RV</v>
      </c>
      <c r="B3411" s="1" t="s">
        <v>6580</v>
      </c>
      <c r="C3411" s="9" t="s">
        <v>6564</v>
      </c>
      <c r="D3411" s="14" t="s">
        <v>6581</v>
      </c>
      <c r="E3411" s="9" t="s">
        <v>11</v>
      </c>
    </row>
    <row r="3412" spans="1:5" ht="15" customHeight="1" outlineLevel="2" x14ac:dyDescent="0.25">
      <c r="A3412" s="3" t="str">
        <f>HYPERLINK("http://mystore1.ru/price_items/search?utf8=%E2%9C%93&amp;oem=4128RGSH3FDW","4128RGSH3FDW")</f>
        <v>4128RGSH3FDW</v>
      </c>
      <c r="B3412" s="1" t="s">
        <v>6582</v>
      </c>
      <c r="C3412" s="9" t="s">
        <v>6564</v>
      </c>
      <c r="D3412" s="14" t="s">
        <v>6583</v>
      </c>
      <c r="E3412" s="9" t="s">
        <v>11</v>
      </c>
    </row>
    <row r="3413" spans="1:5" ht="15" customHeight="1" outlineLevel="2" x14ac:dyDescent="0.25">
      <c r="A3413" s="3" t="str">
        <f>HYPERLINK("http://mystore1.ru/price_items/search?utf8=%E2%9C%93&amp;oem=4128RGSH3RQZ","4128RGSH3RQZ")</f>
        <v>4128RGSH3RQZ</v>
      </c>
      <c r="B3413" s="1" t="s">
        <v>6584</v>
      </c>
      <c r="C3413" s="9" t="s">
        <v>6564</v>
      </c>
      <c r="D3413" s="14" t="s">
        <v>6585</v>
      </c>
      <c r="E3413" s="9" t="s">
        <v>11</v>
      </c>
    </row>
    <row r="3414" spans="1:5" ht="15" customHeight="1" outlineLevel="2" x14ac:dyDescent="0.25">
      <c r="A3414" s="3" t="str">
        <f>HYPERLINK("http://mystore1.ru/price_items/search?utf8=%E2%9C%93&amp;oem=4128RGSH5FDW","4128RGSH5FDW")</f>
        <v>4128RGSH5FDW</v>
      </c>
      <c r="B3414" s="1" t="s">
        <v>6586</v>
      </c>
      <c r="C3414" s="9" t="s">
        <v>6564</v>
      </c>
      <c r="D3414" s="14" t="s">
        <v>6587</v>
      </c>
      <c r="E3414" s="9" t="s">
        <v>11</v>
      </c>
    </row>
    <row r="3415" spans="1:5" ht="15" customHeight="1" outlineLevel="2" x14ac:dyDescent="0.25">
      <c r="A3415" s="3" t="str">
        <f>HYPERLINK("http://mystore1.ru/price_items/search?utf8=%E2%9C%93&amp;oem=4128RGSH5RDW","4128RGSH5RDW")</f>
        <v>4128RGSH5RDW</v>
      </c>
      <c r="B3415" s="1" t="s">
        <v>6588</v>
      </c>
      <c r="C3415" s="9" t="s">
        <v>6564</v>
      </c>
      <c r="D3415" s="14" t="s">
        <v>6589</v>
      </c>
      <c r="E3415" s="9" t="s">
        <v>11</v>
      </c>
    </row>
    <row r="3416" spans="1:5" ht="15" customHeight="1" outlineLevel="2" x14ac:dyDescent="0.25">
      <c r="A3416" s="3" t="str">
        <f>HYPERLINK("http://mystore1.ru/price_items/search?utf8=%E2%9C%93&amp;oem=4128RGSH5RV","4128RGSH5RV")</f>
        <v>4128RGSH5RV</v>
      </c>
      <c r="B3416" s="1" t="s">
        <v>6590</v>
      </c>
      <c r="C3416" s="9" t="s">
        <v>6564</v>
      </c>
      <c r="D3416" s="14" t="s">
        <v>6591</v>
      </c>
      <c r="E3416" s="9" t="s">
        <v>11</v>
      </c>
    </row>
    <row r="3417" spans="1:5" outlineLevel="1" x14ac:dyDescent="0.25">
      <c r="A3417" s="2"/>
      <c r="B3417" s="6" t="s">
        <v>6592</v>
      </c>
      <c r="C3417" s="7"/>
      <c r="D3417" s="8"/>
      <c r="E3417" s="8"/>
    </row>
    <row r="3418" spans="1:5" ht="15" customHeight="1" outlineLevel="2" x14ac:dyDescent="0.25">
      <c r="A3418" s="3" t="str">
        <f>HYPERLINK("http://mystore1.ru/price_items/search?utf8=%E2%9C%93&amp;oem=4107ACL","4107ACL")</f>
        <v>4107ACL</v>
      </c>
      <c r="B3418" s="1" t="s">
        <v>6593</v>
      </c>
      <c r="C3418" s="9" t="s">
        <v>2692</v>
      </c>
      <c r="D3418" s="14" t="s">
        <v>6594</v>
      </c>
      <c r="E3418" s="9" t="s">
        <v>8</v>
      </c>
    </row>
    <row r="3419" spans="1:5" ht="15" customHeight="1" outlineLevel="2" x14ac:dyDescent="0.25">
      <c r="A3419" s="3" t="str">
        <f>HYPERLINK("http://mystore1.ru/price_items/search?utf8=%E2%9C%93&amp;oem=4107AGNBL","4107AGNBL")</f>
        <v>4107AGNBL</v>
      </c>
      <c r="B3419" s="1" t="s">
        <v>6595</v>
      </c>
      <c r="C3419" s="9" t="s">
        <v>2692</v>
      </c>
      <c r="D3419" s="14" t="s">
        <v>6596</v>
      </c>
      <c r="E3419" s="9" t="s">
        <v>8</v>
      </c>
    </row>
    <row r="3420" spans="1:5" ht="15" customHeight="1" outlineLevel="2" x14ac:dyDescent="0.25">
      <c r="A3420" s="3" t="str">
        <f>HYPERLINK("http://mystore1.ru/price_items/search?utf8=%E2%9C%93&amp;oem=4107ASRV","4107ASRV")</f>
        <v>4107ASRV</v>
      </c>
      <c r="B3420" s="1" t="s">
        <v>6597</v>
      </c>
      <c r="C3420" s="9" t="s">
        <v>25</v>
      </c>
      <c r="D3420" s="14" t="s">
        <v>6598</v>
      </c>
      <c r="E3420" s="9" t="s">
        <v>27</v>
      </c>
    </row>
    <row r="3421" spans="1:5" ht="15" customHeight="1" outlineLevel="2" x14ac:dyDescent="0.25">
      <c r="A3421" s="3" t="str">
        <f>HYPERLINK("http://mystore1.ru/price_items/search?utf8=%E2%9C%93&amp;oem=4107BCLV","4107BCLV")</f>
        <v>4107BCLV</v>
      </c>
      <c r="B3421" s="1" t="s">
        <v>6599</v>
      </c>
      <c r="C3421" s="9" t="s">
        <v>5213</v>
      </c>
      <c r="D3421" s="14" t="s">
        <v>6600</v>
      </c>
      <c r="E3421" s="9" t="s">
        <v>30</v>
      </c>
    </row>
    <row r="3422" spans="1:5" ht="15" customHeight="1" outlineLevel="2" x14ac:dyDescent="0.25">
      <c r="A3422" s="3" t="str">
        <f>HYPERLINK("http://mystore1.ru/price_items/search?utf8=%E2%9C%93&amp;oem=4107BCLV1J","4107BCLV1J")</f>
        <v>4107BCLV1J</v>
      </c>
      <c r="B3422" s="1" t="s">
        <v>6601</v>
      </c>
      <c r="C3422" s="9" t="s">
        <v>6602</v>
      </c>
      <c r="D3422" s="14" t="s">
        <v>6603</v>
      </c>
      <c r="E3422" s="9" t="s">
        <v>30</v>
      </c>
    </row>
    <row r="3423" spans="1:5" ht="15" customHeight="1" outlineLevel="2" x14ac:dyDescent="0.25">
      <c r="A3423" s="3" t="str">
        <f>HYPERLINK("http://mystore1.ru/price_items/search?utf8=%E2%9C%93&amp;oem=4107BGNV1J","4107BGNV1J")</f>
        <v>4107BGNV1J</v>
      </c>
      <c r="B3423" s="1" t="s">
        <v>6604</v>
      </c>
      <c r="C3423" s="9" t="s">
        <v>6602</v>
      </c>
      <c r="D3423" s="14" t="s">
        <v>6605</v>
      </c>
      <c r="E3423" s="9" t="s">
        <v>30</v>
      </c>
    </row>
    <row r="3424" spans="1:5" outlineLevel="1" x14ac:dyDescent="0.25">
      <c r="A3424" s="2"/>
      <c r="B3424" s="6" t="s">
        <v>6606</v>
      </c>
      <c r="C3424" s="8"/>
      <c r="D3424" s="8"/>
      <c r="E3424" s="8"/>
    </row>
    <row r="3425" spans="1:5" ht="15" customHeight="1" outlineLevel="2" x14ac:dyDescent="0.25">
      <c r="A3425" s="3" t="str">
        <f>HYPERLINK("http://mystore1.ru/price_items/search?utf8=%E2%9C%93&amp;oem=4132AGNBLHMV1B","4132AGNBLHMV1B")</f>
        <v>4132AGNBLHMV1B</v>
      </c>
      <c r="B3425" s="1" t="s">
        <v>6607</v>
      </c>
      <c r="C3425" s="9" t="s">
        <v>1607</v>
      </c>
      <c r="D3425" s="14" t="s">
        <v>6608</v>
      </c>
      <c r="E3425" s="9" t="s">
        <v>8</v>
      </c>
    </row>
    <row r="3426" spans="1:5" ht="15" customHeight="1" outlineLevel="2" x14ac:dyDescent="0.25">
      <c r="A3426" s="3" t="str">
        <f>HYPERLINK("http://mystore1.ru/price_items/search?utf8=%E2%9C%93&amp;oem=4132AGNBLHV","4132AGNBLHV")</f>
        <v>4132AGNBLHV</v>
      </c>
      <c r="B3426" s="1" t="s">
        <v>6609</v>
      </c>
      <c r="C3426" s="9" t="s">
        <v>1607</v>
      </c>
      <c r="D3426" s="14" t="s">
        <v>6610</v>
      </c>
      <c r="E3426" s="9" t="s">
        <v>8</v>
      </c>
    </row>
    <row r="3427" spans="1:5" ht="15" customHeight="1" outlineLevel="2" x14ac:dyDescent="0.25">
      <c r="A3427" s="3" t="str">
        <f>HYPERLINK("http://mystore1.ru/price_items/search?utf8=%E2%9C%93&amp;oem=4132AGNBLMV1B","4132AGNBLMV1B")</f>
        <v>4132AGNBLMV1B</v>
      </c>
      <c r="B3427" s="1" t="s">
        <v>6611</v>
      </c>
      <c r="C3427" s="9" t="s">
        <v>1607</v>
      </c>
      <c r="D3427" s="14" t="s">
        <v>6612</v>
      </c>
      <c r="E3427" s="9" t="s">
        <v>8</v>
      </c>
    </row>
    <row r="3428" spans="1:5" ht="15" customHeight="1" outlineLevel="2" x14ac:dyDescent="0.25">
      <c r="A3428" s="3" t="str">
        <f>HYPERLINK("http://mystore1.ru/price_items/search?utf8=%E2%9C%93&amp;oem=4132AGNBLV","4132AGNBLV")</f>
        <v>4132AGNBLV</v>
      </c>
      <c r="B3428" s="1" t="s">
        <v>6613</v>
      </c>
      <c r="C3428" s="9" t="s">
        <v>1607</v>
      </c>
      <c r="D3428" s="14" t="s">
        <v>6614</v>
      </c>
      <c r="E3428" s="9" t="s">
        <v>8</v>
      </c>
    </row>
    <row r="3429" spans="1:5" outlineLevel="1" x14ac:dyDescent="0.25">
      <c r="A3429" s="2"/>
      <c r="B3429" s="6" t="s">
        <v>6615</v>
      </c>
      <c r="C3429" s="8"/>
      <c r="D3429" s="8"/>
      <c r="E3429" s="8"/>
    </row>
    <row r="3430" spans="1:5" ht="15" customHeight="1" outlineLevel="2" x14ac:dyDescent="0.25">
      <c r="A3430" s="3" t="str">
        <f>HYPERLINK("http://mystore1.ru/price_items/search?utf8=%E2%9C%93&amp;oem=4136LGNV3FDW","4136LGNV3FDW")</f>
        <v>4136LGNV3FDW</v>
      </c>
      <c r="B3430" s="1" t="s">
        <v>6616</v>
      </c>
      <c r="C3430" s="9" t="s">
        <v>511</v>
      </c>
      <c r="D3430" s="14" t="s">
        <v>6617</v>
      </c>
      <c r="E3430" s="9" t="s">
        <v>11</v>
      </c>
    </row>
    <row r="3431" spans="1:5" ht="15" customHeight="1" outlineLevel="2" x14ac:dyDescent="0.25">
      <c r="A3431" s="3" t="str">
        <f>HYPERLINK("http://mystore1.ru/price_items/search?utf8=%E2%9C%93&amp;oem=4136LGNV3FDW1M","4136LGNV3FDW1M")</f>
        <v>4136LGNV3FDW1M</v>
      </c>
      <c r="B3431" s="1" t="s">
        <v>6618</v>
      </c>
      <c r="C3431" s="9" t="s">
        <v>511</v>
      </c>
      <c r="D3431" s="14" t="s">
        <v>6617</v>
      </c>
      <c r="E3431" s="9" t="s">
        <v>11</v>
      </c>
    </row>
    <row r="3432" spans="1:5" ht="15" customHeight="1" outlineLevel="2" x14ac:dyDescent="0.25">
      <c r="A3432" s="3" t="str">
        <f>HYPERLINK("http://mystore1.ru/price_items/search?utf8=%E2%9C%93&amp;oem=4136RGNV3FDW","4136RGNV3FDW")</f>
        <v>4136RGNV3FDW</v>
      </c>
      <c r="B3432" s="1" t="s">
        <v>6619</v>
      </c>
      <c r="C3432" s="9" t="s">
        <v>511</v>
      </c>
      <c r="D3432" s="14" t="s">
        <v>6620</v>
      </c>
      <c r="E3432" s="9" t="s">
        <v>11</v>
      </c>
    </row>
    <row r="3433" spans="1:5" outlineLevel="1" x14ac:dyDescent="0.25">
      <c r="A3433" s="2"/>
      <c r="B3433" s="6" t="s">
        <v>6621</v>
      </c>
      <c r="C3433" s="8"/>
      <c r="D3433" s="8"/>
      <c r="E3433" s="8"/>
    </row>
    <row r="3434" spans="1:5" ht="15" customHeight="1" outlineLevel="2" x14ac:dyDescent="0.25">
      <c r="A3434" s="3" t="str">
        <f>HYPERLINK("http://mystore1.ru/price_items/search?utf8=%E2%9C%93&amp;oem=4116ACL","4116ACL")</f>
        <v>4116ACL</v>
      </c>
      <c r="B3434" s="1" t="s">
        <v>6622</v>
      </c>
      <c r="C3434" s="9" t="s">
        <v>3061</v>
      </c>
      <c r="D3434" s="14" t="s">
        <v>6623</v>
      </c>
      <c r="E3434" s="9" t="s">
        <v>8</v>
      </c>
    </row>
    <row r="3435" spans="1:5" ht="15" customHeight="1" outlineLevel="2" x14ac:dyDescent="0.25">
      <c r="A3435" s="3" t="str">
        <f>HYPERLINK("http://mystore1.ru/price_items/search?utf8=%E2%9C%93&amp;oem=4116AGNBL","4116AGNBL")</f>
        <v>4116AGNBL</v>
      </c>
      <c r="B3435" s="1" t="s">
        <v>6624</v>
      </c>
      <c r="C3435" s="9" t="s">
        <v>3061</v>
      </c>
      <c r="D3435" s="14" t="s">
        <v>6625</v>
      </c>
      <c r="E3435" s="9" t="s">
        <v>8</v>
      </c>
    </row>
    <row r="3436" spans="1:5" ht="15" customHeight="1" outlineLevel="2" x14ac:dyDescent="0.25">
      <c r="A3436" s="3" t="str">
        <f>HYPERLINK("http://mystore1.ru/price_items/search?utf8=%E2%9C%93&amp;oem=4116ASMV","4116ASMV")</f>
        <v>4116ASMV</v>
      </c>
      <c r="B3436" s="1" t="s">
        <v>6626</v>
      </c>
      <c r="C3436" s="9" t="s">
        <v>25</v>
      </c>
      <c r="D3436" s="14" t="s">
        <v>6627</v>
      </c>
      <c r="E3436" s="9" t="s">
        <v>27</v>
      </c>
    </row>
    <row r="3437" spans="1:5" ht="15" customHeight="1" outlineLevel="2" x14ac:dyDescent="0.25">
      <c r="A3437" s="3" t="str">
        <f>HYPERLINK("http://mystore1.ru/price_items/search?utf8=%E2%9C%93&amp;oem=4116BGNV","4116BGNV")</f>
        <v>4116BGNV</v>
      </c>
      <c r="B3437" s="1" t="s">
        <v>6628</v>
      </c>
      <c r="C3437" s="9" t="s">
        <v>3061</v>
      </c>
      <c r="D3437" s="14" t="s">
        <v>6629</v>
      </c>
      <c r="E3437" s="9" t="s">
        <v>30</v>
      </c>
    </row>
    <row r="3438" spans="1:5" outlineLevel="1" x14ac:dyDescent="0.25">
      <c r="A3438" s="2"/>
      <c r="B3438" s="6" t="s">
        <v>6630</v>
      </c>
      <c r="C3438" s="8"/>
      <c r="D3438" s="8"/>
      <c r="E3438" s="8"/>
    </row>
    <row r="3439" spans="1:5" ht="15" customHeight="1" outlineLevel="2" x14ac:dyDescent="0.25">
      <c r="A3439" s="3" t="str">
        <f>HYPERLINK("http://mystore1.ru/price_items/search?utf8=%E2%9C%93&amp;oem=4137AGNGNV","4137AGNGNV")</f>
        <v>4137AGNGNV</v>
      </c>
      <c r="B3439" s="1" t="s">
        <v>6631</v>
      </c>
      <c r="C3439" s="9" t="s">
        <v>642</v>
      </c>
      <c r="D3439" s="14" t="s">
        <v>6632</v>
      </c>
      <c r="E3439" s="9" t="s">
        <v>8</v>
      </c>
    </row>
    <row r="3440" spans="1:5" ht="15" customHeight="1" outlineLevel="2" x14ac:dyDescent="0.25">
      <c r="A3440" s="3" t="str">
        <f>HYPERLINK("http://mystore1.ru/price_items/search?utf8=%E2%9C%93&amp;oem=4137LGNH5FD","4137LGNH5FD")</f>
        <v>4137LGNH5FD</v>
      </c>
      <c r="B3440" s="1" t="s">
        <v>6633</v>
      </c>
      <c r="C3440" s="9" t="s">
        <v>642</v>
      </c>
      <c r="D3440" s="14" t="s">
        <v>6634</v>
      </c>
      <c r="E3440" s="9" t="s">
        <v>11</v>
      </c>
    </row>
    <row r="3441" spans="1:5" ht="15" customHeight="1" outlineLevel="2" x14ac:dyDescent="0.25">
      <c r="A3441" s="3" t="str">
        <f>HYPERLINK("http://mystore1.ru/price_items/search?utf8=%E2%9C%93&amp;oem=4137RGNH5FD","4137RGNH5FD")</f>
        <v>4137RGNH5FD</v>
      </c>
      <c r="B3441" s="1" t="s">
        <v>6635</v>
      </c>
      <c r="C3441" s="9" t="s">
        <v>642</v>
      </c>
      <c r="D3441" s="14" t="s">
        <v>6636</v>
      </c>
      <c r="E3441" s="9" t="s">
        <v>11</v>
      </c>
    </row>
    <row r="3442" spans="1:5" outlineLevel="1" x14ac:dyDescent="0.25">
      <c r="A3442" s="2"/>
      <c r="B3442" s="6" t="s">
        <v>6637</v>
      </c>
      <c r="C3442" s="8"/>
      <c r="D3442" s="8"/>
      <c r="E3442" s="8"/>
    </row>
    <row r="3443" spans="1:5" ht="15" customHeight="1" outlineLevel="2" x14ac:dyDescent="0.25">
      <c r="A3443" s="3" t="str">
        <f>HYPERLINK("http://mystore1.ru/price_items/search?utf8=%E2%9C%93&amp;oem=4139ACLV","4139ACLV")</f>
        <v>4139ACLV</v>
      </c>
      <c r="B3443" s="1" t="s">
        <v>6638</v>
      </c>
      <c r="C3443" s="9" t="s">
        <v>369</v>
      </c>
      <c r="D3443" s="14" t="s">
        <v>6639</v>
      </c>
      <c r="E3443" s="9" t="s">
        <v>8</v>
      </c>
    </row>
    <row r="3444" spans="1:5" ht="15" customHeight="1" outlineLevel="2" x14ac:dyDescent="0.25">
      <c r="A3444" s="3" t="str">
        <f>HYPERLINK("http://mystore1.ru/price_items/search?utf8=%E2%9C%93&amp;oem=4139AGSV","4139AGSV")</f>
        <v>4139AGSV</v>
      </c>
      <c r="B3444" s="1" t="s">
        <v>6640</v>
      </c>
      <c r="C3444" s="9" t="s">
        <v>369</v>
      </c>
      <c r="D3444" s="14" t="s">
        <v>6641</v>
      </c>
      <c r="E3444" s="9" t="s">
        <v>8</v>
      </c>
    </row>
    <row r="3445" spans="1:5" ht="15" customHeight="1" outlineLevel="2" x14ac:dyDescent="0.25">
      <c r="A3445" s="3" t="str">
        <f>HYPERLINK("http://mystore1.ru/price_items/search?utf8=%E2%9C%93&amp;oem=4139LGSH5FD","4139LGSH5FD")</f>
        <v>4139LGSH5FD</v>
      </c>
      <c r="B3445" s="1" t="s">
        <v>6642</v>
      </c>
      <c r="C3445" s="9" t="s">
        <v>369</v>
      </c>
      <c r="D3445" s="14" t="s">
        <v>6643</v>
      </c>
      <c r="E3445" s="9" t="s">
        <v>11</v>
      </c>
    </row>
    <row r="3446" spans="1:5" ht="15" customHeight="1" outlineLevel="2" x14ac:dyDescent="0.25">
      <c r="A3446" s="3" t="str">
        <f>HYPERLINK("http://mystore1.ru/price_items/search?utf8=%E2%9C%93&amp;oem=4139LGSH5RD","4139LGSH5RD")</f>
        <v>4139LGSH5RD</v>
      </c>
      <c r="B3446" s="1" t="s">
        <v>6644</v>
      </c>
      <c r="C3446" s="9" t="s">
        <v>369</v>
      </c>
      <c r="D3446" s="14" t="s">
        <v>6645</v>
      </c>
      <c r="E3446" s="9" t="s">
        <v>11</v>
      </c>
    </row>
    <row r="3447" spans="1:5" ht="15" customHeight="1" outlineLevel="2" x14ac:dyDescent="0.25">
      <c r="A3447" s="3" t="str">
        <f>HYPERLINK("http://mystore1.ru/price_items/search?utf8=%E2%9C%93&amp;oem=4139LGSH5RV","4139LGSH5RV")</f>
        <v>4139LGSH5RV</v>
      </c>
      <c r="B3447" s="1" t="s">
        <v>6646</v>
      </c>
      <c r="C3447" s="9" t="s">
        <v>369</v>
      </c>
      <c r="D3447" s="14" t="s">
        <v>6647</v>
      </c>
      <c r="E3447" s="9" t="s">
        <v>11</v>
      </c>
    </row>
    <row r="3448" spans="1:5" ht="15" customHeight="1" outlineLevel="2" x14ac:dyDescent="0.25">
      <c r="A3448" s="3" t="str">
        <f>HYPERLINK("http://mystore1.ru/price_items/search?utf8=%E2%9C%93&amp;oem=4139RGSH5FD","4139RGSH5FD")</f>
        <v>4139RGSH5FD</v>
      </c>
      <c r="B3448" s="1" t="s">
        <v>6648</v>
      </c>
      <c r="C3448" s="9" t="s">
        <v>369</v>
      </c>
      <c r="D3448" s="14" t="s">
        <v>6649</v>
      </c>
      <c r="E3448" s="9" t="s">
        <v>11</v>
      </c>
    </row>
    <row r="3449" spans="1:5" ht="15" customHeight="1" outlineLevel="2" x14ac:dyDescent="0.25">
      <c r="A3449" s="3" t="str">
        <f>HYPERLINK("http://mystore1.ru/price_items/search?utf8=%E2%9C%93&amp;oem=4139RGSH5RD","4139RGSH5RD")</f>
        <v>4139RGSH5RD</v>
      </c>
      <c r="B3449" s="1" t="s">
        <v>6650</v>
      </c>
      <c r="C3449" s="9" t="s">
        <v>369</v>
      </c>
      <c r="D3449" s="14" t="s">
        <v>6651</v>
      </c>
      <c r="E3449" s="9" t="s">
        <v>11</v>
      </c>
    </row>
    <row r="3450" spans="1:5" ht="15" customHeight="1" outlineLevel="2" x14ac:dyDescent="0.25">
      <c r="A3450" s="3" t="str">
        <f>HYPERLINK("http://mystore1.ru/price_items/search?utf8=%E2%9C%93&amp;oem=4139RGSH5RV","4139RGSH5RV")</f>
        <v>4139RGSH5RV</v>
      </c>
      <c r="B3450" s="1" t="s">
        <v>6652</v>
      </c>
      <c r="C3450" s="9" t="s">
        <v>369</v>
      </c>
      <c r="D3450" s="14" t="s">
        <v>6653</v>
      </c>
      <c r="E3450" s="9" t="s">
        <v>11</v>
      </c>
    </row>
    <row r="3451" spans="1:5" ht="15" customHeight="1" outlineLevel="2" x14ac:dyDescent="0.25">
      <c r="A3451" s="3" t="str">
        <f>HYPERLINK("http://mystore1.ru/price_items/search?utf8=%E2%9C%93&amp;oem=4139BGSH","4139BGSH")</f>
        <v>4139BGSH</v>
      </c>
      <c r="B3451" s="1" t="s">
        <v>6654</v>
      </c>
      <c r="C3451" s="9" t="s">
        <v>369</v>
      </c>
      <c r="D3451" s="14" t="s">
        <v>6655</v>
      </c>
      <c r="E3451" s="9" t="s">
        <v>11</v>
      </c>
    </row>
    <row r="3452" spans="1:5" outlineLevel="1" x14ac:dyDescent="0.25">
      <c r="A3452" s="2"/>
      <c r="B3452" s="6" t="s">
        <v>6656</v>
      </c>
      <c r="C3452" s="8"/>
      <c r="D3452" s="8"/>
      <c r="E3452" s="8"/>
    </row>
    <row r="3453" spans="1:5" ht="15" customHeight="1" outlineLevel="2" x14ac:dyDescent="0.25">
      <c r="A3453" s="3" t="str">
        <f>HYPERLINK("http://mystore1.ru/price_items/search?utf8=%E2%9C%93&amp;oem=4135AGNHMV1B","4135AGNHMV1B")</f>
        <v>4135AGNHMV1B</v>
      </c>
      <c r="B3453" s="1" t="s">
        <v>6657</v>
      </c>
      <c r="C3453" s="9" t="s">
        <v>6175</v>
      </c>
      <c r="D3453" s="14" t="s">
        <v>6658</v>
      </c>
      <c r="E3453" s="9" t="s">
        <v>8</v>
      </c>
    </row>
    <row r="3454" spans="1:5" ht="15" customHeight="1" outlineLevel="2" x14ac:dyDescent="0.25">
      <c r="A3454" s="3" t="str">
        <f>HYPERLINK("http://mystore1.ru/price_items/search?utf8=%E2%9C%93&amp;oem=4135AGNMV1B","4135AGNMV1B")</f>
        <v>4135AGNMV1B</v>
      </c>
      <c r="B3454" s="1" t="s">
        <v>6659</v>
      </c>
      <c r="C3454" s="9" t="s">
        <v>6175</v>
      </c>
      <c r="D3454" s="14" t="s">
        <v>6660</v>
      </c>
      <c r="E3454" s="9" t="s">
        <v>8</v>
      </c>
    </row>
    <row r="3455" spans="1:5" ht="15" customHeight="1" outlineLevel="2" x14ac:dyDescent="0.25">
      <c r="A3455" s="3" t="str">
        <f>HYPERLINK("http://mystore1.ru/price_items/search?utf8=%E2%9C%93&amp;oem=4135AGNV","4135AGNV")</f>
        <v>4135AGNV</v>
      </c>
      <c r="B3455" s="1" t="s">
        <v>6661</v>
      </c>
      <c r="C3455" s="9" t="s">
        <v>6175</v>
      </c>
      <c r="D3455" s="14" t="s">
        <v>6662</v>
      </c>
      <c r="E3455" s="9" t="s">
        <v>8</v>
      </c>
    </row>
    <row r="3456" spans="1:5" ht="15" customHeight="1" outlineLevel="2" x14ac:dyDescent="0.25">
      <c r="A3456" s="3" t="str">
        <f>HYPERLINK("http://mystore1.ru/price_items/search?utf8=%E2%9C%93&amp;oem=4135AGSHV","4135AGSHV")</f>
        <v>4135AGSHV</v>
      </c>
      <c r="B3456" s="1" t="s">
        <v>6663</v>
      </c>
      <c r="C3456" s="9" t="s">
        <v>6175</v>
      </c>
      <c r="D3456" s="14" t="s">
        <v>6664</v>
      </c>
      <c r="E3456" s="9" t="s">
        <v>8</v>
      </c>
    </row>
    <row r="3457" spans="1:5" ht="15" customHeight="1" outlineLevel="2" x14ac:dyDescent="0.25">
      <c r="A3457" s="3" t="str">
        <f>HYPERLINK("http://mystore1.ru/price_items/search?utf8=%E2%9C%93&amp;oem=4135AGSHMV6G","4135AGSHMV6G")</f>
        <v>4135AGSHMV6G</v>
      </c>
      <c r="B3457" s="1" t="s">
        <v>6665</v>
      </c>
      <c r="C3457" s="9" t="s">
        <v>6175</v>
      </c>
      <c r="D3457" s="14" t="s">
        <v>6666</v>
      </c>
      <c r="E3457" s="9" t="s">
        <v>8</v>
      </c>
    </row>
    <row r="3458" spans="1:5" ht="15" customHeight="1" outlineLevel="2" x14ac:dyDescent="0.25">
      <c r="A3458" s="3" t="str">
        <f>HYPERLINK("http://mystore1.ru/price_items/search?utf8=%E2%9C%93&amp;oem=4135AGNV1G","4135AGNV1G")</f>
        <v>4135AGNV1G</v>
      </c>
      <c r="B3458" s="1" t="s">
        <v>6667</v>
      </c>
      <c r="C3458" s="9" t="s">
        <v>6175</v>
      </c>
      <c r="D3458" s="14" t="s">
        <v>6668</v>
      </c>
      <c r="E3458" s="9" t="s">
        <v>8</v>
      </c>
    </row>
    <row r="3459" spans="1:5" outlineLevel="1" x14ac:dyDescent="0.25">
      <c r="A3459" s="2"/>
      <c r="B3459" s="6" t="s">
        <v>6669</v>
      </c>
      <c r="C3459" s="8"/>
      <c r="D3459" s="8"/>
      <c r="E3459" s="8"/>
    </row>
    <row r="3460" spans="1:5" ht="15" customHeight="1" outlineLevel="2" x14ac:dyDescent="0.25">
      <c r="A3460" s="3" t="str">
        <f>HYPERLINK("http://mystore1.ru/price_items/search?utf8=%E2%9C%93&amp;oem=4141AGNHMV1B","4141AGNHMV1B")</f>
        <v>4141AGNHMV1B</v>
      </c>
      <c r="B3460" s="1" t="s">
        <v>6670</v>
      </c>
      <c r="C3460" s="9" t="s">
        <v>369</v>
      </c>
      <c r="D3460" s="14" t="s">
        <v>6671</v>
      </c>
      <c r="E3460" s="9" t="s">
        <v>8</v>
      </c>
    </row>
    <row r="3461" spans="1:5" ht="15" customHeight="1" outlineLevel="2" x14ac:dyDescent="0.25">
      <c r="A3461" s="3" t="str">
        <f>HYPERLINK("http://mystore1.ru/price_items/search?utf8=%E2%9C%93&amp;oem=4141AGNHV","4141AGNHV")</f>
        <v>4141AGNHV</v>
      </c>
      <c r="B3461" s="1" t="s">
        <v>6672</v>
      </c>
      <c r="C3461" s="9" t="s">
        <v>369</v>
      </c>
      <c r="D3461" s="14" t="s">
        <v>6673</v>
      </c>
      <c r="E3461" s="9" t="s">
        <v>8</v>
      </c>
    </row>
    <row r="3462" spans="1:5" ht="15" customHeight="1" outlineLevel="2" x14ac:dyDescent="0.25">
      <c r="A3462" s="3" t="str">
        <f>HYPERLINK("http://mystore1.ru/price_items/search?utf8=%E2%9C%93&amp;oem=4141AGNV","4141AGNV")</f>
        <v>4141AGNV</v>
      </c>
      <c r="B3462" s="1" t="s">
        <v>6674</v>
      </c>
      <c r="C3462" s="9" t="s">
        <v>369</v>
      </c>
      <c r="D3462" s="14" t="s">
        <v>6675</v>
      </c>
      <c r="E3462" s="9" t="s">
        <v>8</v>
      </c>
    </row>
    <row r="3463" spans="1:5" outlineLevel="1" x14ac:dyDescent="0.25">
      <c r="A3463" s="2"/>
      <c r="B3463" s="6" t="s">
        <v>6676</v>
      </c>
      <c r="C3463" s="8"/>
      <c r="D3463" s="8"/>
      <c r="E3463" s="8"/>
    </row>
    <row r="3464" spans="1:5" ht="15" customHeight="1" outlineLevel="2" x14ac:dyDescent="0.25">
      <c r="A3464" s="3" t="str">
        <f>HYPERLINK("http://mystore1.ru/price_items/search?utf8=%E2%9C%93&amp;oem=4140AGSBLHMV1B","4140AGSBLHMV1B")</f>
        <v>4140AGSBLHMV1B</v>
      </c>
      <c r="B3464" s="1" t="s">
        <v>6677</v>
      </c>
      <c r="C3464" s="9" t="s">
        <v>369</v>
      </c>
      <c r="D3464" s="14" t="s">
        <v>6678</v>
      </c>
      <c r="E3464" s="9" t="s">
        <v>8</v>
      </c>
    </row>
    <row r="3465" spans="1:5" outlineLevel="1" x14ac:dyDescent="0.25">
      <c r="A3465" s="2"/>
      <c r="B3465" s="6" t="s">
        <v>6679</v>
      </c>
      <c r="C3465" s="8"/>
      <c r="D3465" s="8"/>
      <c r="E3465" s="8"/>
    </row>
    <row r="3466" spans="1:5" ht="15" customHeight="1" outlineLevel="2" x14ac:dyDescent="0.25">
      <c r="A3466" s="3" t="str">
        <f>HYPERLINK("http://mystore1.ru/price_items/search?utf8=%E2%9C%93&amp;oem=4106AGNBL","4106AGNBL")</f>
        <v>4106AGNBL</v>
      </c>
      <c r="B3466" s="1" t="s">
        <v>6680</v>
      </c>
      <c r="C3466" s="9" t="s">
        <v>1985</v>
      </c>
      <c r="D3466" s="14" t="s">
        <v>6681</v>
      </c>
      <c r="E3466" s="9" t="s">
        <v>8</v>
      </c>
    </row>
    <row r="3467" spans="1:5" ht="15" customHeight="1" outlineLevel="2" x14ac:dyDescent="0.25">
      <c r="A3467" s="3" t="str">
        <f>HYPERLINK("http://mystore1.ru/price_items/search?utf8=%E2%9C%93&amp;oem=4106ASMS","4106ASMS")</f>
        <v>4106ASMS</v>
      </c>
      <c r="B3467" s="1" t="s">
        <v>6682</v>
      </c>
      <c r="C3467" s="9" t="s">
        <v>25</v>
      </c>
      <c r="D3467" s="14" t="s">
        <v>6683</v>
      </c>
      <c r="E3467" s="9" t="s">
        <v>27</v>
      </c>
    </row>
    <row r="3468" spans="1:5" ht="15" customHeight="1" outlineLevel="2" x14ac:dyDescent="0.25">
      <c r="A3468" s="3" t="str">
        <f>HYPERLINK("http://mystore1.ru/price_items/search?utf8=%E2%9C%93&amp;oem=4106BGNS","4106BGNS")</f>
        <v>4106BGNS</v>
      </c>
      <c r="B3468" s="1" t="s">
        <v>6684</v>
      </c>
      <c r="C3468" s="9" t="s">
        <v>1985</v>
      </c>
      <c r="D3468" s="14" t="s">
        <v>6685</v>
      </c>
      <c r="E3468" s="9" t="s">
        <v>30</v>
      </c>
    </row>
    <row r="3469" spans="1:5" ht="15" customHeight="1" outlineLevel="2" x14ac:dyDescent="0.25">
      <c r="A3469" s="3" t="str">
        <f>HYPERLINK("http://mystore1.ru/price_items/search?utf8=%E2%9C%93&amp;oem=4106LGNS4FD","4106LGNS4FD")</f>
        <v>4106LGNS4FD</v>
      </c>
      <c r="B3469" s="1" t="s">
        <v>6686</v>
      </c>
      <c r="C3469" s="9" t="s">
        <v>1985</v>
      </c>
      <c r="D3469" s="14" t="s">
        <v>6687</v>
      </c>
      <c r="E3469" s="9" t="s">
        <v>11</v>
      </c>
    </row>
    <row r="3470" spans="1:5" ht="15" customHeight="1" outlineLevel="2" x14ac:dyDescent="0.25">
      <c r="A3470" s="3" t="str">
        <f>HYPERLINK("http://mystore1.ru/price_items/search?utf8=%E2%9C%93&amp;oem=4106LGNS4RD","4106LGNS4RD")</f>
        <v>4106LGNS4RD</v>
      </c>
      <c r="B3470" s="1" t="s">
        <v>6688</v>
      </c>
      <c r="C3470" s="9" t="s">
        <v>1985</v>
      </c>
      <c r="D3470" s="14" t="s">
        <v>6689</v>
      </c>
      <c r="E3470" s="9" t="s">
        <v>11</v>
      </c>
    </row>
    <row r="3471" spans="1:5" ht="15" customHeight="1" outlineLevel="2" x14ac:dyDescent="0.25">
      <c r="A3471" s="3" t="str">
        <f>HYPERLINK("http://mystore1.ru/price_items/search?utf8=%E2%9C%93&amp;oem=4106RGNS4FD","4106RGNS4FD")</f>
        <v>4106RGNS4FD</v>
      </c>
      <c r="B3471" s="1" t="s">
        <v>6690</v>
      </c>
      <c r="C3471" s="9" t="s">
        <v>1985</v>
      </c>
      <c r="D3471" s="14" t="s">
        <v>6691</v>
      </c>
      <c r="E3471" s="9" t="s">
        <v>11</v>
      </c>
    </row>
    <row r="3472" spans="1:5" ht="15" customHeight="1" outlineLevel="2" x14ac:dyDescent="0.25">
      <c r="A3472" s="3" t="str">
        <f>HYPERLINK("http://mystore1.ru/price_items/search?utf8=%E2%9C%93&amp;oem=4106RGNS4RD","4106RGNS4RD")</f>
        <v>4106RGNS4RD</v>
      </c>
      <c r="B3472" s="1" t="s">
        <v>6692</v>
      </c>
      <c r="C3472" s="9" t="s">
        <v>1985</v>
      </c>
      <c r="D3472" s="14" t="s">
        <v>6693</v>
      </c>
      <c r="E3472" s="9" t="s">
        <v>11</v>
      </c>
    </row>
    <row r="3473" spans="1:5" outlineLevel="1" x14ac:dyDescent="0.25">
      <c r="A3473" s="2"/>
      <c r="B3473" s="6" t="s">
        <v>6694</v>
      </c>
      <c r="C3473" s="8"/>
      <c r="D3473" s="8"/>
      <c r="E3473" s="8"/>
    </row>
    <row r="3474" spans="1:5" ht="15" customHeight="1" outlineLevel="2" x14ac:dyDescent="0.25">
      <c r="A3474" s="3" t="str">
        <f>HYPERLINK("http://mystore1.ru/price_items/search?utf8=%E2%9C%93&amp;oem=4111AGNBL","4111AGNBL")</f>
        <v>4111AGNBL</v>
      </c>
      <c r="B3474" s="1" t="s">
        <v>6695</v>
      </c>
      <c r="C3474" s="9" t="s">
        <v>2699</v>
      </c>
      <c r="D3474" s="14" t="s">
        <v>6696</v>
      </c>
      <c r="E3474" s="9" t="s">
        <v>8</v>
      </c>
    </row>
    <row r="3475" spans="1:5" ht="15" customHeight="1" outlineLevel="2" x14ac:dyDescent="0.25">
      <c r="A3475" s="3" t="str">
        <f>HYPERLINK("http://mystore1.ru/price_items/search?utf8=%E2%9C%93&amp;oem=4111AGNGN","4111AGNGN")</f>
        <v>4111AGNGN</v>
      </c>
      <c r="B3475" s="1" t="s">
        <v>6697</v>
      </c>
      <c r="C3475" s="9" t="s">
        <v>2699</v>
      </c>
      <c r="D3475" s="14" t="s">
        <v>6698</v>
      </c>
      <c r="E3475" s="9" t="s">
        <v>8</v>
      </c>
    </row>
    <row r="3476" spans="1:5" ht="15" customHeight="1" outlineLevel="2" x14ac:dyDescent="0.25">
      <c r="A3476" s="3" t="str">
        <f>HYPERLINK("http://mystore1.ru/price_items/search?utf8=%E2%9C%93&amp;oem=4111AKMSC","4111AKMSC")</f>
        <v>4111AKMSC</v>
      </c>
      <c r="B3476" s="1" t="s">
        <v>6699</v>
      </c>
      <c r="C3476" s="9" t="s">
        <v>25</v>
      </c>
      <c r="D3476" s="14" t="s">
        <v>6700</v>
      </c>
      <c r="E3476" s="9" t="s">
        <v>27</v>
      </c>
    </row>
    <row r="3477" spans="1:5" ht="15" customHeight="1" outlineLevel="2" x14ac:dyDescent="0.25">
      <c r="A3477" s="3" t="str">
        <f>HYPERLINK("http://mystore1.ru/price_items/search?utf8=%E2%9C%93&amp;oem=4111ASMHTB","4111ASMHTB")</f>
        <v>4111ASMHTB</v>
      </c>
      <c r="B3477" s="1" t="s">
        <v>6701</v>
      </c>
      <c r="C3477" s="9" t="s">
        <v>25</v>
      </c>
      <c r="D3477" s="14" t="s">
        <v>6702</v>
      </c>
      <c r="E3477" s="9" t="s">
        <v>27</v>
      </c>
    </row>
    <row r="3478" spans="1:5" ht="15" customHeight="1" outlineLevel="2" x14ac:dyDescent="0.25">
      <c r="A3478" s="3" t="str">
        <f>HYPERLINK("http://mystore1.ru/price_items/search?utf8=%E2%9C%93&amp;oem=4111LGNS4FDW","4111LGNS4FDW")</f>
        <v>4111LGNS4FDW</v>
      </c>
      <c r="B3478" s="1" t="s">
        <v>6703</v>
      </c>
      <c r="C3478" s="9" t="s">
        <v>2699</v>
      </c>
      <c r="D3478" s="14" t="s">
        <v>6704</v>
      </c>
      <c r="E3478" s="9" t="s">
        <v>11</v>
      </c>
    </row>
    <row r="3479" spans="1:5" ht="15" customHeight="1" outlineLevel="2" x14ac:dyDescent="0.25">
      <c r="A3479" s="3" t="str">
        <f>HYPERLINK("http://mystore1.ru/price_items/search?utf8=%E2%9C%93&amp;oem=4111LGNS4RDW","4111LGNS4RDW")</f>
        <v>4111LGNS4RDW</v>
      </c>
      <c r="B3479" s="1" t="s">
        <v>6705</v>
      </c>
      <c r="C3479" s="9" t="s">
        <v>2699</v>
      </c>
      <c r="D3479" s="14" t="s">
        <v>6706</v>
      </c>
      <c r="E3479" s="9" t="s">
        <v>11</v>
      </c>
    </row>
    <row r="3480" spans="1:5" ht="15" customHeight="1" outlineLevel="2" x14ac:dyDescent="0.25">
      <c r="A3480" s="3" t="str">
        <f>HYPERLINK("http://mystore1.ru/price_items/search?utf8=%E2%9C%93&amp;oem=4111LGNS4RV","4111LGNS4RV")</f>
        <v>4111LGNS4RV</v>
      </c>
      <c r="B3480" s="1" t="s">
        <v>6707</v>
      </c>
      <c r="C3480" s="9" t="s">
        <v>2699</v>
      </c>
      <c r="D3480" s="14" t="s">
        <v>6708</v>
      </c>
      <c r="E3480" s="9" t="s">
        <v>11</v>
      </c>
    </row>
    <row r="3481" spans="1:5" ht="15" customHeight="1" outlineLevel="2" x14ac:dyDescent="0.25">
      <c r="A3481" s="3" t="str">
        <f>HYPERLINK("http://mystore1.ru/price_items/search?utf8=%E2%9C%93&amp;oem=4111RGNS4FDW","4111RGNS4FDW")</f>
        <v>4111RGNS4FDW</v>
      </c>
      <c r="B3481" s="1" t="s">
        <v>6709</v>
      </c>
      <c r="C3481" s="9" t="s">
        <v>2699</v>
      </c>
      <c r="D3481" s="14" t="s">
        <v>6710</v>
      </c>
      <c r="E3481" s="9" t="s">
        <v>11</v>
      </c>
    </row>
    <row r="3482" spans="1:5" ht="15" customHeight="1" outlineLevel="2" x14ac:dyDescent="0.25">
      <c r="A3482" s="3" t="str">
        <f>HYPERLINK("http://mystore1.ru/price_items/search?utf8=%E2%9C%93&amp;oem=4111RGNS4RDW","4111RGNS4RDW")</f>
        <v>4111RGNS4RDW</v>
      </c>
      <c r="B3482" s="1" t="s">
        <v>6711</v>
      </c>
      <c r="C3482" s="9" t="s">
        <v>2699</v>
      </c>
      <c r="D3482" s="14" t="s">
        <v>6712</v>
      </c>
      <c r="E3482" s="9" t="s">
        <v>11</v>
      </c>
    </row>
    <row r="3483" spans="1:5" ht="15" customHeight="1" outlineLevel="2" x14ac:dyDescent="0.25">
      <c r="A3483" s="3" t="str">
        <f>HYPERLINK("http://mystore1.ru/price_items/search?utf8=%E2%9C%93&amp;oem=4111RGNS4RV","4111RGNS4RV")</f>
        <v>4111RGNS4RV</v>
      </c>
      <c r="B3483" s="1" t="s">
        <v>6713</v>
      </c>
      <c r="C3483" s="9" t="s">
        <v>2699</v>
      </c>
      <c r="D3483" s="14" t="s">
        <v>6714</v>
      </c>
      <c r="E3483" s="9" t="s">
        <v>11</v>
      </c>
    </row>
    <row r="3484" spans="1:5" outlineLevel="1" x14ac:dyDescent="0.25">
      <c r="A3484" s="2"/>
      <c r="B3484" s="6" t="s">
        <v>6715</v>
      </c>
      <c r="C3484" s="8"/>
      <c r="D3484" s="8"/>
      <c r="E3484" s="8"/>
    </row>
    <row r="3485" spans="1:5" ht="15" customHeight="1" outlineLevel="2" x14ac:dyDescent="0.25">
      <c r="A3485" s="3" t="str">
        <f>HYPERLINK("http://mystore1.ru/price_items/search?utf8=%E2%9C%93&amp;oem=4125AGNBL","4125AGNBL")</f>
        <v>4125AGNBL</v>
      </c>
      <c r="B3485" s="1" t="s">
        <v>6716</v>
      </c>
      <c r="C3485" s="9" t="s">
        <v>3918</v>
      </c>
      <c r="D3485" s="14" t="s">
        <v>6717</v>
      </c>
      <c r="E3485" s="9" t="s">
        <v>8</v>
      </c>
    </row>
    <row r="3486" spans="1:5" ht="15" customHeight="1" outlineLevel="2" x14ac:dyDescent="0.25">
      <c r="A3486" s="3" t="str">
        <f>HYPERLINK("http://mystore1.ru/price_items/search?utf8=%E2%9C%93&amp;oem=4125ASMH","4125ASMH")</f>
        <v>4125ASMH</v>
      </c>
      <c r="B3486" s="1" t="s">
        <v>6718</v>
      </c>
      <c r="C3486" s="9" t="s">
        <v>25</v>
      </c>
      <c r="D3486" s="14" t="s">
        <v>6719</v>
      </c>
      <c r="E3486" s="9" t="s">
        <v>27</v>
      </c>
    </row>
    <row r="3487" spans="1:5" ht="15" customHeight="1" outlineLevel="2" x14ac:dyDescent="0.25">
      <c r="A3487" s="3" t="str">
        <f>HYPERLINK("http://mystore1.ru/price_items/search?utf8=%E2%9C%93&amp;oem=4125BGNH","4125BGNH")</f>
        <v>4125BGNH</v>
      </c>
      <c r="B3487" s="1" t="s">
        <v>6720</v>
      </c>
      <c r="C3487" s="9" t="s">
        <v>3918</v>
      </c>
      <c r="D3487" s="14" t="s">
        <v>6721</v>
      </c>
      <c r="E3487" s="9" t="s">
        <v>30</v>
      </c>
    </row>
    <row r="3488" spans="1:5" ht="15" customHeight="1" outlineLevel="2" x14ac:dyDescent="0.25">
      <c r="A3488" s="3" t="str">
        <f>HYPERLINK("http://mystore1.ru/price_items/search?utf8=%E2%9C%93&amp;oem=4125LGNH5FD","4125LGNH5FD")</f>
        <v>4125LGNH5FD</v>
      </c>
      <c r="B3488" s="1" t="s">
        <v>6722</v>
      </c>
      <c r="C3488" s="9" t="s">
        <v>3918</v>
      </c>
      <c r="D3488" s="14" t="s">
        <v>6723</v>
      </c>
      <c r="E3488" s="9" t="s">
        <v>11</v>
      </c>
    </row>
    <row r="3489" spans="1:5" ht="15" customHeight="1" outlineLevel="2" x14ac:dyDescent="0.25">
      <c r="A3489" s="3" t="str">
        <f>HYPERLINK("http://mystore1.ru/price_items/search?utf8=%E2%9C%93&amp;oem=4125LGNH5RD","4125LGNH5RD")</f>
        <v>4125LGNH5RD</v>
      </c>
      <c r="B3489" s="1" t="s">
        <v>6724</v>
      </c>
      <c r="C3489" s="9" t="s">
        <v>3918</v>
      </c>
      <c r="D3489" s="14" t="s">
        <v>6725</v>
      </c>
      <c r="E3489" s="9" t="s">
        <v>11</v>
      </c>
    </row>
    <row r="3490" spans="1:5" ht="15" customHeight="1" outlineLevel="2" x14ac:dyDescent="0.25">
      <c r="A3490" s="3" t="str">
        <f>HYPERLINK("http://mystore1.ru/price_items/search?utf8=%E2%9C%93&amp;oem=4125RGNH5FD","4125RGNH5FD")</f>
        <v>4125RGNH5FD</v>
      </c>
      <c r="B3490" s="1" t="s">
        <v>6726</v>
      </c>
      <c r="C3490" s="9" t="s">
        <v>3918</v>
      </c>
      <c r="D3490" s="14" t="s">
        <v>6727</v>
      </c>
      <c r="E3490" s="9" t="s">
        <v>11</v>
      </c>
    </row>
    <row r="3491" spans="1:5" ht="15" customHeight="1" outlineLevel="2" x14ac:dyDescent="0.25">
      <c r="A3491" s="3" t="str">
        <f>HYPERLINK("http://mystore1.ru/price_items/search?utf8=%E2%9C%93&amp;oem=4125RGNH5RD","4125RGNH5RD")</f>
        <v>4125RGNH5RD</v>
      </c>
      <c r="B3491" s="1" t="s">
        <v>6728</v>
      </c>
      <c r="C3491" s="9" t="s">
        <v>3918</v>
      </c>
      <c r="D3491" s="14" t="s">
        <v>6729</v>
      </c>
      <c r="E3491" s="9" t="s">
        <v>11</v>
      </c>
    </row>
    <row r="3492" spans="1:5" outlineLevel="1" x14ac:dyDescent="0.25">
      <c r="A3492" s="2"/>
      <c r="B3492" s="6" t="s">
        <v>6730</v>
      </c>
      <c r="C3492" s="8"/>
      <c r="D3492" s="8"/>
      <c r="E3492" s="8"/>
    </row>
    <row r="3493" spans="1:5" ht="15" customHeight="1" outlineLevel="2" x14ac:dyDescent="0.25">
      <c r="A3493" s="3" t="str">
        <f>HYPERLINK("http://mystore1.ru/price_items/search?utf8=%E2%9C%93&amp;oem=4130AGNBLHV","4130AGNBLHV")</f>
        <v>4130AGNBLHV</v>
      </c>
      <c r="B3493" s="1" t="s">
        <v>6731</v>
      </c>
      <c r="C3493" s="9" t="s">
        <v>1629</v>
      </c>
      <c r="D3493" s="14" t="s">
        <v>6732</v>
      </c>
      <c r="E3493" s="9" t="s">
        <v>8</v>
      </c>
    </row>
    <row r="3494" spans="1:5" ht="15" customHeight="1" outlineLevel="2" x14ac:dyDescent="0.25">
      <c r="A3494" s="3" t="str">
        <f>HYPERLINK("http://mystore1.ru/price_items/search?utf8=%E2%9C%93&amp;oem=4130AGNBLV","4130AGNBLV")</f>
        <v>4130AGNBLV</v>
      </c>
      <c r="B3494" s="1" t="s">
        <v>6733</v>
      </c>
      <c r="C3494" s="9" t="s">
        <v>1629</v>
      </c>
      <c r="D3494" s="14" t="s">
        <v>6734</v>
      </c>
      <c r="E3494" s="9" t="s">
        <v>8</v>
      </c>
    </row>
    <row r="3495" spans="1:5" ht="15" customHeight="1" outlineLevel="2" x14ac:dyDescent="0.25">
      <c r="A3495" s="3" t="str">
        <f>HYPERLINK("http://mystore1.ru/price_items/search?utf8=%E2%9C%93&amp;oem=4130ASMST","4130ASMST")</f>
        <v>4130ASMST</v>
      </c>
      <c r="B3495" s="1" t="s">
        <v>6735</v>
      </c>
      <c r="C3495" s="9" t="s">
        <v>25</v>
      </c>
      <c r="D3495" s="14" t="s">
        <v>6736</v>
      </c>
      <c r="E3495" s="9" t="s">
        <v>27</v>
      </c>
    </row>
    <row r="3496" spans="1:5" ht="15" customHeight="1" outlineLevel="2" x14ac:dyDescent="0.25">
      <c r="A3496" s="3" t="str">
        <f>HYPERLINK("http://mystore1.ru/price_items/search?utf8=%E2%9C%93&amp;oem=4130LGNS4FD","4130LGNS4FD")</f>
        <v>4130LGNS4FD</v>
      </c>
      <c r="B3496" s="1" t="s">
        <v>6737</v>
      </c>
      <c r="C3496" s="9" t="s">
        <v>1629</v>
      </c>
      <c r="D3496" s="14" t="s">
        <v>6738</v>
      </c>
      <c r="E3496" s="9" t="s">
        <v>11</v>
      </c>
    </row>
    <row r="3497" spans="1:5" ht="15" customHeight="1" outlineLevel="2" x14ac:dyDescent="0.25">
      <c r="A3497" s="3" t="str">
        <f>HYPERLINK("http://mystore1.ru/price_items/search?utf8=%E2%9C%93&amp;oem=4130RGNS4FD","4130RGNS4FD")</f>
        <v>4130RGNS4FD</v>
      </c>
      <c r="B3497" s="1" t="s">
        <v>6739</v>
      </c>
      <c r="C3497" s="9" t="s">
        <v>1629</v>
      </c>
      <c r="D3497" s="14" t="s">
        <v>6740</v>
      </c>
      <c r="E3497" s="9" t="s">
        <v>11</v>
      </c>
    </row>
    <row r="3498" spans="1:5" outlineLevel="1" x14ac:dyDescent="0.25">
      <c r="A3498" s="2"/>
      <c r="B3498" s="6" t="s">
        <v>6741</v>
      </c>
      <c r="C3498" s="8"/>
      <c r="D3498" s="8"/>
      <c r="E3498" s="8"/>
    </row>
    <row r="3499" spans="1:5" ht="15" customHeight="1" outlineLevel="2" x14ac:dyDescent="0.25">
      <c r="A3499" s="3" t="str">
        <f>HYPERLINK("http://mystore1.ru/price_items/search?utf8=%E2%9C%93&amp;oem=4105ABL","4105ABL")</f>
        <v>4105ABL</v>
      </c>
      <c r="B3499" s="1" t="s">
        <v>6742</v>
      </c>
      <c r="C3499" s="9" t="s">
        <v>6112</v>
      </c>
      <c r="D3499" s="14" t="s">
        <v>6743</v>
      </c>
      <c r="E3499" s="9" t="s">
        <v>8</v>
      </c>
    </row>
    <row r="3500" spans="1:5" ht="15" customHeight="1" outlineLevel="2" x14ac:dyDescent="0.25">
      <c r="A3500" s="3" t="str">
        <f>HYPERLINK("http://mystore1.ru/price_items/search?utf8=%E2%9C%93&amp;oem=4105ABLBL","4105ABLBL")</f>
        <v>4105ABLBL</v>
      </c>
      <c r="B3500" s="1" t="s">
        <v>6744</v>
      </c>
      <c r="C3500" s="9" t="s">
        <v>6112</v>
      </c>
      <c r="D3500" s="14" t="s">
        <v>6745</v>
      </c>
      <c r="E3500" s="9" t="s">
        <v>8</v>
      </c>
    </row>
    <row r="3501" spans="1:5" ht="15" customHeight="1" outlineLevel="2" x14ac:dyDescent="0.25">
      <c r="A3501" s="3" t="str">
        <f>HYPERLINK("http://mystore1.ru/price_items/search?utf8=%E2%9C%93&amp;oem=4105ACL","4105ACL")</f>
        <v>4105ACL</v>
      </c>
      <c r="B3501" s="1" t="s">
        <v>6746</v>
      </c>
      <c r="C3501" s="9" t="s">
        <v>6112</v>
      </c>
      <c r="D3501" s="14" t="s">
        <v>6747</v>
      </c>
      <c r="E3501" s="9" t="s">
        <v>8</v>
      </c>
    </row>
    <row r="3502" spans="1:5" ht="15" customHeight="1" outlineLevel="2" x14ac:dyDescent="0.25">
      <c r="A3502" s="3" t="str">
        <f>HYPERLINK("http://mystore1.ru/price_items/search?utf8=%E2%9C%93&amp;oem=4105AGNBL","4105AGNBL")</f>
        <v>4105AGNBL</v>
      </c>
      <c r="B3502" s="1" t="s">
        <v>6748</v>
      </c>
      <c r="C3502" s="9" t="s">
        <v>6112</v>
      </c>
      <c r="D3502" s="14" t="s">
        <v>6749</v>
      </c>
      <c r="E3502" s="9" t="s">
        <v>8</v>
      </c>
    </row>
    <row r="3503" spans="1:5" ht="15" customHeight="1" outlineLevel="2" x14ac:dyDescent="0.25">
      <c r="A3503" s="3" t="str">
        <f>HYPERLINK("http://mystore1.ru/price_items/search?utf8=%E2%9C%93&amp;oem=4105AKMH","4105AKMH")</f>
        <v>4105AKMH</v>
      </c>
      <c r="B3503" s="1" t="s">
        <v>6750</v>
      </c>
      <c r="C3503" s="9" t="s">
        <v>25</v>
      </c>
      <c r="D3503" s="14" t="s">
        <v>6751</v>
      </c>
      <c r="E3503" s="9" t="s">
        <v>27</v>
      </c>
    </row>
    <row r="3504" spans="1:5" ht="15" customHeight="1" outlineLevel="2" x14ac:dyDescent="0.25">
      <c r="A3504" s="3" t="str">
        <f>HYPERLINK("http://mystore1.ru/price_items/search?utf8=%E2%9C%93&amp;oem=4105ASMHT","4105ASMHT")</f>
        <v>4105ASMHT</v>
      </c>
      <c r="B3504" s="1" t="s">
        <v>6752</v>
      </c>
      <c r="C3504" s="9" t="s">
        <v>25</v>
      </c>
      <c r="D3504" s="14" t="s">
        <v>6753</v>
      </c>
      <c r="E3504" s="9" t="s">
        <v>27</v>
      </c>
    </row>
    <row r="3505" spans="1:5" ht="15" customHeight="1" outlineLevel="2" x14ac:dyDescent="0.25">
      <c r="A3505" s="3" t="str">
        <f>HYPERLINK("http://mystore1.ru/price_items/search?utf8=%E2%9C%93&amp;oem=4105BGNS","4105BGNS")</f>
        <v>4105BGNS</v>
      </c>
      <c r="B3505" s="1" t="s">
        <v>6754</v>
      </c>
      <c r="C3505" s="9" t="s">
        <v>6112</v>
      </c>
      <c r="D3505" s="14" t="s">
        <v>6755</v>
      </c>
      <c r="E3505" s="9" t="s">
        <v>30</v>
      </c>
    </row>
    <row r="3506" spans="1:5" ht="15" customHeight="1" outlineLevel="2" x14ac:dyDescent="0.25">
      <c r="A3506" s="3" t="str">
        <f>HYPERLINK("http://mystore1.ru/price_items/search?utf8=%E2%9C%93&amp;oem=4105LBLH5FD","4105LBLH5FD")</f>
        <v>4105LBLH5FD</v>
      </c>
      <c r="B3506" s="1" t="s">
        <v>6756</v>
      </c>
      <c r="C3506" s="9" t="s">
        <v>6112</v>
      </c>
      <c r="D3506" s="14" t="s">
        <v>6757</v>
      </c>
      <c r="E3506" s="9" t="s">
        <v>11</v>
      </c>
    </row>
    <row r="3507" spans="1:5" ht="15" customHeight="1" outlineLevel="2" x14ac:dyDescent="0.25">
      <c r="A3507" s="3" t="str">
        <f>HYPERLINK("http://mystore1.ru/price_items/search?utf8=%E2%9C%93&amp;oem=4105LBLH5RD","4105LBLH5RD")</f>
        <v>4105LBLH5RD</v>
      </c>
      <c r="B3507" s="1" t="s">
        <v>6758</v>
      </c>
      <c r="C3507" s="9" t="s">
        <v>6112</v>
      </c>
      <c r="D3507" s="14" t="s">
        <v>6759</v>
      </c>
      <c r="E3507" s="9" t="s">
        <v>11</v>
      </c>
    </row>
    <row r="3508" spans="1:5" ht="15" customHeight="1" outlineLevel="2" x14ac:dyDescent="0.25">
      <c r="A3508" s="3" t="str">
        <f>HYPERLINK("http://mystore1.ru/price_items/search?utf8=%E2%9C%93&amp;oem=4105LGNH3FD","4105LGNH3FD")</f>
        <v>4105LGNH3FD</v>
      </c>
      <c r="B3508" s="1" t="s">
        <v>6760</v>
      </c>
      <c r="C3508" s="9" t="s">
        <v>6112</v>
      </c>
      <c r="D3508" s="14" t="s">
        <v>6761</v>
      </c>
      <c r="E3508" s="9" t="s">
        <v>11</v>
      </c>
    </row>
    <row r="3509" spans="1:5" ht="15" customHeight="1" outlineLevel="2" x14ac:dyDescent="0.25">
      <c r="A3509" s="3" t="str">
        <f>HYPERLINK("http://mystore1.ru/price_items/search?utf8=%E2%9C%93&amp;oem=4105LGNH5FD","4105LGNH5FD")</f>
        <v>4105LGNH5FD</v>
      </c>
      <c r="B3509" s="1" t="s">
        <v>6762</v>
      </c>
      <c r="C3509" s="9" t="s">
        <v>6112</v>
      </c>
      <c r="D3509" s="14" t="s">
        <v>6761</v>
      </c>
      <c r="E3509" s="9" t="s">
        <v>11</v>
      </c>
    </row>
    <row r="3510" spans="1:5" ht="15" customHeight="1" outlineLevel="2" x14ac:dyDescent="0.25">
      <c r="A3510" s="3" t="str">
        <f>HYPERLINK("http://mystore1.ru/price_items/search?utf8=%E2%9C%93&amp;oem=4105RBLH5FD","4105RBLH5FD")</f>
        <v>4105RBLH5FD</v>
      </c>
      <c r="B3510" s="1" t="s">
        <v>6763</v>
      </c>
      <c r="C3510" s="9" t="s">
        <v>6112</v>
      </c>
      <c r="D3510" s="14" t="s">
        <v>6764</v>
      </c>
      <c r="E3510" s="9" t="s">
        <v>11</v>
      </c>
    </row>
    <row r="3511" spans="1:5" ht="15" customHeight="1" outlineLevel="2" x14ac:dyDescent="0.25">
      <c r="A3511" s="3" t="str">
        <f>HYPERLINK("http://mystore1.ru/price_items/search?utf8=%E2%9C%93&amp;oem=4105RBLH5RD","4105RBLH5RD")</f>
        <v>4105RBLH5RD</v>
      </c>
      <c r="B3511" s="1" t="s">
        <v>6765</v>
      </c>
      <c r="C3511" s="9" t="s">
        <v>6112</v>
      </c>
      <c r="D3511" s="14" t="s">
        <v>6766</v>
      </c>
      <c r="E3511" s="9" t="s">
        <v>11</v>
      </c>
    </row>
    <row r="3512" spans="1:5" ht="15" customHeight="1" outlineLevel="2" x14ac:dyDescent="0.25">
      <c r="A3512" s="3" t="str">
        <f>HYPERLINK("http://mystore1.ru/price_items/search?utf8=%E2%9C%93&amp;oem=4105RCLH5FD","4105RCLH5FD")</f>
        <v>4105RCLH5FD</v>
      </c>
      <c r="B3512" s="1" t="s">
        <v>6767</v>
      </c>
      <c r="C3512" s="9" t="s">
        <v>6112</v>
      </c>
      <c r="D3512" s="14" t="s">
        <v>6768</v>
      </c>
      <c r="E3512" s="9" t="s">
        <v>11</v>
      </c>
    </row>
    <row r="3513" spans="1:5" ht="15" customHeight="1" outlineLevel="2" x14ac:dyDescent="0.25">
      <c r="A3513" s="3" t="str">
        <f>HYPERLINK("http://mystore1.ru/price_items/search?utf8=%E2%9C%93&amp;oem=4105RGNH3FD","4105RGNH3FD")</f>
        <v>4105RGNH3FD</v>
      </c>
      <c r="B3513" s="1" t="s">
        <v>6769</v>
      </c>
      <c r="C3513" s="9" t="s">
        <v>6112</v>
      </c>
      <c r="D3513" s="14" t="s">
        <v>6764</v>
      </c>
      <c r="E3513" s="9" t="s">
        <v>11</v>
      </c>
    </row>
    <row r="3514" spans="1:5" ht="15" customHeight="1" outlineLevel="2" x14ac:dyDescent="0.25">
      <c r="A3514" s="3" t="str">
        <f>HYPERLINK("http://mystore1.ru/price_items/search?utf8=%E2%9C%93&amp;oem=4105RGNH5FD","4105RGNH5FD")</f>
        <v>4105RGNH5FD</v>
      </c>
      <c r="B3514" s="1" t="s">
        <v>6770</v>
      </c>
      <c r="C3514" s="9" t="s">
        <v>6112</v>
      </c>
      <c r="D3514" s="14" t="s">
        <v>6764</v>
      </c>
      <c r="E3514" s="9" t="s">
        <v>11</v>
      </c>
    </row>
    <row r="3515" spans="1:5" outlineLevel="1" x14ac:dyDescent="0.25">
      <c r="A3515" s="2"/>
      <c r="B3515" s="6" t="s">
        <v>6771</v>
      </c>
      <c r="C3515" s="8"/>
      <c r="D3515" s="8"/>
      <c r="E3515" s="8"/>
    </row>
    <row r="3516" spans="1:5" ht="15" customHeight="1" outlineLevel="2" x14ac:dyDescent="0.25">
      <c r="A3516" s="3" t="str">
        <f>HYPERLINK("http://mystore1.ru/price_items/search?utf8=%E2%9C%93&amp;oem=4102ACL","4102ACL")</f>
        <v>4102ACL</v>
      </c>
      <c r="B3516" s="1" t="s">
        <v>6772</v>
      </c>
      <c r="C3516" s="9" t="s">
        <v>6274</v>
      </c>
      <c r="D3516" s="14" t="s">
        <v>6773</v>
      </c>
      <c r="E3516" s="9" t="s">
        <v>8</v>
      </c>
    </row>
    <row r="3517" spans="1:5" outlineLevel="1" x14ac:dyDescent="0.25">
      <c r="A3517" s="2"/>
      <c r="B3517" s="6" t="s">
        <v>6774</v>
      </c>
      <c r="C3517" s="8"/>
      <c r="D3517" s="8"/>
      <c r="E3517" s="8"/>
    </row>
    <row r="3518" spans="1:5" ht="15" customHeight="1" outlineLevel="2" x14ac:dyDescent="0.25">
      <c r="A3518" s="3" t="str">
        <f>HYPERLINK("http://mystore1.ru/price_items/search?utf8=%E2%9C%93&amp;oem=4123AGNBL","4123AGNBL")</f>
        <v>4123AGNBL</v>
      </c>
      <c r="B3518" s="1" t="s">
        <v>6775</v>
      </c>
      <c r="C3518" s="9" t="s">
        <v>959</v>
      </c>
      <c r="D3518" s="14" t="s">
        <v>6776</v>
      </c>
      <c r="E3518" s="9" t="s">
        <v>8</v>
      </c>
    </row>
    <row r="3519" spans="1:5" ht="15" customHeight="1" outlineLevel="2" x14ac:dyDescent="0.25">
      <c r="A3519" s="3" t="str">
        <f>HYPERLINK("http://mystore1.ru/price_items/search?utf8=%E2%9C%93&amp;oem=4123ASMR","4123ASMR")</f>
        <v>4123ASMR</v>
      </c>
      <c r="B3519" s="1" t="s">
        <v>6777</v>
      </c>
      <c r="C3519" s="9" t="s">
        <v>25</v>
      </c>
      <c r="D3519" s="14" t="s">
        <v>6778</v>
      </c>
      <c r="E3519" s="9" t="s">
        <v>27</v>
      </c>
    </row>
    <row r="3520" spans="1:5" ht="15" customHeight="1" outlineLevel="2" x14ac:dyDescent="0.25">
      <c r="A3520" s="3" t="str">
        <f>HYPERLINK("http://mystore1.ru/price_items/search?utf8=%E2%9C%93&amp;oem=4123BGNR","4123BGNR")</f>
        <v>4123BGNR</v>
      </c>
      <c r="B3520" s="1" t="s">
        <v>6779</v>
      </c>
      <c r="C3520" s="9" t="s">
        <v>959</v>
      </c>
      <c r="D3520" s="14" t="s">
        <v>6780</v>
      </c>
      <c r="E3520" s="9" t="s">
        <v>30</v>
      </c>
    </row>
    <row r="3521" spans="1:5" ht="15" customHeight="1" outlineLevel="2" x14ac:dyDescent="0.25">
      <c r="A3521" s="3" t="str">
        <f>HYPERLINK("http://mystore1.ru/price_items/search?utf8=%E2%9C%93&amp;oem=4123LGNR5FD","4123LGNR5FD")</f>
        <v>4123LGNR5FD</v>
      </c>
      <c r="B3521" s="1" t="s">
        <v>6781</v>
      </c>
      <c r="C3521" s="9" t="s">
        <v>959</v>
      </c>
      <c r="D3521" s="14" t="s">
        <v>6782</v>
      </c>
      <c r="E3521" s="9" t="s">
        <v>11</v>
      </c>
    </row>
    <row r="3522" spans="1:5" ht="15" customHeight="1" outlineLevel="2" x14ac:dyDescent="0.25">
      <c r="A3522" s="3" t="str">
        <f>HYPERLINK("http://mystore1.ru/price_items/search?utf8=%E2%9C%93&amp;oem=4123LGNR5RD","4123LGNR5RD")</f>
        <v>4123LGNR5RD</v>
      </c>
      <c r="B3522" s="1" t="s">
        <v>6783</v>
      </c>
      <c r="C3522" s="9" t="s">
        <v>959</v>
      </c>
      <c r="D3522" s="14" t="s">
        <v>6784</v>
      </c>
      <c r="E3522" s="9" t="s">
        <v>11</v>
      </c>
    </row>
    <row r="3523" spans="1:5" ht="15" customHeight="1" outlineLevel="2" x14ac:dyDescent="0.25">
      <c r="A3523" s="3" t="str">
        <f>HYPERLINK("http://mystore1.ru/price_items/search?utf8=%E2%9C%93&amp;oem=4123RGNR5FD","4123RGNR5FD")</f>
        <v>4123RGNR5FD</v>
      </c>
      <c r="B3523" s="1" t="s">
        <v>6785</v>
      </c>
      <c r="C3523" s="9" t="s">
        <v>959</v>
      </c>
      <c r="D3523" s="14" t="s">
        <v>6786</v>
      </c>
      <c r="E3523" s="9" t="s">
        <v>11</v>
      </c>
    </row>
    <row r="3524" spans="1:5" ht="15" customHeight="1" outlineLevel="2" x14ac:dyDescent="0.25">
      <c r="A3524" s="3" t="str">
        <f>HYPERLINK("http://mystore1.ru/price_items/search?utf8=%E2%9C%93&amp;oem=4123RGNR5RD","4123RGNR5RD")</f>
        <v>4123RGNR5RD</v>
      </c>
      <c r="B3524" s="1" t="s">
        <v>6787</v>
      </c>
      <c r="C3524" s="9" t="s">
        <v>959</v>
      </c>
      <c r="D3524" s="14" t="s">
        <v>6788</v>
      </c>
      <c r="E3524" s="9" t="s">
        <v>11</v>
      </c>
    </row>
    <row r="3525" spans="1:5" outlineLevel="1" x14ac:dyDescent="0.25">
      <c r="A3525" s="2"/>
      <c r="B3525" s="6" t="s">
        <v>6789</v>
      </c>
      <c r="C3525" s="8"/>
      <c r="D3525" s="8"/>
      <c r="E3525" s="8"/>
    </row>
    <row r="3526" spans="1:5" ht="15" customHeight="1" outlineLevel="2" x14ac:dyDescent="0.25">
      <c r="A3526" s="3" t="str">
        <f>HYPERLINK("http://mystore1.ru/price_items/search?utf8=%E2%9C%93&amp;oem=4133AGNBLHMV1B","4133AGNBLHMV1B")</f>
        <v>4133AGNBLHMV1B</v>
      </c>
      <c r="B3526" s="1" t="s">
        <v>6790</v>
      </c>
      <c r="C3526" s="9" t="s">
        <v>1786</v>
      </c>
      <c r="D3526" s="14" t="s">
        <v>6791</v>
      </c>
      <c r="E3526" s="9" t="s">
        <v>8</v>
      </c>
    </row>
    <row r="3527" spans="1:5" ht="15" customHeight="1" outlineLevel="2" x14ac:dyDescent="0.25">
      <c r="A3527" s="3" t="str">
        <f>HYPERLINK("http://mystore1.ru/price_items/search?utf8=%E2%9C%93&amp;oem=4133AGNBLHV","4133AGNBLHV")</f>
        <v>4133AGNBLHV</v>
      </c>
      <c r="B3527" s="1" t="s">
        <v>6792</v>
      </c>
      <c r="C3527" s="9" t="s">
        <v>1786</v>
      </c>
      <c r="D3527" s="14" t="s">
        <v>6793</v>
      </c>
      <c r="E3527" s="9" t="s">
        <v>8</v>
      </c>
    </row>
    <row r="3528" spans="1:5" ht="15" customHeight="1" outlineLevel="2" x14ac:dyDescent="0.25">
      <c r="A3528" s="3" t="str">
        <f>HYPERLINK("http://mystore1.ru/price_items/search?utf8=%E2%9C%93&amp;oem=4133AGNBLHV2C","4133AGNBLHV2C")</f>
        <v>4133AGNBLHV2C</v>
      </c>
      <c r="B3528" s="1" t="s">
        <v>6794</v>
      </c>
      <c r="C3528" s="9" t="s">
        <v>1786</v>
      </c>
      <c r="D3528" s="14" t="s">
        <v>6795</v>
      </c>
      <c r="E3528" s="9" t="s">
        <v>8</v>
      </c>
    </row>
    <row r="3529" spans="1:5" ht="15" customHeight="1" outlineLevel="2" x14ac:dyDescent="0.25">
      <c r="A3529" s="3" t="str">
        <f>HYPERLINK("http://mystore1.ru/price_items/search?utf8=%E2%9C%93&amp;oem=4133AGNBLMV1B","4133AGNBLMV1B")</f>
        <v>4133AGNBLMV1B</v>
      </c>
      <c r="B3529" s="1" t="s">
        <v>6796</v>
      </c>
      <c r="C3529" s="9" t="s">
        <v>1786</v>
      </c>
      <c r="D3529" s="14" t="s">
        <v>6797</v>
      </c>
      <c r="E3529" s="9" t="s">
        <v>8</v>
      </c>
    </row>
    <row r="3530" spans="1:5" ht="15" customHeight="1" outlineLevel="2" x14ac:dyDescent="0.25">
      <c r="A3530" s="3" t="str">
        <f>HYPERLINK("http://mystore1.ru/price_items/search?utf8=%E2%9C%93&amp;oem=4133AGNBLV","4133AGNBLV")</f>
        <v>4133AGNBLV</v>
      </c>
      <c r="B3530" s="1" t="s">
        <v>6798</v>
      </c>
      <c r="C3530" s="9" t="s">
        <v>1786</v>
      </c>
      <c r="D3530" s="14" t="s">
        <v>6799</v>
      </c>
      <c r="E3530" s="9" t="s">
        <v>8</v>
      </c>
    </row>
    <row r="3531" spans="1:5" ht="15" customHeight="1" outlineLevel="2" x14ac:dyDescent="0.25">
      <c r="A3531" s="3" t="str">
        <f>HYPERLINK("http://mystore1.ru/price_items/search?utf8=%E2%9C%93&amp;oem=4133BGNR","4133BGNR")</f>
        <v>4133BGNR</v>
      </c>
      <c r="B3531" s="1" t="s">
        <v>6800</v>
      </c>
      <c r="C3531" s="9" t="s">
        <v>1786</v>
      </c>
      <c r="D3531" s="14" t="s">
        <v>6801</v>
      </c>
      <c r="E3531" s="9" t="s">
        <v>30</v>
      </c>
    </row>
    <row r="3532" spans="1:5" ht="15" customHeight="1" outlineLevel="2" x14ac:dyDescent="0.25">
      <c r="A3532" s="3" t="str">
        <f>HYPERLINK("http://mystore1.ru/price_items/search?utf8=%E2%9C%93&amp;oem=4133LGNR5FD","4133LGNR5FD")</f>
        <v>4133LGNR5FD</v>
      </c>
      <c r="B3532" s="1" t="s">
        <v>6802</v>
      </c>
      <c r="C3532" s="9" t="s">
        <v>1786</v>
      </c>
      <c r="D3532" s="14" t="s">
        <v>6803</v>
      </c>
      <c r="E3532" s="9" t="s">
        <v>11</v>
      </c>
    </row>
    <row r="3533" spans="1:5" ht="15" customHeight="1" outlineLevel="2" x14ac:dyDescent="0.25">
      <c r="A3533" s="3" t="str">
        <f>HYPERLINK("http://mystore1.ru/price_items/search?utf8=%E2%9C%93&amp;oem=4133LGNR5RDW","4133LGNR5RDW")</f>
        <v>4133LGNR5RDW</v>
      </c>
      <c r="B3533" s="1" t="s">
        <v>6804</v>
      </c>
      <c r="C3533" s="9" t="s">
        <v>1786</v>
      </c>
      <c r="D3533" s="14" t="s">
        <v>6805</v>
      </c>
      <c r="E3533" s="9" t="s">
        <v>11</v>
      </c>
    </row>
    <row r="3534" spans="1:5" ht="15" customHeight="1" outlineLevel="2" x14ac:dyDescent="0.25">
      <c r="A3534" s="3" t="str">
        <f>HYPERLINK("http://mystore1.ru/price_items/search?utf8=%E2%9C%93&amp;oem=4133LGNR5RV","4133LGNR5RV")</f>
        <v>4133LGNR5RV</v>
      </c>
      <c r="B3534" s="1" t="s">
        <v>6806</v>
      </c>
      <c r="C3534" s="9" t="s">
        <v>1786</v>
      </c>
      <c r="D3534" s="14" t="s">
        <v>6807</v>
      </c>
      <c r="E3534" s="9" t="s">
        <v>11</v>
      </c>
    </row>
    <row r="3535" spans="1:5" ht="15" customHeight="1" outlineLevel="2" x14ac:dyDescent="0.25">
      <c r="A3535" s="3" t="str">
        <f>HYPERLINK("http://mystore1.ru/price_items/search?utf8=%E2%9C%93&amp;oem=4133RGNR5FD","4133RGNR5FD")</f>
        <v>4133RGNR5FD</v>
      </c>
      <c r="B3535" s="1" t="s">
        <v>6808</v>
      </c>
      <c r="C3535" s="9" t="s">
        <v>1786</v>
      </c>
      <c r="D3535" s="14" t="s">
        <v>6809</v>
      </c>
      <c r="E3535" s="9" t="s">
        <v>11</v>
      </c>
    </row>
    <row r="3536" spans="1:5" ht="15" customHeight="1" outlineLevel="2" x14ac:dyDescent="0.25">
      <c r="A3536" s="3" t="str">
        <f>HYPERLINK("http://mystore1.ru/price_items/search?utf8=%E2%9C%93&amp;oem=4133RGNR5RDW","4133RGNR5RDW")</f>
        <v>4133RGNR5RDW</v>
      </c>
      <c r="B3536" s="1" t="s">
        <v>6810</v>
      </c>
      <c r="C3536" s="9" t="s">
        <v>1786</v>
      </c>
      <c r="D3536" s="14" t="s">
        <v>6811</v>
      </c>
      <c r="E3536" s="9" t="s">
        <v>11</v>
      </c>
    </row>
    <row r="3537" spans="1:5" ht="15" customHeight="1" outlineLevel="2" x14ac:dyDescent="0.25">
      <c r="A3537" s="3" t="str">
        <f>HYPERLINK("http://mystore1.ru/price_items/search?utf8=%E2%9C%93&amp;oem=4133RGNR5RV","4133RGNR5RV")</f>
        <v>4133RGNR5RV</v>
      </c>
      <c r="B3537" s="1" t="s">
        <v>6812</v>
      </c>
      <c r="C3537" s="9" t="s">
        <v>1786</v>
      </c>
      <c r="D3537" s="14" t="s">
        <v>6813</v>
      </c>
      <c r="E3537" s="9" t="s">
        <v>11</v>
      </c>
    </row>
    <row r="3538" spans="1:5" outlineLevel="1" x14ac:dyDescent="0.25">
      <c r="A3538" s="2"/>
      <c r="B3538" s="6" t="s">
        <v>6814</v>
      </c>
      <c r="C3538" s="8"/>
      <c r="D3538" s="8"/>
      <c r="E3538" s="8"/>
    </row>
    <row r="3539" spans="1:5" ht="15" customHeight="1" outlineLevel="2" x14ac:dyDescent="0.25">
      <c r="A3539" s="3" t="str">
        <f>HYPERLINK("http://mystore1.ru/price_items/search?utf8=%E2%9C%93&amp;oem=41A1AGNBL","41A1AGNBL")</f>
        <v>41A1AGNBL</v>
      </c>
      <c r="B3539" s="1" t="s">
        <v>6815</v>
      </c>
      <c r="C3539" s="9" t="s">
        <v>25</v>
      </c>
      <c r="D3539" s="14" t="s">
        <v>6816</v>
      </c>
      <c r="E3539" s="9" t="s">
        <v>8</v>
      </c>
    </row>
    <row r="3540" spans="1:5" outlineLevel="1" x14ac:dyDescent="0.25">
      <c r="A3540" s="2"/>
      <c r="B3540" s="6" t="s">
        <v>6817</v>
      </c>
      <c r="C3540" s="8"/>
      <c r="D3540" s="8"/>
      <c r="E3540" s="8"/>
    </row>
    <row r="3541" spans="1:5" ht="15" customHeight="1" outlineLevel="2" x14ac:dyDescent="0.25">
      <c r="A3541" s="3" t="str">
        <f>HYPERLINK("http://mystore1.ru/price_items/search?utf8=%E2%9C%93&amp;oem=4150AGNBLHV","4150AGNBLHV")</f>
        <v>4150AGNBLHV</v>
      </c>
      <c r="B3541" s="1" t="s">
        <v>6818</v>
      </c>
      <c r="C3541" s="9" t="s">
        <v>601</v>
      </c>
      <c r="D3541" s="14" t="s">
        <v>6819</v>
      </c>
      <c r="E3541" s="9" t="s">
        <v>8</v>
      </c>
    </row>
    <row r="3542" spans="1:5" outlineLevel="1" x14ac:dyDescent="0.25">
      <c r="A3542" s="2"/>
      <c r="B3542" s="6" t="s">
        <v>6820</v>
      </c>
      <c r="C3542" s="8"/>
      <c r="D3542" s="8"/>
      <c r="E3542" s="8"/>
    </row>
    <row r="3543" spans="1:5" ht="15" customHeight="1" outlineLevel="2" x14ac:dyDescent="0.25">
      <c r="A3543" s="3" t="str">
        <f>HYPERLINK("http://mystore1.ru/price_items/search?utf8=%E2%9C%93&amp;oem=4103AGNBL","4103AGNBL")</f>
        <v>4103AGNBL</v>
      </c>
      <c r="B3543" s="1" t="s">
        <v>6821</v>
      </c>
      <c r="C3543" s="9" t="s">
        <v>4307</v>
      </c>
      <c r="D3543" s="14" t="s">
        <v>6822</v>
      </c>
      <c r="E3543" s="9" t="s">
        <v>8</v>
      </c>
    </row>
    <row r="3544" spans="1:5" ht="15" customHeight="1" outlineLevel="2" x14ac:dyDescent="0.25">
      <c r="A3544" s="3" t="str">
        <f>HYPERLINK("http://mystore1.ru/price_items/search?utf8=%E2%9C%93&amp;oem=4103BGNS","4103BGNS")</f>
        <v>4103BGNS</v>
      </c>
      <c r="B3544" s="1" t="s">
        <v>6823</v>
      </c>
      <c r="C3544" s="9" t="s">
        <v>4307</v>
      </c>
      <c r="D3544" s="14" t="s">
        <v>6824</v>
      </c>
      <c r="E3544" s="9" t="s">
        <v>30</v>
      </c>
    </row>
    <row r="3545" spans="1:5" ht="15" customHeight="1" outlineLevel="2" x14ac:dyDescent="0.25">
      <c r="A3545" s="3" t="str">
        <f>HYPERLINK("http://mystore1.ru/price_items/search?utf8=%E2%9C%93&amp;oem=4103LGNS4FD","4103LGNS4FD")</f>
        <v>4103LGNS4FD</v>
      </c>
      <c r="B3545" s="1" t="s">
        <v>6825</v>
      </c>
      <c r="C3545" s="9" t="s">
        <v>4307</v>
      </c>
      <c r="D3545" s="14" t="s">
        <v>6826</v>
      </c>
      <c r="E3545" s="9" t="s">
        <v>11</v>
      </c>
    </row>
    <row r="3546" spans="1:5" ht="15" customHeight="1" outlineLevel="2" x14ac:dyDescent="0.25">
      <c r="A3546" s="3" t="str">
        <f>HYPERLINK("http://mystore1.ru/price_items/search?utf8=%E2%9C%93&amp;oem=4103LGNS4RD","4103LGNS4RD")</f>
        <v>4103LGNS4RD</v>
      </c>
      <c r="B3546" s="1" t="s">
        <v>6827</v>
      </c>
      <c r="C3546" s="9" t="s">
        <v>4307</v>
      </c>
      <c r="D3546" s="14" t="s">
        <v>6828</v>
      </c>
      <c r="E3546" s="9" t="s">
        <v>11</v>
      </c>
    </row>
    <row r="3547" spans="1:5" ht="15" customHeight="1" outlineLevel="2" x14ac:dyDescent="0.25">
      <c r="A3547" s="3" t="str">
        <f>HYPERLINK("http://mystore1.ru/price_items/search?utf8=%E2%9C%93&amp;oem=4103RGNS4FD","4103RGNS4FD")</f>
        <v>4103RGNS4FD</v>
      </c>
      <c r="B3547" s="1" t="s">
        <v>6829</v>
      </c>
      <c r="C3547" s="9" t="s">
        <v>4307</v>
      </c>
      <c r="D3547" s="14" t="s">
        <v>6830</v>
      </c>
      <c r="E3547" s="9" t="s">
        <v>11</v>
      </c>
    </row>
    <row r="3548" spans="1:5" outlineLevel="1" x14ac:dyDescent="0.25">
      <c r="A3548" s="2"/>
      <c r="B3548" s="6" t="s">
        <v>6831</v>
      </c>
      <c r="C3548" s="8"/>
      <c r="D3548" s="8"/>
      <c r="E3548" s="8"/>
    </row>
    <row r="3549" spans="1:5" ht="15" customHeight="1" outlineLevel="2" x14ac:dyDescent="0.25">
      <c r="A3549" s="3" t="str">
        <f>HYPERLINK("http://mystore1.ru/price_items/search?utf8=%E2%9C%93&amp;oem=4108AGN","4108AGN")</f>
        <v>4108AGN</v>
      </c>
      <c r="B3549" s="1" t="s">
        <v>6832</v>
      </c>
      <c r="C3549" s="9" t="s">
        <v>623</v>
      </c>
      <c r="D3549" s="14" t="s">
        <v>6833</v>
      </c>
      <c r="E3549" s="9" t="s">
        <v>8</v>
      </c>
    </row>
    <row r="3550" spans="1:5" ht="15" customHeight="1" outlineLevel="2" x14ac:dyDescent="0.25">
      <c r="A3550" s="3" t="str">
        <f>HYPERLINK("http://mystore1.ru/price_items/search?utf8=%E2%9C%93&amp;oem=4108AGNBL","4108AGNBL")</f>
        <v>4108AGNBL</v>
      </c>
      <c r="B3550" s="1" t="s">
        <v>6834</v>
      </c>
      <c r="C3550" s="9" t="s">
        <v>623</v>
      </c>
      <c r="D3550" s="14" t="s">
        <v>6835</v>
      </c>
      <c r="E3550" s="9" t="s">
        <v>8</v>
      </c>
    </row>
    <row r="3551" spans="1:5" ht="15" customHeight="1" outlineLevel="2" x14ac:dyDescent="0.25">
      <c r="A3551" s="3" t="str">
        <f>HYPERLINK("http://mystore1.ru/price_items/search?utf8=%E2%9C%93&amp;oem=4108AGNBL1C","4108AGNBL1C")</f>
        <v>4108AGNBL1C</v>
      </c>
      <c r="B3551" s="1" t="s">
        <v>6836</v>
      </c>
      <c r="C3551" s="9" t="s">
        <v>623</v>
      </c>
      <c r="D3551" s="14" t="s">
        <v>6837</v>
      </c>
      <c r="E3551" s="9" t="s">
        <v>8</v>
      </c>
    </row>
    <row r="3552" spans="1:5" ht="15" customHeight="1" outlineLevel="2" x14ac:dyDescent="0.25">
      <c r="A3552" s="3" t="str">
        <f>HYPERLINK("http://mystore1.ru/price_items/search?utf8=%E2%9C%93&amp;oem=4108AKMS","4108AKMS")</f>
        <v>4108AKMS</v>
      </c>
      <c r="B3552" s="1" t="s">
        <v>6838</v>
      </c>
      <c r="C3552" s="9" t="s">
        <v>25</v>
      </c>
      <c r="D3552" s="14" t="s">
        <v>6839</v>
      </c>
      <c r="E3552" s="9" t="s">
        <v>27</v>
      </c>
    </row>
    <row r="3553" spans="1:5" ht="15" customHeight="1" outlineLevel="2" x14ac:dyDescent="0.25">
      <c r="A3553" s="3" t="str">
        <f>HYPERLINK("http://mystore1.ru/price_items/search?utf8=%E2%9C%93&amp;oem=4108AKMSC","4108AKMSC")</f>
        <v>4108AKMSC</v>
      </c>
      <c r="B3553" s="1" t="s">
        <v>6840</v>
      </c>
      <c r="C3553" s="9" t="s">
        <v>25</v>
      </c>
      <c r="D3553" s="14" t="s">
        <v>6841</v>
      </c>
      <c r="E3553" s="9" t="s">
        <v>27</v>
      </c>
    </row>
    <row r="3554" spans="1:5" ht="15" customHeight="1" outlineLevel="2" x14ac:dyDescent="0.25">
      <c r="A3554" s="3" t="str">
        <f>HYPERLINK("http://mystore1.ru/price_items/search?utf8=%E2%9C%93&amp;oem=4108LGNS4FD","4108LGNS4FD")</f>
        <v>4108LGNS4FD</v>
      </c>
      <c r="B3554" s="1" t="s">
        <v>6842</v>
      </c>
      <c r="C3554" s="9" t="s">
        <v>623</v>
      </c>
      <c r="D3554" s="14" t="s">
        <v>6843</v>
      </c>
      <c r="E3554" s="9" t="s">
        <v>11</v>
      </c>
    </row>
    <row r="3555" spans="1:5" ht="15" customHeight="1" outlineLevel="2" x14ac:dyDescent="0.25">
      <c r="A3555" s="3" t="str">
        <f>HYPERLINK("http://mystore1.ru/price_items/search?utf8=%E2%9C%93&amp;oem=4108LGNS4RD","4108LGNS4RD")</f>
        <v>4108LGNS4RD</v>
      </c>
      <c r="B3555" s="1" t="s">
        <v>6844</v>
      </c>
      <c r="C3555" s="9" t="s">
        <v>623</v>
      </c>
      <c r="D3555" s="14" t="s">
        <v>6845</v>
      </c>
      <c r="E3555" s="9" t="s">
        <v>11</v>
      </c>
    </row>
    <row r="3556" spans="1:5" ht="15" customHeight="1" outlineLevel="2" x14ac:dyDescent="0.25">
      <c r="A3556" s="3" t="str">
        <f>HYPERLINK("http://mystore1.ru/price_items/search?utf8=%E2%9C%93&amp;oem=4108RBLS4RV","4108RBLS4RV")</f>
        <v>4108RBLS4RV</v>
      </c>
      <c r="B3556" s="1" t="s">
        <v>6846</v>
      </c>
      <c r="C3556" s="9" t="s">
        <v>623</v>
      </c>
      <c r="D3556" s="14" t="s">
        <v>6847</v>
      </c>
      <c r="E3556" s="9" t="s">
        <v>11</v>
      </c>
    </row>
    <row r="3557" spans="1:5" ht="15" customHeight="1" outlineLevel="2" x14ac:dyDescent="0.25">
      <c r="A3557" s="3" t="str">
        <f>HYPERLINK("http://mystore1.ru/price_items/search?utf8=%E2%9C%93&amp;oem=4108RGNS4FD","4108RGNS4FD")</f>
        <v>4108RGNS4FD</v>
      </c>
      <c r="B3557" s="1" t="s">
        <v>6848</v>
      </c>
      <c r="C3557" s="9" t="s">
        <v>623</v>
      </c>
      <c r="D3557" s="14" t="s">
        <v>6849</v>
      </c>
      <c r="E3557" s="9" t="s">
        <v>11</v>
      </c>
    </row>
    <row r="3558" spans="1:5" outlineLevel="1" x14ac:dyDescent="0.25">
      <c r="A3558" s="2"/>
      <c r="B3558" s="6" t="s">
        <v>6850</v>
      </c>
      <c r="C3558" s="8"/>
      <c r="D3558" s="8"/>
      <c r="E3558" s="8"/>
    </row>
    <row r="3559" spans="1:5" ht="15" customHeight="1" outlineLevel="2" x14ac:dyDescent="0.25">
      <c r="A3559" s="3" t="str">
        <f>HYPERLINK("http://mystore1.ru/price_items/search?utf8=%E2%9C%93&amp;oem=4117AGNBL","4117AGNBL")</f>
        <v>4117AGNBL</v>
      </c>
      <c r="B3559" s="1" t="s">
        <v>6851</v>
      </c>
      <c r="C3559" s="9" t="s">
        <v>2031</v>
      </c>
      <c r="D3559" s="14" t="s">
        <v>6852</v>
      </c>
      <c r="E3559" s="9" t="s">
        <v>8</v>
      </c>
    </row>
    <row r="3560" spans="1:5" ht="15" customHeight="1" outlineLevel="2" x14ac:dyDescent="0.25">
      <c r="A3560" s="3" t="str">
        <f>HYPERLINK("http://mystore1.ru/price_items/search?utf8=%E2%9C%93&amp;oem=4117ASMS","4117ASMS")</f>
        <v>4117ASMS</v>
      </c>
      <c r="B3560" s="1" t="s">
        <v>6853</v>
      </c>
      <c r="C3560" s="9" t="s">
        <v>25</v>
      </c>
      <c r="D3560" s="14" t="s">
        <v>6854</v>
      </c>
      <c r="E3560" s="9" t="s">
        <v>27</v>
      </c>
    </row>
    <row r="3561" spans="1:5" ht="15" customHeight="1" outlineLevel="2" x14ac:dyDescent="0.25">
      <c r="A3561" s="3" t="str">
        <f>HYPERLINK("http://mystore1.ru/price_items/search?utf8=%E2%9C%93&amp;oem=4117BGNS","4117BGNS")</f>
        <v>4117BGNS</v>
      </c>
      <c r="B3561" s="1" t="s">
        <v>6855</v>
      </c>
      <c r="C3561" s="9" t="s">
        <v>2031</v>
      </c>
      <c r="D3561" s="14" t="s">
        <v>6856</v>
      </c>
      <c r="E3561" s="9" t="s">
        <v>30</v>
      </c>
    </row>
    <row r="3562" spans="1:5" ht="15" customHeight="1" outlineLevel="2" x14ac:dyDescent="0.25">
      <c r="A3562" s="3" t="str">
        <f>HYPERLINK("http://mystore1.ru/price_items/search?utf8=%E2%9C%93&amp;oem=4117LGNS4FDW","4117LGNS4FDW")</f>
        <v>4117LGNS4FDW</v>
      </c>
      <c r="B3562" s="1" t="s">
        <v>6857</v>
      </c>
      <c r="C3562" s="9" t="s">
        <v>2031</v>
      </c>
      <c r="D3562" s="14" t="s">
        <v>6858</v>
      </c>
      <c r="E3562" s="9" t="s">
        <v>11</v>
      </c>
    </row>
    <row r="3563" spans="1:5" ht="15" customHeight="1" outlineLevel="2" x14ac:dyDescent="0.25">
      <c r="A3563" s="3" t="str">
        <f>HYPERLINK("http://mystore1.ru/price_items/search?utf8=%E2%9C%93&amp;oem=4117LGNS4RDW","4117LGNS4RDW")</f>
        <v>4117LGNS4RDW</v>
      </c>
      <c r="B3563" s="1" t="s">
        <v>6859</v>
      </c>
      <c r="C3563" s="9" t="s">
        <v>2031</v>
      </c>
      <c r="D3563" s="14" t="s">
        <v>6860</v>
      </c>
      <c r="E3563" s="9" t="s">
        <v>11</v>
      </c>
    </row>
    <row r="3564" spans="1:5" ht="15" customHeight="1" outlineLevel="2" x14ac:dyDescent="0.25">
      <c r="A3564" s="3" t="str">
        <f>HYPERLINK("http://mystore1.ru/price_items/search?utf8=%E2%9C%93&amp;oem=4117RGNS4FDW","4117RGNS4FDW")</f>
        <v>4117RGNS4FDW</v>
      </c>
      <c r="B3564" s="1" t="s">
        <v>6861</v>
      </c>
      <c r="C3564" s="9" t="s">
        <v>2031</v>
      </c>
      <c r="D3564" s="14" t="s">
        <v>6862</v>
      </c>
      <c r="E3564" s="9" t="s">
        <v>11</v>
      </c>
    </row>
    <row r="3565" spans="1:5" ht="15" customHeight="1" outlineLevel="2" x14ac:dyDescent="0.25">
      <c r="A3565" s="3" t="str">
        <f>HYPERLINK("http://mystore1.ru/price_items/search?utf8=%E2%9C%93&amp;oem=4117RGNS4RDW","4117RGNS4RDW")</f>
        <v>4117RGNS4RDW</v>
      </c>
      <c r="B3565" s="1" t="s">
        <v>6863</v>
      </c>
      <c r="C3565" s="9" t="s">
        <v>2031</v>
      </c>
      <c r="D3565" s="14" t="s">
        <v>6864</v>
      </c>
      <c r="E3565" s="9" t="s">
        <v>11</v>
      </c>
    </row>
    <row r="3566" spans="1:5" outlineLevel="1" x14ac:dyDescent="0.25">
      <c r="A3566" s="2"/>
      <c r="B3566" s="6" t="s">
        <v>6865</v>
      </c>
      <c r="C3566" s="8"/>
      <c r="D3566" s="8"/>
      <c r="E3566" s="8"/>
    </row>
    <row r="3567" spans="1:5" ht="15" customHeight="1" outlineLevel="2" x14ac:dyDescent="0.25">
      <c r="A3567" s="3" t="str">
        <f>HYPERLINK("http://mystore1.ru/price_items/search?utf8=%E2%9C%93&amp;oem=4124AGNBL","4124AGNBL")</f>
        <v>4124AGNBL</v>
      </c>
      <c r="B3567" s="1" t="s">
        <v>6866</v>
      </c>
      <c r="C3567" s="9" t="s">
        <v>1147</v>
      </c>
      <c r="D3567" s="14" t="s">
        <v>6867</v>
      </c>
      <c r="E3567" s="9" t="s">
        <v>8</v>
      </c>
    </row>
    <row r="3568" spans="1:5" ht="15" customHeight="1" outlineLevel="2" x14ac:dyDescent="0.25">
      <c r="A3568" s="3" t="str">
        <f>HYPERLINK("http://mystore1.ru/price_items/search?utf8=%E2%9C%93&amp;oem=4124ASMR","4124ASMR")</f>
        <v>4124ASMR</v>
      </c>
      <c r="B3568" s="1" t="s">
        <v>6868</v>
      </c>
      <c r="C3568" s="9" t="s">
        <v>25</v>
      </c>
      <c r="D3568" s="14" t="s">
        <v>6869</v>
      </c>
      <c r="E3568" s="9" t="s">
        <v>27</v>
      </c>
    </row>
    <row r="3569" spans="1:5" ht="15" customHeight="1" outlineLevel="2" x14ac:dyDescent="0.25">
      <c r="A3569" s="3" t="str">
        <f>HYPERLINK("http://mystore1.ru/price_items/search?utf8=%E2%9C%93&amp;oem=4124LGNR5FD","4124LGNR5FD")</f>
        <v>4124LGNR5FD</v>
      </c>
      <c r="B3569" s="1" t="s">
        <v>6870</v>
      </c>
      <c r="C3569" s="9" t="s">
        <v>1147</v>
      </c>
      <c r="D3569" s="14" t="s">
        <v>6871</v>
      </c>
      <c r="E3569" s="9" t="s">
        <v>11</v>
      </c>
    </row>
    <row r="3570" spans="1:5" ht="15" customHeight="1" outlineLevel="2" x14ac:dyDescent="0.25">
      <c r="A3570" s="3" t="str">
        <f>HYPERLINK("http://mystore1.ru/price_items/search?utf8=%E2%9C%93&amp;oem=4124LGNR5RD","4124LGNR5RD")</f>
        <v>4124LGNR5RD</v>
      </c>
      <c r="B3570" s="1" t="s">
        <v>6872</v>
      </c>
      <c r="C3570" s="9" t="s">
        <v>1147</v>
      </c>
      <c r="D3570" s="14" t="s">
        <v>6873</v>
      </c>
      <c r="E3570" s="9" t="s">
        <v>11</v>
      </c>
    </row>
    <row r="3571" spans="1:5" ht="15" customHeight="1" outlineLevel="2" x14ac:dyDescent="0.25">
      <c r="A3571" s="3" t="str">
        <f>HYPERLINK("http://mystore1.ru/price_items/search?utf8=%E2%9C%93&amp;oem=4124LGNR5RV","4124LGNR5RV")</f>
        <v>4124LGNR5RV</v>
      </c>
      <c r="B3571" s="1" t="s">
        <v>6874</v>
      </c>
      <c r="C3571" s="9" t="s">
        <v>1147</v>
      </c>
      <c r="D3571" s="14" t="s">
        <v>6875</v>
      </c>
      <c r="E3571" s="9" t="s">
        <v>11</v>
      </c>
    </row>
    <row r="3572" spans="1:5" ht="15" customHeight="1" outlineLevel="2" x14ac:dyDescent="0.25">
      <c r="A3572" s="3" t="str">
        <f>HYPERLINK("http://mystore1.ru/price_items/search?utf8=%E2%9C%93&amp;oem=4124RGNR5FD","4124RGNR5FD")</f>
        <v>4124RGNR5FD</v>
      </c>
      <c r="B3572" s="1" t="s">
        <v>6876</v>
      </c>
      <c r="C3572" s="9" t="s">
        <v>1147</v>
      </c>
      <c r="D3572" s="14" t="s">
        <v>6877</v>
      </c>
      <c r="E3572" s="9" t="s">
        <v>11</v>
      </c>
    </row>
    <row r="3573" spans="1:5" ht="15" customHeight="1" outlineLevel="2" x14ac:dyDescent="0.25">
      <c r="A3573" s="3" t="str">
        <f>HYPERLINK("http://mystore1.ru/price_items/search?utf8=%E2%9C%93&amp;oem=4124RGNR5RD","4124RGNR5RD")</f>
        <v>4124RGNR5RD</v>
      </c>
      <c r="B3573" s="1" t="s">
        <v>6878</v>
      </c>
      <c r="C3573" s="9" t="s">
        <v>1147</v>
      </c>
      <c r="D3573" s="14" t="s">
        <v>6879</v>
      </c>
      <c r="E3573" s="9" t="s">
        <v>11</v>
      </c>
    </row>
    <row r="3574" spans="1:5" ht="15" customHeight="1" outlineLevel="2" x14ac:dyDescent="0.25">
      <c r="A3574" s="3" t="str">
        <f>HYPERLINK("http://mystore1.ru/price_items/search?utf8=%E2%9C%93&amp;oem=4124RGNR5RV","4124RGNR5RV")</f>
        <v>4124RGNR5RV</v>
      </c>
      <c r="B3574" s="1" t="s">
        <v>6880</v>
      </c>
      <c r="C3574" s="9" t="s">
        <v>1147</v>
      </c>
      <c r="D3574" s="14" t="s">
        <v>6881</v>
      </c>
      <c r="E3574" s="9" t="s">
        <v>11</v>
      </c>
    </row>
    <row r="3575" spans="1:5" outlineLevel="1" x14ac:dyDescent="0.25">
      <c r="A3575" s="2"/>
      <c r="B3575" s="6" t="s">
        <v>6882</v>
      </c>
      <c r="C3575" s="8"/>
      <c r="D3575" s="8"/>
      <c r="E3575" s="8"/>
    </row>
    <row r="3576" spans="1:5" ht="15" customHeight="1" outlineLevel="2" x14ac:dyDescent="0.25">
      <c r="A3576" s="3" t="str">
        <f>HYPERLINK("http://mystore1.ru/price_items/search?utf8=%E2%9C%93&amp;oem=4120AGNBL","4120AGNBL")</f>
        <v>4120AGNBL</v>
      </c>
      <c r="B3576" s="1" t="s">
        <v>6883</v>
      </c>
      <c r="C3576" s="9" t="s">
        <v>1403</v>
      </c>
      <c r="D3576" s="14" t="s">
        <v>6884</v>
      </c>
      <c r="E3576" s="9" t="s">
        <v>8</v>
      </c>
    </row>
    <row r="3577" spans="1:5" ht="15" customHeight="1" outlineLevel="2" x14ac:dyDescent="0.25">
      <c r="A3577" s="3" t="str">
        <f>HYPERLINK("http://mystore1.ru/price_items/search?utf8=%E2%9C%93&amp;oem=4120ASMV","4120ASMV")</f>
        <v>4120ASMV</v>
      </c>
      <c r="B3577" s="1" t="s">
        <v>6885</v>
      </c>
      <c r="C3577" s="9" t="s">
        <v>25</v>
      </c>
      <c r="D3577" s="14" t="s">
        <v>6886</v>
      </c>
      <c r="E3577" s="9" t="s">
        <v>27</v>
      </c>
    </row>
    <row r="3578" spans="1:5" ht="15" customHeight="1" outlineLevel="2" x14ac:dyDescent="0.25">
      <c r="A3578" s="3" t="str">
        <f>HYPERLINK("http://mystore1.ru/price_items/search?utf8=%E2%9C%93&amp;oem=4120LGNV5FDW","4120LGNV5FDW")</f>
        <v>4120LGNV5FDW</v>
      </c>
      <c r="B3578" s="1" t="s">
        <v>6887</v>
      </c>
      <c r="C3578" s="9" t="s">
        <v>1403</v>
      </c>
      <c r="D3578" s="14" t="s">
        <v>6888</v>
      </c>
      <c r="E3578" s="9" t="s">
        <v>11</v>
      </c>
    </row>
    <row r="3579" spans="1:5" ht="15" customHeight="1" outlineLevel="2" x14ac:dyDescent="0.25">
      <c r="A3579" s="3" t="str">
        <f>HYPERLINK("http://mystore1.ru/price_items/search?utf8=%E2%9C%93&amp;oem=4120LGNV5RDW","4120LGNV5RDW")</f>
        <v>4120LGNV5RDW</v>
      </c>
      <c r="B3579" s="1" t="s">
        <v>6889</v>
      </c>
      <c r="C3579" s="9" t="s">
        <v>1403</v>
      </c>
      <c r="D3579" s="14" t="s">
        <v>6890</v>
      </c>
      <c r="E3579" s="9" t="s">
        <v>11</v>
      </c>
    </row>
    <row r="3580" spans="1:5" ht="15" customHeight="1" outlineLevel="2" x14ac:dyDescent="0.25">
      <c r="A3580" s="3" t="str">
        <f>HYPERLINK("http://mystore1.ru/price_items/search?utf8=%E2%9C%93&amp;oem=4120RGNV5FDW","4120RGNV5FDW")</f>
        <v>4120RGNV5FDW</v>
      </c>
      <c r="B3580" s="1" t="s">
        <v>6891</v>
      </c>
      <c r="C3580" s="9" t="s">
        <v>1403</v>
      </c>
      <c r="D3580" s="14" t="s">
        <v>6892</v>
      </c>
      <c r="E3580" s="9" t="s">
        <v>11</v>
      </c>
    </row>
    <row r="3581" spans="1:5" outlineLevel="1" x14ac:dyDescent="0.25">
      <c r="A3581" s="2"/>
      <c r="B3581" s="6" t="s">
        <v>6893</v>
      </c>
      <c r="C3581" s="8"/>
      <c r="D3581" s="8"/>
      <c r="E3581" s="8"/>
    </row>
    <row r="3582" spans="1:5" ht="15" customHeight="1" outlineLevel="2" x14ac:dyDescent="0.25">
      <c r="A3582" s="3" t="str">
        <f>HYPERLINK("http://mystore1.ru/price_items/search?utf8=%E2%9C%93&amp;oem=4129AGNBLHV","4129AGNBLHV")</f>
        <v>4129AGNBLHV</v>
      </c>
      <c r="B3582" s="1" t="s">
        <v>6894</v>
      </c>
      <c r="C3582" s="9" t="s">
        <v>212</v>
      </c>
      <c r="D3582" s="14" t="s">
        <v>6895</v>
      </c>
      <c r="E3582" s="9" t="s">
        <v>8</v>
      </c>
    </row>
    <row r="3583" spans="1:5" ht="15" customHeight="1" outlineLevel="2" x14ac:dyDescent="0.25">
      <c r="A3583" s="3" t="str">
        <f>HYPERLINK("http://mystore1.ru/price_items/search?utf8=%E2%9C%93&amp;oem=4129AGNBLHV1H","4129AGNBLHV1H")</f>
        <v>4129AGNBLHV1H</v>
      </c>
      <c r="B3583" s="1" t="s">
        <v>6896</v>
      </c>
      <c r="C3583" s="9" t="s">
        <v>212</v>
      </c>
      <c r="D3583" s="14" t="s">
        <v>6895</v>
      </c>
      <c r="E3583" s="9" t="s">
        <v>8</v>
      </c>
    </row>
    <row r="3584" spans="1:5" ht="15" customHeight="1" outlineLevel="2" x14ac:dyDescent="0.25">
      <c r="A3584" s="3" t="str">
        <f>HYPERLINK("http://mystore1.ru/price_items/search?utf8=%E2%9C%93&amp;oem=4129AGNBLV","4129AGNBLV")</f>
        <v>4129AGNBLV</v>
      </c>
      <c r="B3584" s="1" t="s">
        <v>6897</v>
      </c>
      <c r="C3584" s="9" t="s">
        <v>212</v>
      </c>
      <c r="D3584" s="14" t="s">
        <v>6898</v>
      </c>
      <c r="E3584" s="9" t="s">
        <v>8</v>
      </c>
    </row>
    <row r="3585" spans="1:5" ht="15" customHeight="1" outlineLevel="2" x14ac:dyDescent="0.25">
      <c r="A3585" s="3" t="str">
        <f>HYPERLINK("http://mystore1.ru/price_items/search?utf8=%E2%9C%93&amp;oem=4129ASMR","4129ASMR")</f>
        <v>4129ASMR</v>
      </c>
      <c r="B3585" s="1" t="s">
        <v>6899</v>
      </c>
      <c r="C3585" s="9" t="s">
        <v>25</v>
      </c>
      <c r="D3585" s="14" t="s">
        <v>6900</v>
      </c>
      <c r="E3585" s="9" t="s">
        <v>27</v>
      </c>
    </row>
    <row r="3586" spans="1:5" ht="15" customHeight="1" outlineLevel="2" x14ac:dyDescent="0.25">
      <c r="A3586" s="3" t="str">
        <f>HYPERLINK("http://mystore1.ru/price_items/search?utf8=%E2%9C%93&amp;oem=4129LGNR5FDW1M","4129LGNR5FDW1M")</f>
        <v>4129LGNR5FDW1M</v>
      </c>
      <c r="B3586" s="1" t="s">
        <v>6901</v>
      </c>
      <c r="C3586" s="9" t="s">
        <v>212</v>
      </c>
      <c r="D3586" s="14" t="s">
        <v>6902</v>
      </c>
      <c r="E3586" s="9" t="s">
        <v>11</v>
      </c>
    </row>
    <row r="3587" spans="1:5" ht="15" customHeight="1" outlineLevel="2" x14ac:dyDescent="0.25">
      <c r="A3587" s="3" t="str">
        <f>HYPERLINK("http://mystore1.ru/price_items/search?utf8=%E2%9C%93&amp;oem=4129LGNR5RDW","4129LGNR5RDW")</f>
        <v>4129LGNR5RDW</v>
      </c>
      <c r="B3587" s="1" t="s">
        <v>6903</v>
      </c>
      <c r="C3587" s="9" t="s">
        <v>212</v>
      </c>
      <c r="D3587" s="14" t="s">
        <v>6904</v>
      </c>
      <c r="E3587" s="9" t="s">
        <v>11</v>
      </c>
    </row>
    <row r="3588" spans="1:5" ht="15" customHeight="1" outlineLevel="2" x14ac:dyDescent="0.25">
      <c r="A3588" s="3" t="str">
        <f>HYPERLINK("http://mystore1.ru/price_items/search?utf8=%E2%9C%93&amp;oem=4129LYPR5RDW","4129LYPR5RDW")</f>
        <v>4129LYPR5RDW</v>
      </c>
      <c r="B3588" s="1" t="s">
        <v>6905</v>
      </c>
      <c r="C3588" s="9" t="s">
        <v>212</v>
      </c>
      <c r="D3588" s="14" t="s">
        <v>6906</v>
      </c>
      <c r="E3588" s="9" t="s">
        <v>11</v>
      </c>
    </row>
    <row r="3589" spans="1:5" ht="15" customHeight="1" outlineLevel="2" x14ac:dyDescent="0.25">
      <c r="A3589" s="3" t="str">
        <f>HYPERLINK("http://mystore1.ru/price_items/search?utf8=%E2%9C%93&amp;oem=4129RGNR5FDW1M","4129RGNR5FDW1M")</f>
        <v>4129RGNR5FDW1M</v>
      </c>
      <c r="B3589" s="1" t="s">
        <v>6907</v>
      </c>
      <c r="C3589" s="9" t="s">
        <v>212</v>
      </c>
      <c r="D3589" s="14" t="s">
        <v>6908</v>
      </c>
      <c r="E3589" s="9" t="s">
        <v>11</v>
      </c>
    </row>
    <row r="3590" spans="1:5" ht="15" customHeight="1" outlineLevel="2" x14ac:dyDescent="0.25">
      <c r="A3590" s="3" t="str">
        <f>HYPERLINK("http://mystore1.ru/price_items/search?utf8=%E2%9C%93&amp;oem=4129RGNR5RDW","4129RGNR5RDW")</f>
        <v>4129RGNR5RDW</v>
      </c>
      <c r="B3590" s="1" t="s">
        <v>6909</v>
      </c>
      <c r="C3590" s="9" t="s">
        <v>212</v>
      </c>
      <c r="D3590" s="14" t="s">
        <v>6910</v>
      </c>
      <c r="E3590" s="9" t="s">
        <v>11</v>
      </c>
    </row>
    <row r="3591" spans="1:5" ht="15" customHeight="1" outlineLevel="2" x14ac:dyDescent="0.25">
      <c r="A3591" s="3" t="str">
        <f>HYPERLINK("http://mystore1.ru/price_items/search?utf8=%E2%9C%93&amp;oem=4129RYPR5RDW","4129RYPR5RDW")</f>
        <v>4129RYPR5RDW</v>
      </c>
      <c r="B3591" s="1" t="s">
        <v>6911</v>
      </c>
      <c r="C3591" s="9" t="s">
        <v>212</v>
      </c>
      <c r="D3591" s="14" t="s">
        <v>6912</v>
      </c>
      <c r="E3591" s="9" t="s">
        <v>11</v>
      </c>
    </row>
    <row r="3592" spans="1:5" outlineLevel="1" x14ac:dyDescent="0.25">
      <c r="A3592" s="2"/>
      <c r="B3592" s="6" t="s">
        <v>6913</v>
      </c>
      <c r="C3592" s="8"/>
      <c r="D3592" s="8"/>
      <c r="E3592" s="8"/>
    </row>
    <row r="3593" spans="1:5" ht="15" customHeight="1" outlineLevel="2" x14ac:dyDescent="0.25">
      <c r="A3593" s="3" t="str">
        <f>HYPERLINK("http://mystore1.ru/price_items/search?utf8=%E2%9C%93&amp;oem=4134AGNBLV","4134AGNBLV")</f>
        <v>4134AGNBLV</v>
      </c>
      <c r="B3593" s="1" t="s">
        <v>6914</v>
      </c>
      <c r="C3593" s="9" t="s">
        <v>4601</v>
      </c>
      <c r="D3593" s="14" t="s">
        <v>6915</v>
      </c>
      <c r="E3593" s="9" t="s">
        <v>8</v>
      </c>
    </row>
    <row r="3594" spans="1:5" ht="15" customHeight="1" outlineLevel="2" x14ac:dyDescent="0.25">
      <c r="A3594" s="3" t="str">
        <f>HYPERLINK("http://mystore1.ru/price_items/search?utf8=%E2%9C%93&amp;oem=4134LGNS4FD","4134LGNS4FD")</f>
        <v>4134LGNS4FD</v>
      </c>
      <c r="B3594" s="1" t="s">
        <v>6916</v>
      </c>
      <c r="C3594" s="9" t="s">
        <v>4601</v>
      </c>
      <c r="D3594" s="14" t="s">
        <v>6917</v>
      </c>
      <c r="E3594" s="9" t="s">
        <v>11</v>
      </c>
    </row>
    <row r="3595" spans="1:5" ht="15" customHeight="1" outlineLevel="2" x14ac:dyDescent="0.25">
      <c r="A3595" s="3" t="str">
        <f>HYPERLINK("http://mystore1.ru/price_items/search?utf8=%E2%9C%93&amp;oem=4134RGNS4FD","4134RGNS4FD")</f>
        <v>4134RGNS4FD</v>
      </c>
      <c r="B3595" s="1" t="s">
        <v>6918</v>
      </c>
      <c r="C3595" s="9" t="s">
        <v>4601</v>
      </c>
      <c r="D3595" s="14" t="s">
        <v>6919</v>
      </c>
      <c r="E3595" s="9" t="s">
        <v>11</v>
      </c>
    </row>
    <row r="3596" spans="1:5" ht="15" customHeight="1" outlineLevel="2" x14ac:dyDescent="0.25">
      <c r="A3596" s="3" t="str">
        <f>HYPERLINK("http://mystore1.ru/price_items/search?utf8=%E2%9C%93&amp;oem=4134LGNS4RD","4134LGNS4RD")</f>
        <v>4134LGNS4RD</v>
      </c>
      <c r="B3596" s="1" t="s">
        <v>6920</v>
      </c>
      <c r="C3596" s="9" t="s">
        <v>4601</v>
      </c>
      <c r="D3596" s="14" t="s">
        <v>6921</v>
      </c>
      <c r="E3596" s="9" t="s">
        <v>11</v>
      </c>
    </row>
    <row r="3597" spans="1:5" ht="15" customHeight="1" outlineLevel="2" x14ac:dyDescent="0.25">
      <c r="A3597" s="3" t="str">
        <f>HYPERLINK("http://mystore1.ru/price_items/search?utf8=%E2%9C%93&amp;oem=4134RGNS4RD","4134RGNS4RD")</f>
        <v>4134RGNS4RD</v>
      </c>
      <c r="B3597" s="1" t="s">
        <v>6922</v>
      </c>
      <c r="C3597" s="9" t="s">
        <v>4601</v>
      </c>
      <c r="D3597" s="14" t="s">
        <v>6923</v>
      </c>
      <c r="E3597" s="9" t="s">
        <v>11</v>
      </c>
    </row>
    <row r="3598" spans="1:5" ht="15" customHeight="1" outlineLevel="2" x14ac:dyDescent="0.25">
      <c r="A3598" s="3" t="str">
        <f>HYPERLINK("http://mystore1.ru/price_items/search?utf8=%E2%9C%93&amp;oem=4134LGNS4RV","4134LGNS4RV")</f>
        <v>4134LGNS4RV</v>
      </c>
      <c r="B3598" s="1" t="s">
        <v>6924</v>
      </c>
      <c r="C3598" s="9" t="s">
        <v>4601</v>
      </c>
      <c r="D3598" s="14" t="s">
        <v>6925</v>
      </c>
      <c r="E3598" s="9" t="s">
        <v>11</v>
      </c>
    </row>
    <row r="3599" spans="1:5" ht="15" customHeight="1" outlineLevel="2" x14ac:dyDescent="0.25">
      <c r="A3599" s="3" t="str">
        <f>HYPERLINK("http://mystore1.ru/price_items/search?utf8=%E2%9C%93&amp;oem=4134RGNS4RV","4134RGNS4RV")</f>
        <v>4134RGNS4RV</v>
      </c>
      <c r="B3599" s="1" t="s">
        <v>6926</v>
      </c>
      <c r="C3599" s="9" t="s">
        <v>4601</v>
      </c>
      <c r="D3599" s="14" t="s">
        <v>6927</v>
      </c>
      <c r="E3599" s="9" t="s">
        <v>11</v>
      </c>
    </row>
    <row r="3600" spans="1:5" outlineLevel="1" x14ac:dyDescent="0.25">
      <c r="A3600" s="2"/>
      <c r="B3600" s="6" t="s">
        <v>6928</v>
      </c>
      <c r="C3600" s="8"/>
      <c r="D3600" s="8"/>
      <c r="E3600" s="8"/>
    </row>
    <row r="3601" spans="1:5" ht="15" customHeight="1" outlineLevel="2" x14ac:dyDescent="0.25">
      <c r="A3601" s="3" t="str">
        <f>HYPERLINK("http://mystore1.ru/price_items/search?utf8=%E2%9C%93&amp;oem=4119AGNBL","4119AGNBL")</f>
        <v>4119AGNBL</v>
      </c>
      <c r="B3601" s="1" t="s">
        <v>6929</v>
      </c>
      <c r="C3601" s="9" t="s">
        <v>377</v>
      </c>
      <c r="D3601" s="14" t="s">
        <v>6930</v>
      </c>
      <c r="E3601" s="9" t="s">
        <v>8</v>
      </c>
    </row>
    <row r="3602" spans="1:5" ht="15" customHeight="1" outlineLevel="2" x14ac:dyDescent="0.25">
      <c r="A3602" s="3" t="str">
        <f>HYPERLINK("http://mystore1.ru/price_items/search?utf8=%E2%9C%93&amp;oem=4119LGNS4FD","4119LGNS4FD")</f>
        <v>4119LGNS4FD</v>
      </c>
      <c r="B3602" s="1" t="s">
        <v>6931</v>
      </c>
      <c r="C3602" s="9" t="s">
        <v>377</v>
      </c>
      <c r="D3602" s="14" t="s">
        <v>6932</v>
      </c>
      <c r="E3602" s="9" t="s">
        <v>11</v>
      </c>
    </row>
    <row r="3603" spans="1:5" ht="15" customHeight="1" outlineLevel="2" x14ac:dyDescent="0.25">
      <c r="A3603" s="3" t="str">
        <f>HYPERLINK("http://mystore1.ru/price_items/search?utf8=%E2%9C%93&amp;oem=4119LGNS4RD","4119LGNS4RD")</f>
        <v>4119LGNS4RD</v>
      </c>
      <c r="B3603" s="1" t="s">
        <v>6933</v>
      </c>
      <c r="C3603" s="9" t="s">
        <v>377</v>
      </c>
      <c r="D3603" s="14" t="s">
        <v>6934</v>
      </c>
      <c r="E3603" s="9" t="s">
        <v>11</v>
      </c>
    </row>
    <row r="3604" spans="1:5" ht="15" customHeight="1" outlineLevel="2" x14ac:dyDescent="0.25">
      <c r="A3604" s="3" t="str">
        <f>HYPERLINK("http://mystore1.ru/price_items/search?utf8=%E2%9C%93&amp;oem=4119RGNS4FD","4119RGNS4FD")</f>
        <v>4119RGNS4FD</v>
      </c>
      <c r="B3604" s="1" t="s">
        <v>6935</v>
      </c>
      <c r="C3604" s="9" t="s">
        <v>377</v>
      </c>
      <c r="D3604" s="14" t="s">
        <v>6936</v>
      </c>
      <c r="E3604" s="9" t="s">
        <v>11</v>
      </c>
    </row>
    <row r="3605" spans="1:5" ht="15" customHeight="1" outlineLevel="2" x14ac:dyDescent="0.25">
      <c r="A3605" s="3" t="str">
        <f>HYPERLINK("http://mystore1.ru/price_items/search?utf8=%E2%9C%93&amp;oem=4119RGNS4RD","4119RGNS4RD")</f>
        <v>4119RGNS4RD</v>
      </c>
      <c r="B3605" s="1" t="s">
        <v>6937</v>
      </c>
      <c r="C3605" s="9" t="s">
        <v>377</v>
      </c>
      <c r="D3605" s="14" t="s">
        <v>6938</v>
      </c>
      <c r="E3605" s="9" t="s">
        <v>11</v>
      </c>
    </row>
    <row r="3606" spans="1:5" outlineLevel="1" x14ac:dyDescent="0.25">
      <c r="A3606" s="2"/>
      <c r="B3606" s="6" t="s">
        <v>6939</v>
      </c>
      <c r="C3606" s="8"/>
      <c r="D3606" s="8"/>
      <c r="E3606" s="8"/>
    </row>
    <row r="3607" spans="1:5" ht="15" customHeight="1" outlineLevel="2" x14ac:dyDescent="0.25">
      <c r="A3607" s="3" t="str">
        <f>HYPERLINK("http://mystore1.ru/price_items/search?utf8=%E2%9C%93&amp;oem=4127AGN","4127AGN")</f>
        <v>4127AGN</v>
      </c>
      <c r="B3607" s="1" t="s">
        <v>6940</v>
      </c>
      <c r="C3607" s="9" t="s">
        <v>1496</v>
      </c>
      <c r="D3607" s="14" t="s">
        <v>6941</v>
      </c>
      <c r="E3607" s="9" t="s">
        <v>8</v>
      </c>
    </row>
    <row r="3608" spans="1:5" ht="15" customHeight="1" outlineLevel="2" x14ac:dyDescent="0.25">
      <c r="A3608" s="3" t="str">
        <f>HYPERLINK("http://mystore1.ru/price_items/search?utf8=%E2%9C%93&amp;oem=4127AGNBL","4127AGNBL")</f>
        <v>4127AGNBL</v>
      </c>
      <c r="B3608" s="1" t="s">
        <v>6942</v>
      </c>
      <c r="C3608" s="9" t="s">
        <v>1496</v>
      </c>
      <c r="D3608" s="14" t="s">
        <v>6943</v>
      </c>
      <c r="E3608" s="9" t="s">
        <v>8</v>
      </c>
    </row>
    <row r="3609" spans="1:5" ht="15" customHeight="1" outlineLevel="2" x14ac:dyDescent="0.25">
      <c r="A3609" s="3" t="str">
        <f>HYPERLINK("http://mystore1.ru/price_items/search?utf8=%E2%9C%93&amp;oem=4127ASMC","4127ASMC")</f>
        <v>4127ASMC</v>
      </c>
      <c r="B3609" s="1" t="s">
        <v>6944</v>
      </c>
      <c r="C3609" s="9" t="s">
        <v>25</v>
      </c>
      <c r="D3609" s="14" t="s">
        <v>6945</v>
      </c>
      <c r="E3609" s="9" t="s">
        <v>27</v>
      </c>
    </row>
    <row r="3610" spans="1:5" ht="15" customHeight="1" outlineLevel="2" x14ac:dyDescent="0.25">
      <c r="A3610" s="3" t="str">
        <f>HYPERLINK("http://mystore1.ru/price_items/search?utf8=%E2%9C%93&amp;oem=4127BGNCB","4127BGNCB")</f>
        <v>4127BGNCB</v>
      </c>
      <c r="B3610" s="1" t="s">
        <v>6946</v>
      </c>
      <c r="C3610" s="9" t="s">
        <v>1496</v>
      </c>
      <c r="D3610" s="14" t="s">
        <v>6947</v>
      </c>
      <c r="E3610" s="9" t="s">
        <v>30</v>
      </c>
    </row>
    <row r="3611" spans="1:5" ht="15" customHeight="1" outlineLevel="2" x14ac:dyDescent="0.25">
      <c r="A3611" s="3" t="str">
        <f>HYPERLINK("http://mystore1.ru/price_items/search?utf8=%E2%9C%93&amp;oem=4127LGNC2FD","4127LGNC2FD")</f>
        <v>4127LGNC2FD</v>
      </c>
      <c r="B3611" s="1" t="s">
        <v>6948</v>
      </c>
      <c r="C3611" s="9" t="s">
        <v>1496</v>
      </c>
      <c r="D3611" s="14" t="s">
        <v>6949</v>
      </c>
      <c r="E3611" s="9" t="s">
        <v>11</v>
      </c>
    </row>
    <row r="3612" spans="1:5" ht="15" customHeight="1" outlineLevel="2" x14ac:dyDescent="0.25">
      <c r="A3612" s="3" t="str">
        <f>HYPERLINK("http://mystore1.ru/price_items/search?utf8=%E2%9C%93&amp;oem=4127RGNC2FD","4127RGNC2FD")</f>
        <v>4127RGNC2FD</v>
      </c>
      <c r="B3612" s="1" t="s">
        <v>6950</v>
      </c>
      <c r="C3612" s="9" t="s">
        <v>1496</v>
      </c>
      <c r="D3612" s="14" t="s">
        <v>6951</v>
      </c>
      <c r="E3612" s="9" t="s">
        <v>11</v>
      </c>
    </row>
    <row r="3613" spans="1:5" outlineLevel="1" x14ac:dyDescent="0.25">
      <c r="A3613" s="2"/>
      <c r="B3613" s="6" t="s">
        <v>6952</v>
      </c>
      <c r="C3613" s="8"/>
      <c r="D3613" s="8"/>
      <c r="E3613" s="8"/>
    </row>
    <row r="3614" spans="1:5" outlineLevel="2" x14ac:dyDescent="0.25">
      <c r="A3614" s="3" t="str">
        <f>HYPERLINK("http://mystore1.ru/price_items/search?utf8=%E2%9C%93&amp;oem=4113AGNBL","4113AGNBL")</f>
        <v>4113AGNBL</v>
      </c>
      <c r="B3614" s="1" t="s">
        <v>6953</v>
      </c>
      <c r="C3614" s="9" t="s">
        <v>6954</v>
      </c>
      <c r="D3614" s="14" t="s">
        <v>6955</v>
      </c>
      <c r="E3614" s="9" t="s">
        <v>8</v>
      </c>
    </row>
    <row r="3615" spans="1:5" outlineLevel="2" x14ac:dyDescent="0.25">
      <c r="A3615" s="3" t="str">
        <f>HYPERLINK("http://mystore1.ru/price_items/search?utf8=%E2%9C%93&amp;oem=4113ASMC","4113ASMC")</f>
        <v>4113ASMC</v>
      </c>
      <c r="B3615" s="1" t="s">
        <v>6956</v>
      </c>
      <c r="C3615" s="9" t="s">
        <v>25</v>
      </c>
      <c r="D3615" s="14" t="s">
        <v>6957</v>
      </c>
      <c r="E3615" s="9" t="s">
        <v>27</v>
      </c>
    </row>
    <row r="3616" spans="1:5" outlineLevel="2" x14ac:dyDescent="0.25">
      <c r="A3616" s="3" t="str">
        <f>HYPERLINK("http://mystore1.ru/price_items/search?utf8=%E2%9C%93&amp;oem=4113LGNC2FD","4113LGNC2FD")</f>
        <v>4113LGNC2FD</v>
      </c>
      <c r="B3616" s="1" t="s">
        <v>6958</v>
      </c>
      <c r="C3616" s="9" t="s">
        <v>6954</v>
      </c>
      <c r="D3616" s="14" t="s">
        <v>6959</v>
      </c>
      <c r="E3616" s="9" t="s">
        <v>11</v>
      </c>
    </row>
    <row r="3617" spans="1:5" x14ac:dyDescent="0.25">
      <c r="A3617" s="61" t="s">
        <v>6960</v>
      </c>
      <c r="B3617" s="61"/>
      <c r="C3617" s="61"/>
      <c r="D3617" s="61"/>
      <c r="E3617" s="61"/>
    </row>
    <row r="3618" spans="1:5" outlineLevel="1" x14ac:dyDescent="0.25">
      <c r="A3618" s="2"/>
      <c r="B3618" s="6" t="s">
        <v>6961</v>
      </c>
      <c r="C3618" s="8"/>
      <c r="D3618" s="8"/>
      <c r="E3618" s="8"/>
    </row>
    <row r="3619" spans="1:5" outlineLevel="2" x14ac:dyDescent="0.25">
      <c r="A3619" s="3" t="str">
        <f>HYPERLINK("http://mystore1.ru/price_items/search?utf8=%E2%9C%93&amp;oem=6033AGSBL","6033AGSBL")</f>
        <v>6033AGSBL</v>
      </c>
      <c r="B3619" s="1" t="s">
        <v>6962</v>
      </c>
      <c r="C3619" s="9" t="s">
        <v>1362</v>
      </c>
      <c r="D3619" s="14" t="s">
        <v>6963</v>
      </c>
      <c r="E3619" s="9" t="s">
        <v>8</v>
      </c>
    </row>
    <row r="3620" spans="1:5" outlineLevel="1" x14ac:dyDescent="0.25">
      <c r="A3620" s="2"/>
      <c r="B3620" s="6" t="s">
        <v>6964</v>
      </c>
      <c r="C3620" s="8"/>
      <c r="D3620" s="8"/>
      <c r="E3620" s="8"/>
    </row>
    <row r="3621" spans="1:5" outlineLevel="2" x14ac:dyDescent="0.25">
      <c r="A3621" s="3" t="str">
        <f>HYPERLINK("http://mystore1.ru/price_items/search?utf8=%E2%9C%93&amp;oem=QX56AGN","QX56AGN")</f>
        <v>QX56AGN</v>
      </c>
      <c r="B3621" s="1" t="s">
        <v>6965</v>
      </c>
      <c r="C3621" s="9" t="s">
        <v>212</v>
      </c>
      <c r="D3621" s="14" t="s">
        <v>6966</v>
      </c>
      <c r="E3621" s="9" t="s">
        <v>8</v>
      </c>
    </row>
    <row r="3622" spans="1:5" x14ac:dyDescent="0.25">
      <c r="A3622" s="61" t="s">
        <v>6967</v>
      </c>
      <c r="B3622" s="61"/>
      <c r="C3622" s="61"/>
      <c r="D3622" s="61"/>
      <c r="E3622" s="61"/>
    </row>
    <row r="3623" spans="1:5" outlineLevel="1" x14ac:dyDescent="0.25">
      <c r="A3623" s="2"/>
      <c r="B3623" s="6" t="s">
        <v>6968</v>
      </c>
      <c r="C3623" s="47"/>
      <c r="D3623" s="8"/>
      <c r="E3623" s="8"/>
    </row>
    <row r="3624" spans="1:5" outlineLevel="2" x14ac:dyDescent="0.25">
      <c r="A3624" s="3" t="str">
        <f>HYPERLINK("http://mystore1.ru/price_items/search?utf8=%E2%9C%93&amp;oem=6275ACL","6275ACL")</f>
        <v>6275ACL</v>
      </c>
      <c r="B3624" s="1" t="s">
        <v>6969</v>
      </c>
      <c r="C3624" s="9" t="s">
        <v>4307</v>
      </c>
      <c r="D3624" s="14" t="s">
        <v>6970</v>
      </c>
      <c r="E3624" s="9" t="s">
        <v>8</v>
      </c>
    </row>
    <row r="3625" spans="1:5" outlineLevel="1" x14ac:dyDescent="0.25">
      <c r="A3625" s="2"/>
      <c r="B3625" s="6" t="s">
        <v>6971</v>
      </c>
      <c r="C3625" s="8"/>
      <c r="D3625" s="8"/>
      <c r="E3625" s="8"/>
    </row>
    <row r="3626" spans="1:5" outlineLevel="2" x14ac:dyDescent="0.25">
      <c r="A3626" s="3" t="str">
        <f>HYPERLINK("http://mystore1.ru/price_items/search?utf8=%E2%9C%93&amp;oem=6304AGN","6304AGN")</f>
        <v>6304AGN</v>
      </c>
      <c r="B3626" s="1" t="s">
        <v>6972</v>
      </c>
      <c r="C3626" s="9" t="s">
        <v>1408</v>
      </c>
      <c r="D3626" s="14" t="s">
        <v>6973</v>
      </c>
      <c r="E3626" s="9" t="s">
        <v>8</v>
      </c>
    </row>
    <row r="3627" spans="1:5" outlineLevel="1" x14ac:dyDescent="0.25">
      <c r="A3627" s="2"/>
      <c r="B3627" s="6" t="s">
        <v>6974</v>
      </c>
      <c r="C3627" s="8"/>
      <c r="D3627" s="8"/>
      <c r="E3627" s="8"/>
    </row>
    <row r="3628" spans="1:5" outlineLevel="2" x14ac:dyDescent="0.25">
      <c r="A3628" s="3" t="str">
        <f>HYPERLINK("http://mystore1.ru/price_items/search?utf8=%E2%9C%93&amp;oem=6274ABL","6274ABL")</f>
        <v>6274ABL</v>
      </c>
      <c r="B3628" s="1" t="s">
        <v>6975</v>
      </c>
      <c r="C3628" s="9" t="s">
        <v>6976</v>
      </c>
      <c r="D3628" s="14" t="s">
        <v>6977</v>
      </c>
      <c r="E3628" s="9" t="s">
        <v>8</v>
      </c>
    </row>
    <row r="3629" spans="1:5" outlineLevel="1" x14ac:dyDescent="0.25">
      <c r="A3629" s="2"/>
      <c r="B3629" s="6" t="s">
        <v>6978</v>
      </c>
      <c r="C3629" s="8"/>
      <c r="D3629" s="8"/>
      <c r="E3629" s="8"/>
    </row>
    <row r="3630" spans="1:5" outlineLevel="2" x14ac:dyDescent="0.25">
      <c r="A3630" s="3" t="str">
        <f>HYPERLINK("http://mystore1.ru/price_items/search?utf8=%E2%9C%93&amp;oem=6270ABL","6270ABL")</f>
        <v>6270ABL</v>
      </c>
      <c r="B3630" s="1" t="s">
        <v>6979</v>
      </c>
      <c r="C3630" s="9" t="s">
        <v>791</v>
      </c>
      <c r="D3630" s="14" t="s">
        <v>6980</v>
      </c>
      <c r="E3630" s="9" t="s">
        <v>8</v>
      </c>
    </row>
    <row r="3631" spans="1:5" outlineLevel="2" x14ac:dyDescent="0.25">
      <c r="A3631" s="3" t="str">
        <f>HYPERLINK("http://mystore1.ru/price_items/search?utf8=%E2%9C%93&amp;oem=6270ABZ","6270ABZ")</f>
        <v>6270ABZ</v>
      </c>
      <c r="B3631" s="1" t="s">
        <v>6981</v>
      </c>
      <c r="C3631" s="9" t="s">
        <v>791</v>
      </c>
      <c r="D3631" s="14" t="s">
        <v>6982</v>
      </c>
      <c r="E3631" s="9" t="s">
        <v>8</v>
      </c>
    </row>
    <row r="3632" spans="1:5" outlineLevel="2" x14ac:dyDescent="0.25">
      <c r="A3632" s="3" t="str">
        <f>HYPERLINK("http://mystore1.ru/price_items/search?utf8=%E2%9C%93&amp;oem=6270ACL","6270ACL")</f>
        <v>6270ACL</v>
      </c>
      <c r="B3632" s="1" t="s">
        <v>6983</v>
      </c>
      <c r="C3632" s="9" t="s">
        <v>791</v>
      </c>
      <c r="D3632" s="14" t="s">
        <v>6984</v>
      </c>
      <c r="E3632" s="9" t="s">
        <v>8</v>
      </c>
    </row>
    <row r="3633" spans="1:5" outlineLevel="2" x14ac:dyDescent="0.25">
      <c r="A3633" s="3" t="str">
        <f>HYPERLINK("http://mystore1.ru/price_items/search?utf8=%E2%9C%93&amp;oem=6270ASRR","6270ASRR")</f>
        <v>6270ASRR</v>
      </c>
      <c r="B3633" s="1" t="s">
        <v>6985</v>
      </c>
      <c r="C3633" s="9" t="s">
        <v>25</v>
      </c>
      <c r="D3633" s="14" t="s">
        <v>6986</v>
      </c>
      <c r="E3633" s="9" t="s">
        <v>27</v>
      </c>
    </row>
    <row r="3634" spans="1:5" outlineLevel="2" x14ac:dyDescent="0.25">
      <c r="A3634" s="3" t="str">
        <f>HYPERLINK("http://mystore1.ru/price_items/search?utf8=%E2%9C%93&amp;oem=6270BBLR","6270BBLR")</f>
        <v>6270BBLR</v>
      </c>
      <c r="B3634" s="1" t="s">
        <v>6987</v>
      </c>
      <c r="C3634" s="9" t="s">
        <v>791</v>
      </c>
      <c r="D3634" s="14" t="s">
        <v>6988</v>
      </c>
      <c r="E3634" s="9" t="s">
        <v>30</v>
      </c>
    </row>
    <row r="3635" spans="1:5" outlineLevel="2" x14ac:dyDescent="0.25">
      <c r="A3635" s="3" t="str">
        <f>HYPERLINK("http://mystore1.ru/price_items/search?utf8=%E2%9C%93&amp;oem=6270LBLR3FDW","6270LBLR3FDW")</f>
        <v>6270LBLR3FDW</v>
      </c>
      <c r="B3635" s="1" t="s">
        <v>6989</v>
      </c>
      <c r="C3635" s="9" t="s">
        <v>791</v>
      </c>
      <c r="D3635" s="14" t="s">
        <v>6990</v>
      </c>
      <c r="E3635" s="9" t="s">
        <v>11</v>
      </c>
    </row>
    <row r="3636" spans="1:5" outlineLevel="2" x14ac:dyDescent="0.25">
      <c r="A3636" s="3" t="str">
        <f>HYPERLINK("http://mystore1.ru/price_items/search?utf8=%E2%9C%93&amp;oem=6270LBLR3FV","6270LBLR3FV")</f>
        <v>6270LBLR3FV</v>
      </c>
      <c r="B3636" s="1" t="s">
        <v>6991</v>
      </c>
      <c r="C3636" s="9" t="s">
        <v>791</v>
      </c>
      <c r="D3636" s="14" t="s">
        <v>6992</v>
      </c>
      <c r="E3636" s="9" t="s">
        <v>11</v>
      </c>
    </row>
    <row r="3637" spans="1:5" outlineLevel="2" x14ac:dyDescent="0.25">
      <c r="A3637" s="3" t="str">
        <f>HYPERLINK("http://mystore1.ru/price_items/search?utf8=%E2%9C%93&amp;oem=6270LBLR5RV","6270LBLR5RV")</f>
        <v>6270LBLR5RV</v>
      </c>
      <c r="B3637" s="1" t="s">
        <v>6993</v>
      </c>
      <c r="C3637" s="9" t="s">
        <v>791</v>
      </c>
      <c r="D3637" s="14" t="s">
        <v>6994</v>
      </c>
      <c r="E3637" s="9" t="s">
        <v>11</v>
      </c>
    </row>
    <row r="3638" spans="1:5" outlineLevel="2" x14ac:dyDescent="0.25">
      <c r="A3638" s="3" t="str">
        <f>HYPERLINK("http://mystore1.ru/price_items/search?utf8=%E2%9C%93&amp;oem=6270RBLR3FDW","6270RBLR3FDW")</f>
        <v>6270RBLR3FDW</v>
      </c>
      <c r="B3638" s="1" t="s">
        <v>6995</v>
      </c>
      <c r="C3638" s="9" t="s">
        <v>791</v>
      </c>
      <c r="D3638" s="14" t="s">
        <v>6996</v>
      </c>
      <c r="E3638" s="9" t="s">
        <v>11</v>
      </c>
    </row>
    <row r="3639" spans="1:5" outlineLevel="2" x14ac:dyDescent="0.25">
      <c r="A3639" s="3" t="str">
        <f>HYPERLINK("http://mystore1.ru/price_items/search?utf8=%E2%9C%93&amp;oem=6270RBLR5RV","6270RBLR5RV")</f>
        <v>6270RBLR5RV</v>
      </c>
      <c r="B3639" s="1" t="s">
        <v>6997</v>
      </c>
      <c r="C3639" s="9" t="s">
        <v>791</v>
      </c>
      <c r="D3639" s="14" t="s">
        <v>6998</v>
      </c>
      <c r="E3639" s="9" t="s">
        <v>11</v>
      </c>
    </row>
    <row r="3640" spans="1:5" outlineLevel="1" x14ac:dyDescent="0.25">
      <c r="A3640" s="2"/>
      <c r="B3640" s="6" t="s">
        <v>6999</v>
      </c>
      <c r="C3640" s="8"/>
      <c r="D3640" s="8"/>
      <c r="E3640" s="8"/>
    </row>
    <row r="3641" spans="1:5" outlineLevel="2" x14ac:dyDescent="0.25">
      <c r="A3641" s="3" t="str">
        <f>HYPERLINK("http://mystore1.ru/price_items/search?utf8=%E2%9C%93&amp;oem=6276ABL","6276ABL")</f>
        <v>6276ABL</v>
      </c>
      <c r="B3641" s="1" t="s">
        <v>7000</v>
      </c>
      <c r="C3641" s="9" t="s">
        <v>7001</v>
      </c>
      <c r="D3641" s="14" t="s">
        <v>7002</v>
      </c>
      <c r="E3641" s="9" t="s">
        <v>8</v>
      </c>
    </row>
    <row r="3642" spans="1:5" outlineLevel="2" x14ac:dyDescent="0.25">
      <c r="A3642" s="3" t="str">
        <f>HYPERLINK("http://mystore1.ru/price_items/search?utf8=%E2%9C%93&amp;oem=6276ABZ","6276ABZ")</f>
        <v>6276ABZ</v>
      </c>
      <c r="B3642" s="1" t="s">
        <v>7003</v>
      </c>
      <c r="C3642" s="9" t="s">
        <v>7001</v>
      </c>
      <c r="D3642" s="14" t="s">
        <v>7004</v>
      </c>
      <c r="E3642" s="9" t="s">
        <v>8</v>
      </c>
    </row>
    <row r="3643" spans="1:5" outlineLevel="2" x14ac:dyDescent="0.25">
      <c r="A3643" s="3" t="str">
        <f>HYPERLINK("http://mystore1.ru/price_items/search?utf8=%E2%9C%93&amp;oem=6276ACL","6276ACL")</f>
        <v>6276ACL</v>
      </c>
      <c r="B3643" s="1" t="s">
        <v>7005</v>
      </c>
      <c r="C3643" s="9" t="s">
        <v>7001</v>
      </c>
      <c r="D3643" s="14" t="s">
        <v>7006</v>
      </c>
      <c r="E3643" s="9" t="s">
        <v>8</v>
      </c>
    </row>
    <row r="3644" spans="1:5" outlineLevel="2" x14ac:dyDescent="0.25">
      <c r="A3644" s="3" t="str">
        <f>HYPERLINK("http://mystore1.ru/price_items/search?utf8=%E2%9C%93&amp;oem=6276AGN","6276AGN")</f>
        <v>6276AGN</v>
      </c>
      <c r="B3644" s="1" t="s">
        <v>7007</v>
      </c>
      <c r="C3644" s="9" t="s">
        <v>7001</v>
      </c>
      <c r="D3644" s="14" t="s">
        <v>7008</v>
      </c>
      <c r="E3644" s="9" t="s">
        <v>8</v>
      </c>
    </row>
    <row r="3645" spans="1:5" outlineLevel="2" x14ac:dyDescent="0.25">
      <c r="A3645" s="3" t="str">
        <f>HYPERLINK("http://mystore1.ru/price_items/search?utf8=%E2%9C%93&amp;oem=6276ASMRT","6276ASMRT")</f>
        <v>6276ASMRT</v>
      </c>
      <c r="B3645" s="1" t="s">
        <v>7009</v>
      </c>
      <c r="C3645" s="9" t="s">
        <v>25</v>
      </c>
      <c r="D3645" s="14" t="s">
        <v>7010</v>
      </c>
      <c r="E3645" s="9" t="s">
        <v>27</v>
      </c>
    </row>
    <row r="3646" spans="1:5" outlineLevel="2" x14ac:dyDescent="0.25">
      <c r="A3646" s="3" t="str">
        <f>HYPERLINK("http://mystore1.ru/price_items/search?utf8=%E2%9C%93&amp;oem=6276LBZR3FD","6276LBZR3FD")</f>
        <v>6276LBZR3FD</v>
      </c>
      <c r="B3646" s="1" t="s">
        <v>7011</v>
      </c>
      <c r="C3646" s="9" t="s">
        <v>7001</v>
      </c>
      <c r="D3646" s="14" t="s">
        <v>7012</v>
      </c>
      <c r="E3646" s="9" t="s">
        <v>11</v>
      </c>
    </row>
    <row r="3647" spans="1:5" outlineLevel="2" x14ac:dyDescent="0.25">
      <c r="A3647" s="3" t="str">
        <f>HYPERLINK("http://mystore1.ru/price_items/search?utf8=%E2%9C%93&amp;oem=6276LBZR5RV","6276LBZR5RV")</f>
        <v>6276LBZR5RV</v>
      </c>
      <c r="B3647" s="1" t="s">
        <v>7013</v>
      </c>
      <c r="C3647" s="9" t="s">
        <v>7001</v>
      </c>
      <c r="D3647" s="14" t="s">
        <v>7014</v>
      </c>
      <c r="E3647" s="9" t="s">
        <v>11</v>
      </c>
    </row>
    <row r="3648" spans="1:5" outlineLevel="2" x14ac:dyDescent="0.25">
      <c r="A3648" s="3" t="str">
        <f>HYPERLINK("http://mystore1.ru/price_items/search?utf8=%E2%9C%93&amp;oem=6276RBZR3FD","6276RBZR3FD")</f>
        <v>6276RBZR3FD</v>
      </c>
      <c r="B3648" s="1" t="s">
        <v>7015</v>
      </c>
      <c r="C3648" s="9" t="s">
        <v>7001</v>
      </c>
      <c r="D3648" s="14" t="s">
        <v>7016</v>
      </c>
      <c r="E3648" s="9" t="s">
        <v>11</v>
      </c>
    </row>
    <row r="3649" spans="1:5" outlineLevel="2" x14ac:dyDescent="0.25">
      <c r="A3649" s="3" t="str">
        <f>HYPERLINK("http://mystore1.ru/price_items/search?utf8=%E2%9C%93&amp;oem=6276RBZR5FDW","6276RBZR5FDW")</f>
        <v>6276RBZR5FDW</v>
      </c>
      <c r="B3649" s="1" t="s">
        <v>7017</v>
      </c>
      <c r="C3649" s="9" t="s">
        <v>7001</v>
      </c>
      <c r="D3649" s="14" t="s">
        <v>7018</v>
      </c>
      <c r="E3649" s="9" t="s">
        <v>11</v>
      </c>
    </row>
    <row r="3650" spans="1:5" x14ac:dyDescent="0.25">
      <c r="A3650" s="61" t="s">
        <v>7019</v>
      </c>
      <c r="B3650" s="61"/>
      <c r="C3650" s="61"/>
      <c r="D3650" s="61"/>
      <c r="E3650" s="61"/>
    </row>
    <row r="3651" spans="1:5" outlineLevel="1" x14ac:dyDescent="0.25">
      <c r="A3651" s="2"/>
      <c r="B3651" s="6" t="s">
        <v>7020</v>
      </c>
      <c r="C3651" s="8"/>
      <c r="D3651" s="8"/>
      <c r="E3651" s="8"/>
    </row>
    <row r="3652" spans="1:5" ht="15" customHeight="1" outlineLevel="2" x14ac:dyDescent="0.25">
      <c r="A3652" s="3" t="str">
        <f>HYPERLINK("http://mystore1.ru/price_items/search?utf8=%E2%9C%93&amp;oem=4326AGNHMVW","4326AGNHMVW")</f>
        <v>4326AGNHMVW</v>
      </c>
      <c r="B3652" s="1" t="s">
        <v>7021</v>
      </c>
      <c r="C3652" s="9" t="s">
        <v>7022</v>
      </c>
      <c r="D3652" s="14" t="s">
        <v>7023</v>
      </c>
      <c r="E3652" s="9" t="s">
        <v>8</v>
      </c>
    </row>
    <row r="3653" spans="1:5" ht="15" customHeight="1" outlineLevel="2" x14ac:dyDescent="0.25">
      <c r="A3653" s="3" t="str">
        <f>HYPERLINK("http://mystore1.ru/price_items/search?utf8=%E2%9C%93&amp;oem=4326AGNHMVW6U","4326AGNHMVW6U")</f>
        <v>4326AGNHMVW6U</v>
      </c>
      <c r="B3653" s="1" t="s">
        <v>7024</v>
      </c>
      <c r="C3653" s="9" t="s">
        <v>4782</v>
      </c>
      <c r="D3653" s="14" t="s">
        <v>7025</v>
      </c>
      <c r="E3653" s="9" t="s">
        <v>8</v>
      </c>
    </row>
    <row r="3654" spans="1:5" ht="15" customHeight="1" outlineLevel="2" x14ac:dyDescent="0.25">
      <c r="A3654" s="3" t="str">
        <f>HYPERLINK("http://mystore1.ru/price_items/search?utf8=%E2%9C%93&amp;oem=4326ASMST","4326ASMST")</f>
        <v>4326ASMST</v>
      </c>
      <c r="B3654" s="1" t="s">
        <v>7026</v>
      </c>
      <c r="C3654" s="9" t="s">
        <v>25</v>
      </c>
      <c r="D3654" s="14" t="s">
        <v>7027</v>
      </c>
      <c r="E3654" s="9" t="s">
        <v>27</v>
      </c>
    </row>
    <row r="3655" spans="1:5" ht="15" customHeight="1" outlineLevel="2" x14ac:dyDescent="0.25">
      <c r="A3655" s="3" t="str">
        <f>HYPERLINK("http://mystore1.ru/price_items/search?utf8=%E2%9C%93&amp;oem=4326LGNS4FD","4326LGNS4FD")</f>
        <v>4326LGNS4FD</v>
      </c>
      <c r="B3655" s="1" t="s">
        <v>7028</v>
      </c>
      <c r="C3655" s="9" t="s">
        <v>631</v>
      </c>
      <c r="D3655" s="14" t="s">
        <v>7029</v>
      </c>
      <c r="E3655" s="9" t="s">
        <v>11</v>
      </c>
    </row>
    <row r="3656" spans="1:5" ht="15" customHeight="1" outlineLevel="2" x14ac:dyDescent="0.25">
      <c r="A3656" s="3" t="str">
        <f>HYPERLINK("http://mystore1.ru/price_items/search?utf8=%E2%9C%93&amp;oem=4326LGNS4RDW","4326LGNS4RDW")</f>
        <v>4326LGNS4RDW</v>
      </c>
      <c r="B3656" s="1" t="s">
        <v>7030</v>
      </c>
      <c r="C3656" s="9" t="s">
        <v>7022</v>
      </c>
      <c r="D3656" s="14" t="s">
        <v>7031</v>
      </c>
      <c r="E3656" s="9" t="s">
        <v>11</v>
      </c>
    </row>
    <row r="3657" spans="1:5" ht="15" customHeight="1" outlineLevel="2" x14ac:dyDescent="0.25">
      <c r="A3657" s="3" t="str">
        <f>HYPERLINK("http://mystore1.ru/price_items/search?utf8=%E2%9C%93&amp;oem=4326RGNS4FD","4326RGNS4FD")</f>
        <v>4326RGNS4FD</v>
      </c>
      <c r="B3657" s="1" t="s">
        <v>7032</v>
      </c>
      <c r="C3657" s="9" t="s">
        <v>631</v>
      </c>
      <c r="D3657" s="14" t="s">
        <v>7033</v>
      </c>
      <c r="E3657" s="9" t="s">
        <v>11</v>
      </c>
    </row>
    <row r="3658" spans="1:5" ht="15" customHeight="1" outlineLevel="2" x14ac:dyDescent="0.25">
      <c r="A3658" s="3" t="str">
        <f>HYPERLINK("http://mystore1.ru/price_items/search?utf8=%E2%9C%93&amp;oem=4326RGNS4RDW","4326RGNS4RDW")</f>
        <v>4326RGNS4RDW</v>
      </c>
      <c r="B3658" s="1" t="s">
        <v>7034</v>
      </c>
      <c r="C3658" s="9" t="s">
        <v>7022</v>
      </c>
      <c r="D3658" s="14" t="s">
        <v>7035</v>
      </c>
      <c r="E3658" s="9" t="s">
        <v>11</v>
      </c>
    </row>
    <row r="3659" spans="1:5" outlineLevel="1" x14ac:dyDescent="0.25">
      <c r="A3659" s="2"/>
      <c r="B3659" s="6" t="s">
        <v>7036</v>
      </c>
      <c r="C3659" s="8"/>
      <c r="D3659" s="8"/>
      <c r="E3659" s="8"/>
    </row>
    <row r="3660" spans="1:5" ht="15" customHeight="1" outlineLevel="2" x14ac:dyDescent="0.25">
      <c r="A3660" s="3" t="str">
        <f>HYPERLINK("http://mystore1.ru/price_items/search?utf8=%E2%9C%93&amp;oem=4327AGSHVW","4327AGSHVW")</f>
        <v>4327AGSHVW</v>
      </c>
      <c r="B3660" s="1" t="s">
        <v>7037</v>
      </c>
      <c r="C3660" s="9" t="s">
        <v>7038</v>
      </c>
      <c r="D3660" s="14" t="s">
        <v>7039</v>
      </c>
      <c r="E3660" s="9" t="s">
        <v>8</v>
      </c>
    </row>
    <row r="3661" spans="1:5" ht="15" customHeight="1" outlineLevel="2" x14ac:dyDescent="0.25">
      <c r="A3661" s="3" t="str">
        <f>HYPERLINK("http://mystore1.ru/price_items/search?utf8=%E2%9C%93&amp;oem=4327AGSMVW1P","4327AGSMVW1P")</f>
        <v>4327AGSMVW1P</v>
      </c>
      <c r="B3661" s="1" t="s">
        <v>7040</v>
      </c>
      <c r="C3661" s="9" t="s">
        <v>7038</v>
      </c>
      <c r="D3661" s="14" t="s">
        <v>7041</v>
      </c>
      <c r="E3661" s="9" t="s">
        <v>8</v>
      </c>
    </row>
    <row r="3662" spans="1:5" ht="15" customHeight="1" outlineLevel="2" x14ac:dyDescent="0.25">
      <c r="A3662" s="3" t="str">
        <f>HYPERLINK("http://mystore1.ru/price_items/search?utf8=%E2%9C%93&amp;oem=4327AGSVW","4327AGSVW")</f>
        <v>4327AGSVW</v>
      </c>
      <c r="B3662" s="1" t="s">
        <v>7042</v>
      </c>
      <c r="C3662" s="9" t="s">
        <v>7038</v>
      </c>
      <c r="D3662" s="14" t="s">
        <v>7043</v>
      </c>
      <c r="E3662" s="9" t="s">
        <v>8</v>
      </c>
    </row>
    <row r="3663" spans="1:5" ht="15" customHeight="1" outlineLevel="2" x14ac:dyDescent="0.25">
      <c r="A3663" s="3" t="str">
        <f>HYPERLINK("http://mystore1.ru/price_items/search?utf8=%E2%9C%93&amp;oem=4327LGSS4FD","4327LGSS4FD")</f>
        <v>4327LGSS4FD</v>
      </c>
      <c r="B3663" s="1" t="s">
        <v>7044</v>
      </c>
      <c r="C3663" s="9" t="s">
        <v>7038</v>
      </c>
      <c r="D3663" s="14" t="s">
        <v>7045</v>
      </c>
      <c r="E3663" s="9" t="s">
        <v>11</v>
      </c>
    </row>
    <row r="3664" spans="1:5" ht="15" customHeight="1" outlineLevel="2" x14ac:dyDescent="0.25">
      <c r="A3664" s="3" t="str">
        <f>HYPERLINK("http://mystore1.ru/price_items/search?utf8=%E2%9C%93&amp;oem=4327LGSS4RD","4327LGSS4RD")</f>
        <v>4327LGSS4RD</v>
      </c>
      <c r="B3664" s="1" t="s">
        <v>7046</v>
      </c>
      <c r="C3664" s="9" t="s">
        <v>7038</v>
      </c>
      <c r="D3664" s="14" t="s">
        <v>7047</v>
      </c>
      <c r="E3664" s="9" t="s">
        <v>11</v>
      </c>
    </row>
    <row r="3665" spans="1:5" ht="15" customHeight="1" outlineLevel="2" x14ac:dyDescent="0.25">
      <c r="A3665" s="3" t="str">
        <f>HYPERLINK("http://mystore1.ru/price_items/search?utf8=%E2%9C%93&amp;oem=4327RGSS4FD","4327RGSS4FD")</f>
        <v>4327RGSS4FD</v>
      </c>
      <c r="B3665" s="1" t="s">
        <v>7048</v>
      </c>
      <c r="C3665" s="9" t="s">
        <v>7038</v>
      </c>
      <c r="D3665" s="14" t="s">
        <v>7049</v>
      </c>
      <c r="E3665" s="9" t="s">
        <v>11</v>
      </c>
    </row>
    <row r="3666" spans="1:5" ht="15" customHeight="1" outlineLevel="2" x14ac:dyDescent="0.25">
      <c r="A3666" s="3" t="str">
        <f>HYPERLINK("http://mystore1.ru/price_items/search?utf8=%E2%9C%93&amp;oem=4327RGSS4RD","4327RGSS4RD")</f>
        <v>4327RGSS4RD</v>
      </c>
      <c r="B3666" s="1" t="s">
        <v>7050</v>
      </c>
      <c r="C3666" s="9" t="s">
        <v>7038</v>
      </c>
      <c r="D3666" s="14" t="s">
        <v>7051</v>
      </c>
      <c r="E3666" s="9" t="s">
        <v>11</v>
      </c>
    </row>
    <row r="3667" spans="1:5" outlineLevel="1" x14ac:dyDescent="0.25">
      <c r="A3667" s="2"/>
      <c r="B3667" s="6" t="s">
        <v>7052</v>
      </c>
      <c r="C3667" s="8"/>
      <c r="D3667" s="8"/>
      <c r="E3667" s="8"/>
    </row>
    <row r="3668" spans="1:5" ht="15" customHeight="1" outlineLevel="2" x14ac:dyDescent="0.25">
      <c r="A3668" s="3" t="str">
        <f>HYPERLINK("http://mystore1.ru/price_items/search?utf8=%E2%9C%93&amp;oem=4333LGSS4FD","4333LGSS4FD")</f>
        <v>4333LGSS4FD</v>
      </c>
      <c r="B3668" s="1" t="s">
        <v>7053</v>
      </c>
      <c r="C3668" s="9" t="s">
        <v>642</v>
      </c>
      <c r="D3668" s="14" t="s">
        <v>7054</v>
      </c>
      <c r="E3668" s="9" t="s">
        <v>11</v>
      </c>
    </row>
    <row r="3669" spans="1:5" ht="15" customHeight="1" outlineLevel="2" x14ac:dyDescent="0.25">
      <c r="A3669" s="3" t="str">
        <f>HYPERLINK("http://mystore1.ru/price_items/search?utf8=%E2%9C%93&amp;oem=4333RGSS4FD","4333RGSS4FD")</f>
        <v>4333RGSS4FD</v>
      </c>
      <c r="B3669" s="1" t="s">
        <v>7055</v>
      </c>
      <c r="C3669" s="9" t="s">
        <v>642</v>
      </c>
      <c r="D3669" s="14" t="s">
        <v>7056</v>
      </c>
      <c r="E3669" s="9" t="s">
        <v>11</v>
      </c>
    </row>
    <row r="3670" spans="1:5" outlineLevel="1" x14ac:dyDescent="0.25">
      <c r="A3670" s="2"/>
      <c r="B3670" s="6" t="s">
        <v>7057</v>
      </c>
      <c r="C3670" s="8"/>
      <c r="D3670" s="8"/>
      <c r="E3670" s="8"/>
    </row>
    <row r="3671" spans="1:5" ht="15" customHeight="1" outlineLevel="2" x14ac:dyDescent="0.25">
      <c r="A3671" s="3" t="str">
        <f>HYPERLINK("http://mystore1.ru/price_items/search?utf8=%E2%9C%93&amp;oem=4319AGNV","4319AGNV")</f>
        <v>4319AGNV</v>
      </c>
      <c r="B3671" s="1" t="s">
        <v>7058</v>
      </c>
      <c r="C3671" s="9" t="s">
        <v>5675</v>
      </c>
      <c r="D3671" s="14" t="s">
        <v>7059</v>
      </c>
      <c r="E3671" s="9" t="s">
        <v>8</v>
      </c>
    </row>
    <row r="3672" spans="1:5" outlineLevel="1" x14ac:dyDescent="0.25">
      <c r="A3672" s="2"/>
      <c r="B3672" s="6" t="s">
        <v>7060</v>
      </c>
      <c r="C3672" s="8"/>
      <c r="D3672" s="8"/>
      <c r="E3672" s="8"/>
    </row>
    <row r="3673" spans="1:5" ht="15" customHeight="1" outlineLevel="2" x14ac:dyDescent="0.25">
      <c r="A3673" s="3" t="str">
        <f>HYPERLINK("http://mystore1.ru/price_items/search?utf8=%E2%9C%93&amp;oem=4318AGN","4318AGN")</f>
        <v>4318AGN</v>
      </c>
      <c r="B3673" s="1" t="s">
        <v>7061</v>
      </c>
      <c r="C3673" s="9" t="s">
        <v>5331</v>
      </c>
      <c r="D3673" s="14" t="s">
        <v>7062</v>
      </c>
      <c r="E3673" s="9" t="s">
        <v>8</v>
      </c>
    </row>
    <row r="3674" spans="1:5" outlineLevel="1" x14ac:dyDescent="0.25">
      <c r="A3674" s="2"/>
      <c r="B3674" s="6" t="s">
        <v>7063</v>
      </c>
      <c r="C3674" s="8"/>
      <c r="D3674" s="8"/>
      <c r="E3674" s="8"/>
    </row>
    <row r="3675" spans="1:5" ht="15" customHeight="1" outlineLevel="2" x14ac:dyDescent="0.25">
      <c r="A3675" s="3" t="str">
        <f>HYPERLINK("http://mystore1.ru/price_items/search?utf8=%E2%9C%93&amp;oem=4324AGNHV1P","4324AGNHV1P")</f>
        <v>4324AGNHV1P</v>
      </c>
      <c r="B3675" s="1" t="s">
        <v>7064</v>
      </c>
      <c r="C3675" s="9" t="s">
        <v>7065</v>
      </c>
      <c r="D3675" s="14" t="s">
        <v>7066</v>
      </c>
      <c r="E3675" s="9" t="s">
        <v>8</v>
      </c>
    </row>
    <row r="3676" spans="1:5" ht="15" customHeight="1" outlineLevel="2" x14ac:dyDescent="0.25">
      <c r="A3676" s="3" t="str">
        <f>HYPERLINK("http://mystore1.ru/price_items/search?utf8=%E2%9C%93&amp;oem=4324AGNV1P","4324AGNV1P")</f>
        <v>4324AGNV1P</v>
      </c>
      <c r="B3676" s="1" t="s">
        <v>7067</v>
      </c>
      <c r="C3676" s="9" t="s">
        <v>7065</v>
      </c>
      <c r="D3676" s="14" t="s">
        <v>7068</v>
      </c>
      <c r="E3676" s="9" t="s">
        <v>8</v>
      </c>
    </row>
    <row r="3677" spans="1:5" outlineLevel="1" x14ac:dyDescent="0.25">
      <c r="A3677" s="2"/>
      <c r="B3677" s="6" t="s">
        <v>7069</v>
      </c>
      <c r="C3677" s="8"/>
      <c r="D3677" s="8"/>
      <c r="E3677" s="8"/>
    </row>
    <row r="3678" spans="1:5" outlineLevel="2" x14ac:dyDescent="0.25">
      <c r="A3678" s="3" t="str">
        <f>HYPERLINK("http://mystore1.ru/price_items/search?utf8=%E2%9C%93&amp;oem=4328AGAHMVZ1P","4328AGAHMVZ1P")</f>
        <v>4328AGAHMVZ1P</v>
      </c>
      <c r="B3678" s="1" t="s">
        <v>7070</v>
      </c>
      <c r="C3678" s="9" t="s">
        <v>2351</v>
      </c>
      <c r="D3678" s="14" t="s">
        <v>7071</v>
      </c>
      <c r="E3678" s="9" t="s">
        <v>8</v>
      </c>
    </row>
    <row r="3679" spans="1:5" x14ac:dyDescent="0.25">
      <c r="A3679" s="61" t="s">
        <v>2107</v>
      </c>
      <c r="B3679" s="61"/>
      <c r="C3679" s="61"/>
      <c r="D3679" s="61"/>
      <c r="E3679" s="61"/>
    </row>
    <row r="3680" spans="1:5" outlineLevel="1" x14ac:dyDescent="0.25">
      <c r="A3680" s="2"/>
      <c r="B3680" s="6" t="s">
        <v>7072</v>
      </c>
      <c r="C3680" s="8"/>
      <c r="D3680" s="8"/>
      <c r="E3680" s="8"/>
    </row>
    <row r="3681" spans="1:5" ht="15" customHeight="1" outlineLevel="2" x14ac:dyDescent="0.25">
      <c r="A3681" s="3" t="str">
        <f>HYPERLINK("http://mystore1.ru/price_items/search?utf8=%E2%9C%93&amp;oem=1449AGN","1449AGN")</f>
        <v>1449AGN</v>
      </c>
      <c r="B3681" s="1" t="s">
        <v>7073</v>
      </c>
      <c r="C3681" s="9" t="s">
        <v>2594</v>
      </c>
      <c r="D3681" s="14" t="s">
        <v>7074</v>
      </c>
      <c r="E3681" s="9" t="s">
        <v>8</v>
      </c>
    </row>
    <row r="3682" spans="1:5" outlineLevel="1" x14ac:dyDescent="0.25">
      <c r="A3682" s="2"/>
      <c r="B3682" s="6" t="s">
        <v>7075</v>
      </c>
      <c r="C3682" s="8"/>
      <c r="D3682" s="8"/>
      <c r="E3682" s="8"/>
    </row>
    <row r="3683" spans="1:5" ht="15" customHeight="1" outlineLevel="2" x14ac:dyDescent="0.25">
      <c r="A3683" s="3" t="str">
        <f>HYPERLINK("http://mystore1.ru/price_items/search?utf8=%E2%9C%93&amp;oem=AJ09AGSBLV","AJ09AGSBLV")</f>
        <v>AJ09AGSBLV</v>
      </c>
      <c r="B3683" s="1" t="s">
        <v>7076</v>
      </c>
      <c r="C3683" s="9" t="s">
        <v>457</v>
      </c>
      <c r="D3683" s="14" t="s">
        <v>7077</v>
      </c>
      <c r="E3683" s="9" t="s">
        <v>8</v>
      </c>
    </row>
    <row r="3684" spans="1:5" ht="15" customHeight="1" outlineLevel="2" x14ac:dyDescent="0.25">
      <c r="A3684" s="3" t="str">
        <f>HYPERLINK("http://mystore1.ru/price_items/search?utf8=%E2%9C%93&amp;oem=AJ09AGSBLV1B","AJ09AGSBLV1B")</f>
        <v>AJ09AGSBLV1B</v>
      </c>
      <c r="B3684" s="1" t="s">
        <v>7078</v>
      </c>
      <c r="C3684" s="9" t="s">
        <v>457</v>
      </c>
      <c r="D3684" s="14" t="s">
        <v>7079</v>
      </c>
      <c r="E3684" s="9" t="s">
        <v>8</v>
      </c>
    </row>
    <row r="3685" spans="1:5" ht="15" customHeight="1" outlineLevel="2" x14ac:dyDescent="0.25">
      <c r="A3685" s="3" t="str">
        <f>HYPERLINK("http://mystore1.ru/price_items/search?utf8=%E2%9C%93&amp;oem=AJ09AGSV1B","AJ09AGSV1B")</f>
        <v>AJ09AGSV1B</v>
      </c>
      <c r="B3685" s="1" t="s">
        <v>7080</v>
      </c>
      <c r="C3685" s="9" t="s">
        <v>457</v>
      </c>
      <c r="D3685" s="14" t="s">
        <v>7081</v>
      </c>
      <c r="E3685" s="9" t="s">
        <v>8</v>
      </c>
    </row>
    <row r="3686" spans="1:5" ht="15" customHeight="1" outlineLevel="2" x14ac:dyDescent="0.25">
      <c r="A3686" s="3" t="str">
        <f>HYPERLINK("http://mystore1.ru/price_items/search?utf8=%E2%9C%93&amp;oem=AJ09BGSROW","AJ09BGSROW")</f>
        <v>AJ09BGSROW</v>
      </c>
      <c r="B3686" s="1" t="s">
        <v>7082</v>
      </c>
      <c r="C3686" s="9" t="s">
        <v>457</v>
      </c>
      <c r="D3686" s="14" t="s">
        <v>7083</v>
      </c>
      <c r="E3686" s="9" t="s">
        <v>30</v>
      </c>
    </row>
    <row r="3687" spans="1:5" ht="15" customHeight="1" outlineLevel="2" x14ac:dyDescent="0.25">
      <c r="A3687" s="3" t="str">
        <f>HYPERLINK("http://mystore1.ru/price_items/search?utf8=%E2%9C%93&amp;oem=AJ09LGSR5FDW","AJ09LGSR5FDW")</f>
        <v>AJ09LGSR5FDW</v>
      </c>
      <c r="B3687" s="1" t="s">
        <v>7084</v>
      </c>
      <c r="C3687" s="9" t="s">
        <v>457</v>
      </c>
      <c r="D3687" s="14" t="s">
        <v>7085</v>
      </c>
      <c r="E3687" s="9" t="s">
        <v>11</v>
      </c>
    </row>
    <row r="3688" spans="1:5" ht="15" customHeight="1" outlineLevel="2" x14ac:dyDescent="0.25">
      <c r="A3688" s="3" t="str">
        <f>HYPERLINK("http://mystore1.ru/price_items/search?utf8=%E2%9C%93&amp;oem=AJ09RGSR5FDW","AJ09RGSR5FDW")</f>
        <v>AJ09RGSR5FDW</v>
      </c>
      <c r="B3688" s="1" t="s">
        <v>7086</v>
      </c>
      <c r="C3688" s="9" t="s">
        <v>457</v>
      </c>
      <c r="D3688" s="14" t="s">
        <v>7087</v>
      </c>
      <c r="E3688" s="9" t="s">
        <v>11</v>
      </c>
    </row>
    <row r="3689" spans="1:5" outlineLevel="1" x14ac:dyDescent="0.25">
      <c r="A3689" s="2"/>
      <c r="B3689" s="6" t="s">
        <v>7088</v>
      </c>
      <c r="C3689" s="8"/>
      <c r="D3689" s="8"/>
      <c r="E3689" s="8"/>
    </row>
    <row r="3690" spans="1:5" ht="15" customHeight="1" outlineLevel="2" x14ac:dyDescent="0.25">
      <c r="A3690" s="3" t="str">
        <f>HYPERLINK("http://mystore1.ru/price_items/search?utf8=%E2%9C%93&amp;oem=AJ16AGSV","AJ16AGSV")</f>
        <v>AJ16AGSV</v>
      </c>
      <c r="B3690" s="1" t="s">
        <v>7089</v>
      </c>
      <c r="C3690" s="9" t="s">
        <v>642</v>
      </c>
      <c r="D3690" s="14" t="s">
        <v>7090</v>
      </c>
      <c r="E3690" s="9" t="s">
        <v>8</v>
      </c>
    </row>
    <row r="3691" spans="1:5" ht="15" customHeight="1" outlineLevel="2" x14ac:dyDescent="0.25">
      <c r="A3691" s="3" t="str">
        <f>HYPERLINK("http://mystore1.ru/price_items/search?utf8=%E2%9C%93&amp;oem=AJ16AGSBLMV","AJ16AGSBLMV")</f>
        <v>AJ16AGSBLMV</v>
      </c>
      <c r="B3691" s="1" t="s">
        <v>7091</v>
      </c>
      <c r="C3691" s="9" t="s">
        <v>642</v>
      </c>
      <c r="D3691" s="14" t="s">
        <v>7092</v>
      </c>
      <c r="E3691" s="9" t="s">
        <v>8</v>
      </c>
    </row>
    <row r="3692" spans="1:5" outlineLevel="1" x14ac:dyDescent="0.25">
      <c r="A3692" s="2"/>
      <c r="B3692" s="6" t="s">
        <v>7093</v>
      </c>
      <c r="C3692" s="8"/>
      <c r="D3692" s="8"/>
      <c r="E3692" s="8"/>
    </row>
    <row r="3693" spans="1:5" ht="15" customHeight="1" outlineLevel="2" x14ac:dyDescent="0.25">
      <c r="A3693" s="3" t="str">
        <f>HYPERLINK("http://mystore1.ru/price_items/search?utf8=%E2%9C%93&amp;oem=AJ10AGSMV1C","AJ10AGSMV1C")</f>
        <v>AJ10AGSMV1C</v>
      </c>
      <c r="B3693" s="1" t="s">
        <v>7094</v>
      </c>
      <c r="C3693" s="9" t="s">
        <v>1629</v>
      </c>
      <c r="D3693" s="14" t="s">
        <v>7095</v>
      </c>
      <c r="E3693" s="9" t="s">
        <v>8</v>
      </c>
    </row>
    <row r="3694" spans="1:5" ht="15" customHeight="1" outlineLevel="2" x14ac:dyDescent="0.25">
      <c r="A3694" s="3" t="str">
        <f>HYPERLINK("http://mystore1.ru/price_items/search?utf8=%E2%9C%93&amp;oem=AJ10AGSV","AJ10AGSV")</f>
        <v>AJ10AGSV</v>
      </c>
      <c r="B3694" s="1" t="s">
        <v>7096</v>
      </c>
      <c r="C3694" s="9" t="s">
        <v>1629</v>
      </c>
      <c r="D3694" s="14" t="s">
        <v>7097</v>
      </c>
      <c r="E3694" s="9" t="s">
        <v>8</v>
      </c>
    </row>
    <row r="3695" spans="1:5" ht="15" customHeight="1" outlineLevel="2" x14ac:dyDescent="0.25">
      <c r="A3695" s="3" t="str">
        <f>HYPERLINK("http://mystore1.ru/price_items/search?utf8=%E2%9C%93&amp;oem=AJ10BGSROW","AJ10BGSROW")</f>
        <v>AJ10BGSROW</v>
      </c>
      <c r="B3695" s="1" t="s">
        <v>7098</v>
      </c>
      <c r="C3695" s="9" t="s">
        <v>1629</v>
      </c>
      <c r="D3695" s="14" t="s">
        <v>7099</v>
      </c>
      <c r="E3695" s="9" t="s">
        <v>30</v>
      </c>
    </row>
    <row r="3696" spans="1:5" ht="15" customHeight="1" outlineLevel="2" x14ac:dyDescent="0.25">
      <c r="A3696" s="3" t="str">
        <f>HYPERLINK("http://mystore1.ru/price_items/search?utf8=%E2%9C%93&amp;oem=AJ10BYPROW","AJ10BYPROW")</f>
        <v>AJ10BYPROW</v>
      </c>
      <c r="B3696" s="1" t="s">
        <v>7100</v>
      </c>
      <c r="C3696" s="9" t="s">
        <v>1629</v>
      </c>
      <c r="D3696" s="14" t="s">
        <v>7101</v>
      </c>
      <c r="E3696" s="9" t="s">
        <v>30</v>
      </c>
    </row>
    <row r="3697" spans="1:5" ht="15" customHeight="1" outlineLevel="2" x14ac:dyDescent="0.25">
      <c r="A3697" s="3" t="str">
        <f>HYPERLINK("http://mystore1.ru/price_items/search?utf8=%E2%9C%93&amp;oem=AJ10LGSR5FDKW","AJ10LGSR5FDKW")</f>
        <v>AJ10LGSR5FDKW</v>
      </c>
      <c r="B3697" s="1" t="s">
        <v>7102</v>
      </c>
      <c r="C3697" s="9" t="s">
        <v>1629</v>
      </c>
      <c r="D3697" s="14" t="s">
        <v>7103</v>
      </c>
      <c r="E3697" s="9" t="s">
        <v>11</v>
      </c>
    </row>
    <row r="3698" spans="1:5" ht="15" customHeight="1" outlineLevel="2" x14ac:dyDescent="0.25">
      <c r="A3698" s="3" t="str">
        <f>HYPERLINK("http://mystore1.ru/price_items/search?utf8=%E2%9C%93&amp;oem=AJ10LGSR5RD","AJ10LGSR5RD")</f>
        <v>AJ10LGSR5RD</v>
      </c>
      <c r="B3698" s="1" t="s">
        <v>7104</v>
      </c>
      <c r="C3698" s="9" t="s">
        <v>1629</v>
      </c>
      <c r="D3698" s="14" t="s">
        <v>7105</v>
      </c>
      <c r="E3698" s="9" t="s">
        <v>11</v>
      </c>
    </row>
    <row r="3699" spans="1:5" ht="15" customHeight="1" outlineLevel="2" x14ac:dyDescent="0.25">
      <c r="A3699" s="3" t="str">
        <f>HYPERLINK("http://mystore1.ru/price_items/search?utf8=%E2%9C%93&amp;oem=AJ10LYPR5RD","AJ10LYPR5RD")</f>
        <v>AJ10LYPR5RD</v>
      </c>
      <c r="B3699" s="1" t="s">
        <v>7106</v>
      </c>
      <c r="C3699" s="9" t="s">
        <v>1629</v>
      </c>
      <c r="D3699" s="14" t="s">
        <v>7107</v>
      </c>
      <c r="E3699" s="9" t="s">
        <v>11</v>
      </c>
    </row>
    <row r="3700" spans="1:5" ht="15" customHeight="1" outlineLevel="2" x14ac:dyDescent="0.25">
      <c r="A3700" s="3" t="str">
        <f>HYPERLINK("http://mystore1.ru/price_items/search?utf8=%E2%9C%93&amp;oem=AJ10RGSR5FDKW","AJ10RGSR5FDKW")</f>
        <v>AJ10RGSR5FDKW</v>
      </c>
      <c r="B3700" s="1" t="s">
        <v>7108</v>
      </c>
      <c r="C3700" s="9" t="s">
        <v>1629</v>
      </c>
      <c r="D3700" s="14" t="s">
        <v>7109</v>
      </c>
      <c r="E3700" s="9" t="s">
        <v>11</v>
      </c>
    </row>
    <row r="3701" spans="1:5" ht="15" customHeight="1" outlineLevel="2" x14ac:dyDescent="0.25">
      <c r="A3701" s="3" t="str">
        <f>HYPERLINK("http://mystore1.ru/price_items/search?utf8=%E2%9C%93&amp;oem=AJ10RGSR5RD","AJ10RGSR5RD")</f>
        <v>AJ10RGSR5RD</v>
      </c>
      <c r="B3701" s="1" t="s">
        <v>7110</v>
      </c>
      <c r="C3701" s="9" t="s">
        <v>1629</v>
      </c>
      <c r="D3701" s="14" t="s">
        <v>7111</v>
      </c>
      <c r="E3701" s="9" t="s">
        <v>11</v>
      </c>
    </row>
    <row r="3702" spans="1:5" ht="15" customHeight="1" outlineLevel="2" x14ac:dyDescent="0.25">
      <c r="A3702" s="3" t="str">
        <f>HYPERLINK("http://mystore1.ru/price_items/search?utf8=%E2%9C%93&amp;oem=AJ10RYPR5RD","AJ10RYPR5RD")</f>
        <v>AJ10RYPR5RD</v>
      </c>
      <c r="B3702" s="1" t="s">
        <v>7112</v>
      </c>
      <c r="C3702" s="9" t="s">
        <v>1629</v>
      </c>
      <c r="D3702" s="14" t="s">
        <v>7113</v>
      </c>
      <c r="E3702" s="9" t="s">
        <v>11</v>
      </c>
    </row>
    <row r="3703" spans="1:5" outlineLevel="1" x14ac:dyDescent="0.25">
      <c r="A3703" s="2"/>
      <c r="B3703" s="6" t="s">
        <v>7114</v>
      </c>
      <c r="C3703" s="8"/>
      <c r="D3703" s="8"/>
      <c r="E3703" s="8"/>
    </row>
    <row r="3704" spans="1:5" outlineLevel="2" x14ac:dyDescent="0.25">
      <c r="A3704" s="3" t="str">
        <f>HYPERLINK("http://mystore1.ru/price_items/search?utf8=%E2%9C%93&amp;oem=AJ06AGN","AJ06AGN")</f>
        <v>AJ06AGN</v>
      </c>
      <c r="B3704" s="1" t="s">
        <v>7115</v>
      </c>
      <c r="C3704" s="9" t="s">
        <v>7116</v>
      </c>
      <c r="D3704" s="14" t="s">
        <v>7117</v>
      </c>
      <c r="E3704" s="9" t="s">
        <v>8</v>
      </c>
    </row>
    <row r="3705" spans="1:5" outlineLevel="2" x14ac:dyDescent="0.25">
      <c r="A3705" s="3" t="str">
        <f>HYPERLINK("http://mystore1.ru/price_items/search?utf8=%E2%9C%93&amp;oem=AJ06ASMR","AJ06ASMR")</f>
        <v>AJ06ASMR</v>
      </c>
      <c r="B3705" s="1" t="s">
        <v>7118</v>
      </c>
      <c r="C3705" s="9" t="s">
        <v>25</v>
      </c>
      <c r="D3705" s="14" t="s">
        <v>7119</v>
      </c>
      <c r="E3705" s="9" t="s">
        <v>27</v>
      </c>
    </row>
    <row r="3706" spans="1:5" x14ac:dyDescent="0.25">
      <c r="A3706" s="61" t="s">
        <v>7120</v>
      </c>
      <c r="B3706" s="61"/>
      <c r="C3706" s="61"/>
      <c r="D3706" s="61"/>
      <c r="E3706" s="61"/>
    </row>
    <row r="3707" spans="1:5" outlineLevel="1" x14ac:dyDescent="0.25">
      <c r="A3707" s="2"/>
      <c r="B3707" s="6" t="s">
        <v>7121</v>
      </c>
      <c r="C3707" s="8"/>
      <c r="D3707" s="8"/>
      <c r="E3707" s="8"/>
    </row>
    <row r="3708" spans="1:5" ht="15" customHeight="1" outlineLevel="2" x14ac:dyDescent="0.25">
      <c r="A3708" s="3" t="str">
        <f>HYPERLINK("http://mystore1.ru/price_items/search?utf8=%E2%9C%93&amp;oem=4419AGNBL","4419AGNBL")</f>
        <v>4419AGNBL</v>
      </c>
      <c r="B3708" s="1" t="s">
        <v>7122</v>
      </c>
      <c r="C3708" s="9" t="s">
        <v>1496</v>
      </c>
      <c r="D3708" s="14" t="s">
        <v>7123</v>
      </c>
      <c r="E3708" s="9" t="s">
        <v>8</v>
      </c>
    </row>
    <row r="3709" spans="1:5" outlineLevel="1" x14ac:dyDescent="0.25">
      <c r="A3709" s="2"/>
      <c r="B3709" s="6" t="s">
        <v>7124</v>
      </c>
      <c r="C3709" s="8"/>
      <c r="D3709" s="8"/>
      <c r="E3709" s="8"/>
    </row>
    <row r="3710" spans="1:5" ht="15" customHeight="1" outlineLevel="2" x14ac:dyDescent="0.25">
      <c r="A3710" s="3" t="str">
        <f>HYPERLINK("http://mystore1.ru/price_items/search?utf8=%E2%9C%93&amp;oem=4410AGNBL","4410AGNBL")</f>
        <v>4410AGNBL</v>
      </c>
      <c r="B3710" s="1" t="s">
        <v>7125</v>
      </c>
      <c r="C3710" s="9" t="s">
        <v>7126</v>
      </c>
      <c r="D3710" s="14" t="s">
        <v>7127</v>
      </c>
      <c r="E3710" s="9" t="s">
        <v>8</v>
      </c>
    </row>
    <row r="3711" spans="1:5" ht="15" customHeight="1" outlineLevel="2" x14ac:dyDescent="0.25">
      <c r="A3711" s="3" t="str">
        <f>HYPERLINK("http://mystore1.ru/price_items/search?utf8=%E2%9C%93&amp;oem=4410ASMV","4410ASMV")</f>
        <v>4410ASMV</v>
      </c>
      <c r="B3711" s="1" t="s">
        <v>7128</v>
      </c>
      <c r="C3711" s="9" t="s">
        <v>25</v>
      </c>
      <c r="D3711" s="14" t="s">
        <v>7129</v>
      </c>
      <c r="E3711" s="9" t="s">
        <v>27</v>
      </c>
    </row>
    <row r="3712" spans="1:5" ht="15" customHeight="1" outlineLevel="2" x14ac:dyDescent="0.25">
      <c r="A3712" s="3" t="str">
        <f>HYPERLINK("http://mystore1.ru/price_items/search?utf8=%E2%9C%93&amp;oem=4410LGNV5RD","4410LGNV5RD")</f>
        <v>4410LGNV5RD</v>
      </c>
      <c r="B3712" s="1" t="s">
        <v>7130</v>
      </c>
      <c r="C3712" s="9" t="s">
        <v>7126</v>
      </c>
      <c r="D3712" s="14" t="s">
        <v>7131</v>
      </c>
      <c r="E3712" s="9" t="s">
        <v>11</v>
      </c>
    </row>
    <row r="3713" spans="1:5" ht="15" customHeight="1" outlineLevel="2" x14ac:dyDescent="0.25">
      <c r="A3713" s="3" t="str">
        <f>HYPERLINK("http://mystore1.ru/price_items/search?utf8=%E2%9C%93&amp;oem=4410RGNV5RD","4410RGNV5RD")</f>
        <v>4410RGNV5RD</v>
      </c>
      <c r="B3713" s="1" t="s">
        <v>7132</v>
      </c>
      <c r="C3713" s="9" t="s">
        <v>7126</v>
      </c>
      <c r="D3713" s="14" t="s">
        <v>7133</v>
      </c>
      <c r="E3713" s="9" t="s">
        <v>11</v>
      </c>
    </row>
    <row r="3714" spans="1:5" outlineLevel="1" x14ac:dyDescent="0.25">
      <c r="A3714" s="2"/>
      <c r="B3714" s="6" t="s">
        <v>7134</v>
      </c>
      <c r="C3714" s="8"/>
      <c r="D3714" s="8"/>
      <c r="E3714" s="8"/>
    </row>
    <row r="3715" spans="1:5" ht="15" customHeight="1" outlineLevel="2" x14ac:dyDescent="0.25">
      <c r="A3715" s="3" t="str">
        <f>HYPERLINK("http://mystore1.ru/price_items/search?utf8=%E2%9C%93&amp;oem=4430AGNBLHV","4430AGNBLHV")</f>
        <v>4430AGNBLHV</v>
      </c>
      <c r="B3715" s="1" t="s">
        <v>7135</v>
      </c>
      <c r="C3715" s="9" t="s">
        <v>1786</v>
      </c>
      <c r="D3715" s="14" t="s">
        <v>7136</v>
      </c>
      <c r="E3715" s="9" t="s">
        <v>8</v>
      </c>
    </row>
    <row r="3716" spans="1:5" ht="15" customHeight="1" outlineLevel="2" x14ac:dyDescent="0.25">
      <c r="A3716" s="3" t="str">
        <f>HYPERLINK("http://mystore1.ru/price_items/search?utf8=%E2%9C%93&amp;oem=4430LGNM5FD","4430LGNM5FD")</f>
        <v>4430LGNM5FD</v>
      </c>
      <c r="B3716" s="1" t="s">
        <v>7137</v>
      </c>
      <c r="C3716" s="9" t="s">
        <v>1786</v>
      </c>
      <c r="D3716" s="14" t="s">
        <v>7138</v>
      </c>
      <c r="E3716" s="9" t="s">
        <v>11</v>
      </c>
    </row>
    <row r="3717" spans="1:5" ht="15" customHeight="1" outlineLevel="2" x14ac:dyDescent="0.25">
      <c r="A3717" s="3" t="str">
        <f>HYPERLINK("http://mystore1.ru/price_items/search?utf8=%E2%9C%93&amp;oem=4430LGNM5RD","4430LGNM5RD")</f>
        <v>4430LGNM5RD</v>
      </c>
      <c r="B3717" s="1" t="s">
        <v>7139</v>
      </c>
      <c r="C3717" s="9" t="s">
        <v>1786</v>
      </c>
      <c r="D3717" s="14" t="s">
        <v>7140</v>
      </c>
      <c r="E3717" s="9" t="s">
        <v>11</v>
      </c>
    </row>
    <row r="3718" spans="1:5" ht="15" customHeight="1" outlineLevel="2" x14ac:dyDescent="0.25">
      <c r="A3718" s="3" t="str">
        <f>HYPERLINK("http://mystore1.ru/price_items/search?utf8=%E2%9C%93&amp;oem=4430RGNM5FD","4430RGNM5FD")</f>
        <v>4430RGNM5FD</v>
      </c>
      <c r="B3718" s="1" t="s">
        <v>7141</v>
      </c>
      <c r="C3718" s="9" t="s">
        <v>1786</v>
      </c>
      <c r="D3718" s="14" t="s">
        <v>7142</v>
      </c>
      <c r="E3718" s="9" t="s">
        <v>11</v>
      </c>
    </row>
    <row r="3719" spans="1:5" ht="15" customHeight="1" outlineLevel="2" x14ac:dyDescent="0.25">
      <c r="A3719" s="3" t="str">
        <f>HYPERLINK("http://mystore1.ru/price_items/search?utf8=%E2%9C%93&amp;oem=4430RGNM5RD","4430RGNM5RD")</f>
        <v>4430RGNM5RD</v>
      </c>
      <c r="B3719" s="1" t="s">
        <v>7143</v>
      </c>
      <c r="C3719" s="9" t="s">
        <v>1786</v>
      </c>
      <c r="D3719" s="14" t="s">
        <v>7144</v>
      </c>
      <c r="E3719" s="9" t="s">
        <v>11</v>
      </c>
    </row>
    <row r="3720" spans="1:5" outlineLevel="1" x14ac:dyDescent="0.25">
      <c r="A3720" s="2"/>
      <c r="B3720" s="6" t="s">
        <v>7145</v>
      </c>
      <c r="C3720" s="8"/>
      <c r="D3720" s="8"/>
      <c r="E3720" s="8"/>
    </row>
    <row r="3721" spans="1:5" ht="15" customHeight="1" outlineLevel="2" x14ac:dyDescent="0.25">
      <c r="A3721" s="3" t="str">
        <f>HYPERLINK("http://mystore1.ru/price_items/search?utf8=%E2%9C%93&amp;oem=4408AGNBL","4408AGNBL")</f>
        <v>4408AGNBL</v>
      </c>
      <c r="B3721" s="1" t="s">
        <v>7146</v>
      </c>
      <c r="C3721" s="9" t="s">
        <v>956</v>
      </c>
      <c r="D3721" s="14" t="s">
        <v>7147</v>
      </c>
      <c r="E3721" s="9" t="s">
        <v>8</v>
      </c>
    </row>
    <row r="3722" spans="1:5" ht="15" customHeight="1" outlineLevel="2" x14ac:dyDescent="0.25">
      <c r="A3722" s="3" t="str">
        <f>HYPERLINK("http://mystore1.ru/price_items/search?utf8=%E2%9C%93&amp;oem=4408AGNBLHM1B","4408AGNBLHM1B")</f>
        <v>4408AGNBLHM1B</v>
      </c>
      <c r="B3722" s="1" t="s">
        <v>7148</v>
      </c>
      <c r="C3722" s="9" t="s">
        <v>1496</v>
      </c>
      <c r="D3722" s="14" t="s">
        <v>7149</v>
      </c>
      <c r="E3722" s="9" t="s">
        <v>8</v>
      </c>
    </row>
    <row r="3723" spans="1:5" ht="15" customHeight="1" outlineLevel="2" x14ac:dyDescent="0.25">
      <c r="A3723" s="3" t="str">
        <f>HYPERLINK("http://mystore1.ru/price_items/search?utf8=%E2%9C%93&amp;oem=4408ASMV","4408ASMV")</f>
        <v>4408ASMV</v>
      </c>
      <c r="B3723" s="1" t="s">
        <v>7150</v>
      </c>
      <c r="C3723" s="9" t="s">
        <v>25</v>
      </c>
      <c r="D3723" s="14" t="s">
        <v>7151</v>
      </c>
      <c r="E3723" s="9" t="s">
        <v>27</v>
      </c>
    </row>
    <row r="3724" spans="1:5" ht="15" customHeight="1" outlineLevel="2" x14ac:dyDescent="0.25">
      <c r="A3724" s="3" t="str">
        <f>HYPERLINK("http://mystore1.ru/price_items/search?utf8=%E2%9C%93&amp;oem=4408BGNV","4408BGNV")</f>
        <v>4408BGNV</v>
      </c>
      <c r="B3724" s="1" t="s">
        <v>7152</v>
      </c>
      <c r="C3724" s="9" t="s">
        <v>956</v>
      </c>
      <c r="D3724" s="14" t="s">
        <v>7153</v>
      </c>
      <c r="E3724" s="9" t="s">
        <v>30</v>
      </c>
    </row>
    <row r="3725" spans="1:5" ht="15" customHeight="1" outlineLevel="2" x14ac:dyDescent="0.25">
      <c r="A3725" s="3" t="str">
        <f>HYPERLINK("http://mystore1.ru/price_items/search?utf8=%E2%9C%93&amp;oem=4408BGNVBW1J","4408BGNVBW1J")</f>
        <v>4408BGNVBW1J</v>
      </c>
      <c r="B3725" s="1" t="s">
        <v>7154</v>
      </c>
      <c r="C3725" s="9" t="s">
        <v>1496</v>
      </c>
      <c r="D3725" s="14" t="s">
        <v>7155</v>
      </c>
      <c r="E3725" s="9" t="s">
        <v>30</v>
      </c>
    </row>
    <row r="3726" spans="1:5" ht="15" customHeight="1" outlineLevel="2" x14ac:dyDescent="0.25">
      <c r="A3726" s="3" t="str">
        <f>HYPERLINK("http://mystore1.ru/price_items/search?utf8=%E2%9C%93&amp;oem=4408LGNV5FD","4408LGNV5FD")</f>
        <v>4408LGNV5FD</v>
      </c>
      <c r="B3726" s="1" t="s">
        <v>7156</v>
      </c>
      <c r="C3726" s="9" t="s">
        <v>956</v>
      </c>
      <c r="D3726" s="14" t="s">
        <v>7157</v>
      </c>
      <c r="E3726" s="9" t="s">
        <v>11</v>
      </c>
    </row>
    <row r="3727" spans="1:5" ht="15" customHeight="1" outlineLevel="2" x14ac:dyDescent="0.25">
      <c r="A3727" s="3" t="str">
        <f>HYPERLINK("http://mystore1.ru/price_items/search?utf8=%E2%9C%93&amp;oem=4408LGNV5RDW","4408LGNV5RDW")</f>
        <v>4408LGNV5RDW</v>
      </c>
      <c r="B3727" s="1" t="s">
        <v>7158</v>
      </c>
      <c r="C3727" s="9" t="s">
        <v>956</v>
      </c>
      <c r="D3727" s="14" t="s">
        <v>7159</v>
      </c>
      <c r="E3727" s="9" t="s">
        <v>11</v>
      </c>
    </row>
    <row r="3728" spans="1:5" ht="15" customHeight="1" outlineLevel="2" x14ac:dyDescent="0.25">
      <c r="A3728" s="3" t="str">
        <f>HYPERLINK("http://mystore1.ru/price_items/search?utf8=%E2%9C%93&amp;oem=4408LGNV5RQO","4408LGNV5RQO")</f>
        <v>4408LGNV5RQO</v>
      </c>
      <c r="B3728" s="1" t="s">
        <v>7160</v>
      </c>
      <c r="C3728" s="9" t="s">
        <v>956</v>
      </c>
      <c r="D3728" s="14" t="s">
        <v>7161</v>
      </c>
      <c r="E3728" s="9" t="s">
        <v>11</v>
      </c>
    </row>
    <row r="3729" spans="1:5" ht="15" customHeight="1" outlineLevel="2" x14ac:dyDescent="0.25">
      <c r="A3729" s="3" t="str">
        <f>HYPERLINK("http://mystore1.ru/price_items/search?utf8=%E2%9C%93&amp;oem=4408RGNV5FD","4408RGNV5FD")</f>
        <v>4408RGNV5FD</v>
      </c>
      <c r="B3729" s="1" t="s">
        <v>7162</v>
      </c>
      <c r="C3729" s="9" t="s">
        <v>956</v>
      </c>
      <c r="D3729" s="14" t="s">
        <v>7163</v>
      </c>
      <c r="E3729" s="9" t="s">
        <v>11</v>
      </c>
    </row>
    <row r="3730" spans="1:5" ht="15" customHeight="1" outlineLevel="2" x14ac:dyDescent="0.25">
      <c r="A3730" s="3" t="str">
        <f>HYPERLINK("http://mystore1.ru/price_items/search?utf8=%E2%9C%93&amp;oem=4408RGNV5RDW","4408RGNV5RDW")</f>
        <v>4408RGNV5RDW</v>
      </c>
      <c r="B3730" s="1" t="s">
        <v>7164</v>
      </c>
      <c r="C3730" s="9" t="s">
        <v>956</v>
      </c>
      <c r="D3730" s="14" t="s">
        <v>7165</v>
      </c>
      <c r="E3730" s="9" t="s">
        <v>11</v>
      </c>
    </row>
    <row r="3731" spans="1:5" ht="15" customHeight="1" outlineLevel="2" x14ac:dyDescent="0.25">
      <c r="A3731" s="3" t="str">
        <f>HYPERLINK("http://mystore1.ru/price_items/search?utf8=%E2%9C%93&amp;oem=4408RGNV5RQO","4408RGNV5RQO")</f>
        <v>4408RGNV5RQO</v>
      </c>
      <c r="B3731" s="1" t="s">
        <v>7166</v>
      </c>
      <c r="C3731" s="9" t="s">
        <v>956</v>
      </c>
      <c r="D3731" s="14" t="s">
        <v>7167</v>
      </c>
      <c r="E3731" s="9" t="s">
        <v>11</v>
      </c>
    </row>
    <row r="3732" spans="1:5" outlineLevel="1" x14ac:dyDescent="0.25">
      <c r="A3732" s="2"/>
      <c r="B3732" s="6" t="s">
        <v>7168</v>
      </c>
      <c r="C3732" s="8"/>
      <c r="D3732" s="8"/>
      <c r="E3732" s="8"/>
    </row>
    <row r="3733" spans="1:5" ht="15" customHeight="1" outlineLevel="2" x14ac:dyDescent="0.25">
      <c r="A3733" s="3" t="str">
        <f>HYPERLINK("http://mystore1.ru/price_items/search?utf8=%E2%9C%93&amp;oem=4429AGNBLHMV1B","4429AGNBLHMV1B")</f>
        <v>4429AGNBLHMV1B</v>
      </c>
      <c r="B3733" s="1" t="s">
        <v>7169</v>
      </c>
      <c r="C3733" s="9" t="s">
        <v>687</v>
      </c>
      <c r="D3733" s="14" t="s">
        <v>7170</v>
      </c>
      <c r="E3733" s="9" t="s">
        <v>8</v>
      </c>
    </row>
    <row r="3734" spans="1:5" ht="15" customHeight="1" outlineLevel="2" x14ac:dyDescent="0.25">
      <c r="A3734" s="3" t="str">
        <f>HYPERLINK("http://mystore1.ru/price_items/search?utf8=%E2%9C%93&amp;oem=4429AGNBLHV","4429AGNBLHV")</f>
        <v>4429AGNBLHV</v>
      </c>
      <c r="B3734" s="1" t="s">
        <v>7171</v>
      </c>
      <c r="C3734" s="9" t="s">
        <v>687</v>
      </c>
      <c r="D3734" s="14" t="s">
        <v>7172</v>
      </c>
      <c r="E3734" s="9" t="s">
        <v>8</v>
      </c>
    </row>
    <row r="3735" spans="1:5" ht="15" customHeight="1" outlineLevel="2" x14ac:dyDescent="0.25">
      <c r="A3735" s="3" t="str">
        <f>HYPERLINK("http://mystore1.ru/price_items/search?utf8=%E2%9C%93&amp;oem=4429LGNM5FD","4429LGNM5FD")</f>
        <v>4429LGNM5FD</v>
      </c>
      <c r="B3735" s="1" t="s">
        <v>7173</v>
      </c>
      <c r="C3735" s="9" t="s">
        <v>687</v>
      </c>
      <c r="D3735" s="14" t="s">
        <v>7174</v>
      </c>
      <c r="E3735" s="9" t="s">
        <v>11</v>
      </c>
    </row>
    <row r="3736" spans="1:5" ht="15" customHeight="1" outlineLevel="2" x14ac:dyDescent="0.25">
      <c r="A3736" s="3" t="str">
        <f>HYPERLINK("http://mystore1.ru/price_items/search?utf8=%E2%9C%93&amp;oem=4429RGNM5FD","4429RGNM5FD")</f>
        <v>4429RGNM5FD</v>
      </c>
      <c r="B3736" s="1" t="s">
        <v>7175</v>
      </c>
      <c r="C3736" s="9" t="s">
        <v>687</v>
      </c>
      <c r="D3736" s="14" t="s">
        <v>7176</v>
      </c>
      <c r="E3736" s="9" t="s">
        <v>11</v>
      </c>
    </row>
    <row r="3737" spans="1:5" ht="15" customHeight="1" outlineLevel="2" x14ac:dyDescent="0.25">
      <c r="A3737" s="3" t="str">
        <f>HYPERLINK("http://mystore1.ru/price_items/search?utf8=%E2%9C%93&amp;oem=4429RGNM5RDW","4429RGNM5RDW")</f>
        <v>4429RGNM5RDW</v>
      </c>
      <c r="B3737" s="1" t="s">
        <v>7177</v>
      </c>
      <c r="C3737" s="9" t="s">
        <v>687</v>
      </c>
      <c r="D3737" s="14" t="s">
        <v>7178</v>
      </c>
      <c r="E3737" s="9" t="s">
        <v>11</v>
      </c>
    </row>
    <row r="3738" spans="1:5" ht="15" customHeight="1" outlineLevel="2" x14ac:dyDescent="0.25">
      <c r="A3738" s="3" t="str">
        <f>HYPERLINK("http://mystore1.ru/price_items/search?utf8=%E2%9C%93&amp;oem=4429LGNM5RDW","4429LGNM5RDW")</f>
        <v>4429LGNM5RDW</v>
      </c>
      <c r="B3738" s="1" t="s">
        <v>7179</v>
      </c>
      <c r="C3738" s="9" t="s">
        <v>687</v>
      </c>
      <c r="D3738" s="14" t="s">
        <v>7180</v>
      </c>
      <c r="E3738" s="9" t="s">
        <v>11</v>
      </c>
    </row>
    <row r="3739" spans="1:5" outlineLevel="1" x14ac:dyDescent="0.25">
      <c r="A3739" s="2"/>
      <c r="B3739" s="6" t="s">
        <v>7181</v>
      </c>
      <c r="C3739" s="8"/>
      <c r="D3739" s="8"/>
      <c r="E3739" s="8"/>
    </row>
    <row r="3740" spans="1:5" ht="15" customHeight="1" outlineLevel="2" x14ac:dyDescent="0.25">
      <c r="A3740" s="3" t="str">
        <f>HYPERLINK("http://mystore1.ru/price_items/search?utf8=%E2%9C%93&amp;oem=4431AGSHMV1P","4431AGSHMV1P")</f>
        <v>4431AGSHMV1P</v>
      </c>
      <c r="B3740" s="1" t="s">
        <v>7182</v>
      </c>
      <c r="C3740" s="9" t="s">
        <v>687</v>
      </c>
      <c r="D3740" s="14" t="s">
        <v>7183</v>
      </c>
      <c r="E3740" s="9" t="s">
        <v>8</v>
      </c>
    </row>
    <row r="3741" spans="1:5" ht="15" customHeight="1" outlineLevel="2" x14ac:dyDescent="0.25">
      <c r="A3741" s="3" t="str">
        <f>HYPERLINK("http://mystore1.ru/price_items/search?utf8=%E2%9C%93&amp;oem=4431AGSHV","4431AGSHV")</f>
        <v>4431AGSHV</v>
      </c>
      <c r="B3741" s="1" t="s">
        <v>7184</v>
      </c>
      <c r="C3741" s="9" t="s">
        <v>687</v>
      </c>
      <c r="D3741" s="14" t="s">
        <v>7185</v>
      </c>
      <c r="E3741" s="9" t="s">
        <v>8</v>
      </c>
    </row>
    <row r="3742" spans="1:5" ht="15" customHeight="1" outlineLevel="2" x14ac:dyDescent="0.25">
      <c r="A3742" s="3" t="str">
        <f>HYPERLINK("http://mystore1.ru/price_items/search?utf8=%E2%9C%93&amp;oem=4431AGSMV1P","4431AGSMV1P")</f>
        <v>4431AGSMV1P</v>
      </c>
      <c r="B3742" s="1" t="s">
        <v>7186</v>
      </c>
      <c r="C3742" s="9" t="s">
        <v>687</v>
      </c>
      <c r="D3742" s="14" t="s">
        <v>7187</v>
      </c>
      <c r="E3742" s="9" t="s">
        <v>8</v>
      </c>
    </row>
    <row r="3743" spans="1:5" ht="15" customHeight="1" outlineLevel="2" x14ac:dyDescent="0.25">
      <c r="A3743" s="3" t="str">
        <f>HYPERLINK("http://mystore1.ru/price_items/search?utf8=%E2%9C%93&amp;oem=4431AGSV","4431AGSV")</f>
        <v>4431AGSV</v>
      </c>
      <c r="B3743" s="1" t="s">
        <v>7188</v>
      </c>
      <c r="C3743" s="9" t="s">
        <v>687</v>
      </c>
      <c r="D3743" s="14" t="s">
        <v>7189</v>
      </c>
      <c r="E3743" s="9" t="s">
        <v>8</v>
      </c>
    </row>
    <row r="3744" spans="1:5" ht="15" customHeight="1" outlineLevel="2" x14ac:dyDescent="0.25">
      <c r="A3744" s="3" t="str">
        <f>HYPERLINK("http://mystore1.ru/price_items/search?utf8=%E2%9C%93&amp;oem=4431AGNHV2P","4431AGNHV2P")</f>
        <v>4431AGNHV2P</v>
      </c>
      <c r="B3744" s="1" t="s">
        <v>7190</v>
      </c>
      <c r="C3744" s="9" t="s">
        <v>687</v>
      </c>
      <c r="D3744" s="14" t="s">
        <v>7191</v>
      </c>
      <c r="E3744" s="9" t="s">
        <v>8</v>
      </c>
    </row>
    <row r="3745" spans="1:5" ht="15" customHeight="1" outlineLevel="2" x14ac:dyDescent="0.25">
      <c r="A3745" s="3" t="str">
        <f>HYPERLINK("http://mystore1.ru/price_items/search?utf8=%E2%9C%93&amp;oem=4431AGNMV2P","4431AGNMV2P")</f>
        <v>4431AGNMV2P</v>
      </c>
      <c r="B3745" s="1" t="s">
        <v>7192</v>
      </c>
      <c r="C3745" s="9" t="s">
        <v>687</v>
      </c>
      <c r="D3745" s="14" t="s">
        <v>7193</v>
      </c>
      <c r="E3745" s="9" t="s">
        <v>8</v>
      </c>
    </row>
    <row r="3746" spans="1:5" ht="15" customHeight="1" outlineLevel="2" x14ac:dyDescent="0.25">
      <c r="A3746" s="3" t="str">
        <f>HYPERLINK("http://mystore1.ru/price_items/search?utf8=%E2%9C%93&amp;oem=4431ASMH","4431ASMH")</f>
        <v>4431ASMH</v>
      </c>
      <c r="B3746" s="1" t="s">
        <v>7194</v>
      </c>
      <c r="C3746" s="9" t="s">
        <v>25</v>
      </c>
      <c r="D3746" s="14" t="s">
        <v>7195</v>
      </c>
      <c r="E3746" s="9" t="s">
        <v>27</v>
      </c>
    </row>
    <row r="3747" spans="1:5" ht="15" customHeight="1" outlineLevel="2" x14ac:dyDescent="0.25">
      <c r="A3747" s="3" t="str">
        <f>HYPERLINK("http://mystore1.ru/price_items/search?utf8=%E2%9C%93&amp;oem=4431BGNHW1H","4431BGNHW1H")</f>
        <v>4431BGNHW1H</v>
      </c>
      <c r="B3747" s="1" t="s">
        <v>7196</v>
      </c>
      <c r="C3747" s="9" t="s">
        <v>687</v>
      </c>
      <c r="D3747" s="14" t="s">
        <v>7197</v>
      </c>
      <c r="E3747" s="9" t="s">
        <v>30</v>
      </c>
    </row>
    <row r="3748" spans="1:5" ht="15" customHeight="1" outlineLevel="2" x14ac:dyDescent="0.25">
      <c r="A3748" s="3" t="str">
        <f>HYPERLINK("http://mystore1.ru/price_items/search?utf8=%E2%9C%93&amp;oem=4431BYPHW1H","4431BYPHW1H")</f>
        <v>4431BYPHW1H</v>
      </c>
      <c r="B3748" s="1" t="s">
        <v>7198</v>
      </c>
      <c r="C3748" s="9" t="s">
        <v>687</v>
      </c>
      <c r="D3748" s="14" t="s">
        <v>7199</v>
      </c>
      <c r="E3748" s="9" t="s">
        <v>30</v>
      </c>
    </row>
    <row r="3749" spans="1:5" ht="15" customHeight="1" outlineLevel="2" x14ac:dyDescent="0.25">
      <c r="A3749" s="3" t="str">
        <f>HYPERLINK("http://mystore1.ru/price_items/search?utf8=%E2%9C%93&amp;oem=4431LGNE5RD","4431LGNE5RD")</f>
        <v>4431LGNE5RD</v>
      </c>
      <c r="B3749" s="1" t="s">
        <v>7200</v>
      </c>
      <c r="C3749" s="9" t="s">
        <v>511</v>
      </c>
      <c r="D3749" s="14" t="s">
        <v>7201</v>
      </c>
      <c r="E3749" s="9" t="s">
        <v>11</v>
      </c>
    </row>
    <row r="3750" spans="1:5" ht="15" customHeight="1" outlineLevel="2" x14ac:dyDescent="0.25">
      <c r="A3750" s="3" t="str">
        <f>HYPERLINK("http://mystore1.ru/price_items/search?utf8=%E2%9C%93&amp;oem=4431RGNH5FD","4431RGNH5FD")</f>
        <v>4431RGNH5FD</v>
      </c>
      <c r="B3750" s="1" t="s">
        <v>7202</v>
      </c>
      <c r="C3750" s="9" t="s">
        <v>687</v>
      </c>
      <c r="D3750" s="14" t="s">
        <v>7203</v>
      </c>
      <c r="E3750" s="9" t="s">
        <v>11</v>
      </c>
    </row>
    <row r="3751" spans="1:5" ht="15" customHeight="1" outlineLevel="2" x14ac:dyDescent="0.25">
      <c r="A3751" s="3" t="str">
        <f>HYPERLINK("http://mystore1.ru/price_items/search?utf8=%E2%9C%93&amp;oem=4431RGNH5FD1M","4431RGNH5FD1M")</f>
        <v>4431RGNH5FD1M</v>
      </c>
      <c r="B3751" s="1" t="s">
        <v>7204</v>
      </c>
      <c r="C3751" s="9" t="s">
        <v>687</v>
      </c>
      <c r="D3751" s="14" t="s">
        <v>7205</v>
      </c>
      <c r="E3751" s="9" t="s">
        <v>11</v>
      </c>
    </row>
    <row r="3752" spans="1:5" ht="15" customHeight="1" outlineLevel="2" x14ac:dyDescent="0.25">
      <c r="A3752" s="3" t="str">
        <f>HYPERLINK("http://mystore1.ru/price_items/search?utf8=%E2%9C%93&amp;oem=4431LGNH5FD","4431LGNH5FD")</f>
        <v>4431LGNH5FD</v>
      </c>
      <c r="B3752" s="1" t="s">
        <v>7206</v>
      </c>
      <c r="C3752" s="9" t="s">
        <v>687</v>
      </c>
      <c r="D3752" s="14" t="s">
        <v>7207</v>
      </c>
      <c r="E3752" s="9" t="s">
        <v>11</v>
      </c>
    </row>
    <row r="3753" spans="1:5" ht="15" customHeight="1" outlineLevel="2" x14ac:dyDescent="0.25">
      <c r="A3753" s="3" t="str">
        <f>HYPERLINK("http://mystore1.ru/price_items/search?utf8=%E2%9C%93&amp;oem=4431LGNH5FD1M","4431LGNH5FD1M")</f>
        <v>4431LGNH5FD1M</v>
      </c>
      <c r="B3753" s="1" t="s">
        <v>7208</v>
      </c>
      <c r="C3753" s="9" t="s">
        <v>687</v>
      </c>
      <c r="D3753" s="14" t="s">
        <v>7209</v>
      </c>
      <c r="E3753" s="9" t="s">
        <v>11</v>
      </c>
    </row>
    <row r="3754" spans="1:5" ht="15" customHeight="1" outlineLevel="2" x14ac:dyDescent="0.25">
      <c r="A3754" s="3" t="str">
        <f>HYPERLINK("http://mystore1.ru/price_items/search?utf8=%E2%9C%93&amp;oem=4431LGPE5RD","4431LGPE5RD")</f>
        <v>4431LGPE5RD</v>
      </c>
      <c r="B3754" s="1" t="s">
        <v>7210</v>
      </c>
      <c r="C3754" s="9" t="s">
        <v>511</v>
      </c>
      <c r="D3754" s="14" t="s">
        <v>7201</v>
      </c>
      <c r="E3754" s="9" t="s">
        <v>11</v>
      </c>
    </row>
    <row r="3755" spans="1:5" outlineLevel="1" x14ac:dyDescent="0.25">
      <c r="A3755" s="2"/>
      <c r="B3755" s="6" t="s">
        <v>7211</v>
      </c>
      <c r="C3755" s="8"/>
      <c r="D3755" s="8"/>
      <c r="E3755" s="8"/>
    </row>
    <row r="3756" spans="1:5" ht="15" customHeight="1" outlineLevel="2" x14ac:dyDescent="0.25">
      <c r="A3756" s="3" t="str">
        <f>HYPERLINK("http://mystore1.ru/price_items/search?utf8=%E2%9C%93&amp;oem=4433AGNHMV1P","4433AGNHMV1P")</f>
        <v>4433AGNHMV1P</v>
      </c>
      <c r="B3756" s="1" t="s">
        <v>7212</v>
      </c>
      <c r="C3756" s="9" t="s">
        <v>511</v>
      </c>
      <c r="D3756" s="14" t="s">
        <v>7213</v>
      </c>
      <c r="E3756" s="9" t="s">
        <v>8</v>
      </c>
    </row>
    <row r="3757" spans="1:5" ht="15" customHeight="1" outlineLevel="2" x14ac:dyDescent="0.25">
      <c r="A3757" s="3" t="str">
        <f>HYPERLINK("http://mystore1.ru/price_items/search?utf8=%E2%9C%93&amp;oem=4433AGNHV","4433AGNHV")</f>
        <v>4433AGNHV</v>
      </c>
      <c r="B3757" s="1" t="s">
        <v>7214</v>
      </c>
      <c r="C3757" s="9" t="s">
        <v>511</v>
      </c>
      <c r="D3757" s="14" t="s">
        <v>7215</v>
      </c>
      <c r="E3757" s="9" t="s">
        <v>8</v>
      </c>
    </row>
    <row r="3758" spans="1:5" ht="15" customHeight="1" outlineLevel="2" x14ac:dyDescent="0.25">
      <c r="A3758" s="3" t="str">
        <f>HYPERLINK("http://mystore1.ru/price_items/search?utf8=%E2%9C%93&amp;oem=4433AGNMV1P","4433AGNMV1P")</f>
        <v>4433AGNMV1P</v>
      </c>
      <c r="B3758" s="1" t="s">
        <v>7216</v>
      </c>
      <c r="C3758" s="9" t="s">
        <v>511</v>
      </c>
      <c r="D3758" s="14" t="s">
        <v>7217</v>
      </c>
      <c r="E3758" s="9" t="s">
        <v>8</v>
      </c>
    </row>
    <row r="3759" spans="1:5" ht="15" customHeight="1" outlineLevel="2" x14ac:dyDescent="0.25">
      <c r="A3759" s="3" t="str">
        <f>HYPERLINK("http://mystore1.ru/price_items/search?utf8=%E2%9C%93&amp;oem=4433AGNV","4433AGNV")</f>
        <v>4433AGNV</v>
      </c>
      <c r="B3759" s="1" t="s">
        <v>7218</v>
      </c>
      <c r="C3759" s="9" t="s">
        <v>511</v>
      </c>
      <c r="D3759" s="14" t="s">
        <v>7219</v>
      </c>
      <c r="E3759" s="9" t="s">
        <v>8</v>
      </c>
    </row>
    <row r="3760" spans="1:5" ht="15" customHeight="1" outlineLevel="2" x14ac:dyDescent="0.25">
      <c r="A3760" s="3" t="str">
        <f>HYPERLINK("http://mystore1.ru/price_items/search?utf8=%E2%9C%93&amp;oem=4433AGNV2P","4433AGNV2P")</f>
        <v>4433AGNV2P</v>
      </c>
      <c r="B3760" s="1" t="s">
        <v>7220</v>
      </c>
      <c r="C3760" s="9" t="s">
        <v>511</v>
      </c>
      <c r="D3760" s="14" t="s">
        <v>7221</v>
      </c>
      <c r="E3760" s="9" t="s">
        <v>8</v>
      </c>
    </row>
    <row r="3761" spans="1:5" ht="15" customHeight="1" outlineLevel="2" x14ac:dyDescent="0.25">
      <c r="A3761" s="3" t="str">
        <f>HYPERLINK("http://mystore1.ru/price_items/search?utf8=%E2%9C%93&amp;oem=4433AGNHV2P","4433AGNHV2P")</f>
        <v>4433AGNHV2P</v>
      </c>
      <c r="B3761" s="1" t="s">
        <v>7222</v>
      </c>
      <c r="C3761" s="9" t="s">
        <v>511</v>
      </c>
      <c r="D3761" s="14" t="s">
        <v>7223</v>
      </c>
      <c r="E3761" s="9" t="s">
        <v>8</v>
      </c>
    </row>
    <row r="3762" spans="1:5" ht="15" customHeight="1" outlineLevel="2" x14ac:dyDescent="0.25">
      <c r="A3762" s="3" t="str">
        <f>HYPERLINK("http://mystore1.ru/price_items/search?utf8=%E2%9C%93&amp;oem=4433BGNH1H","4433BGNH1H")</f>
        <v>4433BGNH1H</v>
      </c>
      <c r="B3762" s="1" t="s">
        <v>7224</v>
      </c>
      <c r="C3762" s="9" t="s">
        <v>511</v>
      </c>
      <c r="D3762" s="14" t="s">
        <v>7225</v>
      </c>
      <c r="E3762" s="9" t="s">
        <v>30</v>
      </c>
    </row>
    <row r="3763" spans="1:5" ht="15" customHeight="1" outlineLevel="2" x14ac:dyDescent="0.25">
      <c r="A3763" s="3" t="str">
        <f>HYPERLINK("http://mystore1.ru/price_items/search?utf8=%E2%9C%93&amp;oem=4433LGNH3FD","4433LGNH3FD")</f>
        <v>4433LGNH3FD</v>
      </c>
      <c r="B3763" s="1" t="s">
        <v>7226</v>
      </c>
      <c r="C3763" s="9" t="s">
        <v>511</v>
      </c>
      <c r="D3763" s="14" t="s">
        <v>7227</v>
      </c>
      <c r="E3763" s="9" t="s">
        <v>11</v>
      </c>
    </row>
    <row r="3764" spans="1:5" ht="15" customHeight="1" outlineLevel="2" x14ac:dyDescent="0.25">
      <c r="A3764" s="3" t="str">
        <f>HYPERLINK("http://mystore1.ru/price_items/search?utf8=%E2%9C%93&amp;oem=4433RGNH3FD","4433RGNH3FD")</f>
        <v>4433RGNH3FD</v>
      </c>
      <c r="B3764" s="1" t="s">
        <v>7228</v>
      </c>
      <c r="C3764" s="9" t="s">
        <v>511</v>
      </c>
      <c r="D3764" s="14" t="s">
        <v>7229</v>
      </c>
      <c r="E3764" s="9" t="s">
        <v>11</v>
      </c>
    </row>
    <row r="3765" spans="1:5" outlineLevel="1" x14ac:dyDescent="0.25">
      <c r="A3765" s="2"/>
      <c r="B3765" s="6" t="s">
        <v>7230</v>
      </c>
      <c r="C3765" s="8"/>
      <c r="D3765" s="8"/>
      <c r="E3765" s="8"/>
    </row>
    <row r="3766" spans="1:5" ht="15" customHeight="1" outlineLevel="2" x14ac:dyDescent="0.25">
      <c r="A3766" s="3" t="str">
        <f>HYPERLINK("http://mystore1.ru/price_items/search?utf8=%E2%9C%93&amp;oem=4421AGNBL","4421AGNBL")</f>
        <v>4421AGNBL</v>
      </c>
      <c r="B3766" s="1" t="s">
        <v>7231</v>
      </c>
      <c r="C3766" s="9" t="s">
        <v>7232</v>
      </c>
      <c r="D3766" s="14" t="s">
        <v>7233</v>
      </c>
      <c r="E3766" s="9" t="s">
        <v>8</v>
      </c>
    </row>
    <row r="3767" spans="1:5" ht="15" customHeight="1" outlineLevel="2" x14ac:dyDescent="0.25">
      <c r="A3767" s="3" t="str">
        <f>HYPERLINK("http://mystore1.ru/price_items/search?utf8=%E2%9C%93&amp;oem=4421AGNBLHV","4421AGNBLHV")</f>
        <v>4421AGNBLHV</v>
      </c>
      <c r="B3767" s="1" t="s">
        <v>7234</v>
      </c>
      <c r="C3767" s="9" t="s">
        <v>747</v>
      </c>
      <c r="D3767" s="14" t="s">
        <v>7235</v>
      </c>
      <c r="E3767" s="9" t="s">
        <v>8</v>
      </c>
    </row>
    <row r="3768" spans="1:5" ht="15" customHeight="1" outlineLevel="2" x14ac:dyDescent="0.25">
      <c r="A3768" s="3" t="str">
        <f>HYPERLINK("http://mystore1.ru/price_items/search?utf8=%E2%9C%93&amp;oem=4421ASMS","4421ASMS")</f>
        <v>4421ASMS</v>
      </c>
      <c r="B3768" s="1" t="s">
        <v>7236</v>
      </c>
      <c r="C3768" s="9" t="s">
        <v>25</v>
      </c>
      <c r="D3768" s="14" t="s">
        <v>7237</v>
      </c>
      <c r="E3768" s="9" t="s">
        <v>27</v>
      </c>
    </row>
    <row r="3769" spans="1:5" ht="15" customHeight="1" outlineLevel="2" x14ac:dyDescent="0.25">
      <c r="A3769" s="3" t="str">
        <f>HYPERLINK("http://mystore1.ru/price_items/search?utf8=%E2%9C%93&amp;oem=4421BGNSAB","4421BGNSAB")</f>
        <v>4421BGNSAB</v>
      </c>
      <c r="B3769" s="1" t="s">
        <v>7238</v>
      </c>
      <c r="C3769" s="9" t="s">
        <v>747</v>
      </c>
      <c r="D3769" s="14" t="s">
        <v>7239</v>
      </c>
      <c r="E3769" s="9" t="s">
        <v>30</v>
      </c>
    </row>
    <row r="3770" spans="1:5" ht="15" customHeight="1" outlineLevel="2" x14ac:dyDescent="0.25">
      <c r="A3770" s="3" t="str">
        <f>HYPERLINK("http://mystore1.ru/price_items/search?utf8=%E2%9C%93&amp;oem=4421LGNS4FDW","4421LGNS4FDW")</f>
        <v>4421LGNS4FDW</v>
      </c>
      <c r="B3770" s="1" t="s">
        <v>7240</v>
      </c>
      <c r="C3770" s="9" t="s">
        <v>747</v>
      </c>
      <c r="D3770" s="14" t="s">
        <v>7241</v>
      </c>
      <c r="E3770" s="9" t="s">
        <v>11</v>
      </c>
    </row>
    <row r="3771" spans="1:5" ht="15" customHeight="1" outlineLevel="2" x14ac:dyDescent="0.25">
      <c r="A3771" s="3" t="str">
        <f>HYPERLINK("http://mystore1.ru/price_items/search?utf8=%E2%9C%93&amp;oem=4421LGNS4RDW","4421LGNS4RDW")</f>
        <v>4421LGNS4RDW</v>
      </c>
      <c r="B3771" s="1" t="s">
        <v>7242</v>
      </c>
      <c r="C3771" s="9" t="s">
        <v>747</v>
      </c>
      <c r="D3771" s="14" t="s">
        <v>7243</v>
      </c>
      <c r="E3771" s="9" t="s">
        <v>11</v>
      </c>
    </row>
    <row r="3772" spans="1:5" ht="15" customHeight="1" outlineLevel="2" x14ac:dyDescent="0.25">
      <c r="A3772" s="3" t="str">
        <f>HYPERLINK("http://mystore1.ru/price_items/search?utf8=%E2%9C%93&amp;oem=4421RGNS4FDW","4421RGNS4FDW")</f>
        <v>4421RGNS4FDW</v>
      </c>
      <c r="B3772" s="1" t="s">
        <v>7244</v>
      </c>
      <c r="C3772" s="9" t="s">
        <v>747</v>
      </c>
      <c r="D3772" s="14" t="s">
        <v>7245</v>
      </c>
      <c r="E3772" s="9" t="s">
        <v>11</v>
      </c>
    </row>
    <row r="3773" spans="1:5" ht="15" customHeight="1" outlineLevel="2" x14ac:dyDescent="0.25">
      <c r="A3773" s="3" t="str">
        <f>HYPERLINK("http://mystore1.ru/price_items/search?utf8=%E2%9C%93&amp;oem=4421RGNS4RDW","4421RGNS4RDW")</f>
        <v>4421RGNS4RDW</v>
      </c>
      <c r="B3773" s="1" t="s">
        <v>7246</v>
      </c>
      <c r="C3773" s="9" t="s">
        <v>747</v>
      </c>
      <c r="D3773" s="14" t="s">
        <v>7247</v>
      </c>
      <c r="E3773" s="9" t="s">
        <v>11</v>
      </c>
    </row>
    <row r="3774" spans="1:5" outlineLevel="1" x14ac:dyDescent="0.25">
      <c r="A3774" s="2"/>
      <c r="B3774" s="6" t="s">
        <v>7248</v>
      </c>
      <c r="C3774" s="8"/>
      <c r="D3774" s="8"/>
      <c r="E3774" s="8"/>
    </row>
    <row r="3775" spans="1:5" ht="15" customHeight="1" outlineLevel="2" x14ac:dyDescent="0.25">
      <c r="A3775" s="3" t="str">
        <f>HYPERLINK("http://mystore1.ru/price_items/search?utf8=%E2%9C%93&amp;oem=4436AGNBLV","4436AGNBLV")</f>
        <v>4436AGNBLV</v>
      </c>
      <c r="B3775" s="1" t="s">
        <v>7249</v>
      </c>
      <c r="C3775" s="9" t="s">
        <v>369</v>
      </c>
      <c r="D3775" s="14" t="s">
        <v>7250</v>
      </c>
      <c r="E3775" s="9" t="s">
        <v>8</v>
      </c>
    </row>
    <row r="3776" spans="1:5" outlineLevel="1" x14ac:dyDescent="0.25">
      <c r="A3776" s="2"/>
      <c r="B3776" s="6" t="s">
        <v>7251</v>
      </c>
      <c r="C3776" s="7"/>
      <c r="D3776" s="8"/>
      <c r="E3776" s="8"/>
    </row>
    <row r="3777" spans="1:5" ht="15" customHeight="1" outlineLevel="2" x14ac:dyDescent="0.25">
      <c r="A3777" s="3" t="str">
        <f>HYPERLINK("http://mystore1.ru/price_items/search?utf8=%E2%9C%93&amp;oem=4405AGNBL","4405AGNBL")</f>
        <v>4405AGNBL</v>
      </c>
      <c r="B3777" s="1" t="s">
        <v>7252</v>
      </c>
      <c r="C3777" s="9" t="s">
        <v>6954</v>
      </c>
      <c r="D3777" s="14" t="s">
        <v>7253</v>
      </c>
      <c r="E3777" s="9" t="s">
        <v>8</v>
      </c>
    </row>
    <row r="3778" spans="1:5" ht="15" customHeight="1" outlineLevel="2" x14ac:dyDescent="0.25">
      <c r="A3778" s="3" t="str">
        <f>HYPERLINK("http://mystore1.ru/price_items/search?utf8=%E2%9C%93&amp;oem=4405ASMST","4405ASMST")</f>
        <v>4405ASMST</v>
      </c>
      <c r="B3778" s="1" t="s">
        <v>7254</v>
      </c>
      <c r="C3778" s="9" t="s">
        <v>25</v>
      </c>
      <c r="D3778" s="14" t="s">
        <v>7255</v>
      </c>
      <c r="E3778" s="9" t="s">
        <v>27</v>
      </c>
    </row>
    <row r="3779" spans="1:5" ht="15" customHeight="1" outlineLevel="2" x14ac:dyDescent="0.25">
      <c r="A3779" s="3" t="str">
        <f>HYPERLINK("http://mystore1.ru/price_items/search?utf8=%E2%9C%93&amp;oem=4405BGNS","4405BGNS")</f>
        <v>4405BGNS</v>
      </c>
      <c r="B3779" s="1" t="s">
        <v>7256</v>
      </c>
      <c r="C3779" s="9" t="s">
        <v>6954</v>
      </c>
      <c r="D3779" s="14" t="s">
        <v>7257</v>
      </c>
      <c r="E3779" s="9" t="s">
        <v>30</v>
      </c>
    </row>
    <row r="3780" spans="1:5" ht="15" customHeight="1" outlineLevel="2" x14ac:dyDescent="0.25">
      <c r="A3780" s="3" t="str">
        <f>HYPERLINK("http://mystore1.ru/price_items/search?utf8=%E2%9C%93&amp;oem=4405LGNS4FD","4405LGNS4FD")</f>
        <v>4405LGNS4FD</v>
      </c>
      <c r="B3780" s="1" t="s">
        <v>7258</v>
      </c>
      <c r="C3780" s="9" t="s">
        <v>6954</v>
      </c>
      <c r="D3780" s="14" t="s">
        <v>7259</v>
      </c>
      <c r="E3780" s="9" t="s">
        <v>11</v>
      </c>
    </row>
    <row r="3781" spans="1:5" ht="15" customHeight="1" outlineLevel="2" x14ac:dyDescent="0.25">
      <c r="A3781" s="3" t="str">
        <f>HYPERLINK("http://mystore1.ru/price_items/search?utf8=%E2%9C%93&amp;oem=4405LGNS4RD","4405LGNS4RD")</f>
        <v>4405LGNS4RD</v>
      </c>
      <c r="B3781" s="1" t="s">
        <v>7260</v>
      </c>
      <c r="C3781" s="9" t="s">
        <v>6954</v>
      </c>
      <c r="D3781" s="14" t="s">
        <v>7261</v>
      </c>
      <c r="E3781" s="9" t="s">
        <v>11</v>
      </c>
    </row>
    <row r="3782" spans="1:5" ht="15" customHeight="1" outlineLevel="2" x14ac:dyDescent="0.25">
      <c r="A3782" s="3" t="str">
        <f>HYPERLINK("http://mystore1.ru/price_items/search?utf8=%E2%9C%93&amp;oem=4405RGNS4FD","4405RGNS4FD")</f>
        <v>4405RGNS4FD</v>
      </c>
      <c r="B3782" s="1" t="s">
        <v>7262</v>
      </c>
      <c r="C3782" s="9" t="s">
        <v>6954</v>
      </c>
      <c r="D3782" s="14" t="s">
        <v>7263</v>
      </c>
      <c r="E3782" s="9" t="s">
        <v>11</v>
      </c>
    </row>
    <row r="3783" spans="1:5" ht="15" customHeight="1" outlineLevel="2" x14ac:dyDescent="0.25">
      <c r="A3783" s="3" t="str">
        <f>HYPERLINK("http://mystore1.ru/price_items/search?utf8=%E2%9C%93&amp;oem=4405RGNS4RD","4405RGNS4RD")</f>
        <v>4405RGNS4RD</v>
      </c>
      <c r="B3783" s="1" t="s">
        <v>7264</v>
      </c>
      <c r="C3783" s="9" t="s">
        <v>6954</v>
      </c>
      <c r="D3783" s="14" t="s">
        <v>7265</v>
      </c>
      <c r="E3783" s="9" t="s">
        <v>11</v>
      </c>
    </row>
    <row r="3784" spans="1:5" outlineLevel="1" x14ac:dyDescent="0.25">
      <c r="A3784" s="2"/>
      <c r="B3784" s="6" t="s">
        <v>7266</v>
      </c>
      <c r="C3784" s="8"/>
      <c r="D3784" s="8"/>
      <c r="E3784" s="8"/>
    </row>
    <row r="3785" spans="1:5" ht="15" customHeight="1" outlineLevel="2" x14ac:dyDescent="0.25">
      <c r="A3785" s="3" t="str">
        <f>HYPERLINK("http://mystore1.ru/price_items/search?utf8=%E2%9C%93&amp;oem=4416AGNBL","4416AGNBL")</f>
        <v>4416AGNBL</v>
      </c>
      <c r="B3785" s="1" t="s">
        <v>7267</v>
      </c>
      <c r="C3785" s="9" t="s">
        <v>1147</v>
      </c>
      <c r="D3785" s="14" t="s">
        <v>7268</v>
      </c>
      <c r="E3785" s="9" t="s">
        <v>8</v>
      </c>
    </row>
    <row r="3786" spans="1:5" ht="15" customHeight="1" outlineLevel="2" x14ac:dyDescent="0.25">
      <c r="A3786" s="3" t="str">
        <f>HYPERLINK("http://mystore1.ru/price_items/search?utf8=%E2%9C%93&amp;oem=4416ASMV","4416ASMV")</f>
        <v>4416ASMV</v>
      </c>
      <c r="B3786" s="1" t="s">
        <v>7269</v>
      </c>
      <c r="C3786" s="9" t="s">
        <v>25</v>
      </c>
      <c r="D3786" s="14" t="s">
        <v>7270</v>
      </c>
      <c r="E3786" s="9" t="s">
        <v>27</v>
      </c>
    </row>
    <row r="3787" spans="1:5" ht="15" customHeight="1" outlineLevel="2" x14ac:dyDescent="0.25">
      <c r="A3787" s="3" t="str">
        <f>HYPERLINK("http://mystore1.ru/price_items/search?utf8=%E2%9C%93&amp;oem=4416BGNV","4416BGNV")</f>
        <v>4416BGNV</v>
      </c>
      <c r="B3787" s="1" t="s">
        <v>7271</v>
      </c>
      <c r="C3787" s="9" t="s">
        <v>1147</v>
      </c>
      <c r="D3787" s="14" t="s">
        <v>7272</v>
      </c>
      <c r="E3787" s="9" t="s">
        <v>30</v>
      </c>
    </row>
    <row r="3788" spans="1:5" ht="15" customHeight="1" outlineLevel="2" x14ac:dyDescent="0.25">
      <c r="A3788" s="3" t="str">
        <f>HYPERLINK("http://mystore1.ru/price_items/search?utf8=%E2%9C%93&amp;oem=4416LGNV5FD","4416LGNV5FD")</f>
        <v>4416LGNV5FD</v>
      </c>
      <c r="B3788" s="1" t="s">
        <v>7273</v>
      </c>
      <c r="C3788" s="9" t="s">
        <v>1147</v>
      </c>
      <c r="D3788" s="14" t="s">
        <v>7274</v>
      </c>
      <c r="E3788" s="9" t="s">
        <v>11</v>
      </c>
    </row>
    <row r="3789" spans="1:5" ht="15" customHeight="1" outlineLevel="2" x14ac:dyDescent="0.25">
      <c r="A3789" s="3" t="str">
        <f>HYPERLINK("http://mystore1.ru/price_items/search?utf8=%E2%9C%93&amp;oem=4416RGNV5FD","4416RGNV5FD")</f>
        <v>4416RGNV5FD</v>
      </c>
      <c r="B3789" s="1" t="s">
        <v>7275</v>
      </c>
      <c r="C3789" s="9" t="s">
        <v>1147</v>
      </c>
      <c r="D3789" s="14" t="s">
        <v>7276</v>
      </c>
      <c r="E3789" s="9" t="s">
        <v>11</v>
      </c>
    </row>
    <row r="3790" spans="1:5" outlineLevel="1" x14ac:dyDescent="0.25">
      <c r="A3790" s="2"/>
      <c r="B3790" s="6" t="s">
        <v>7277</v>
      </c>
      <c r="C3790" s="8"/>
      <c r="D3790" s="8"/>
      <c r="E3790" s="8"/>
    </row>
    <row r="3791" spans="1:5" ht="15" customHeight="1" outlineLevel="2" x14ac:dyDescent="0.25">
      <c r="A3791" s="3" t="str">
        <f>HYPERLINK("http://mystore1.ru/price_items/search?utf8=%E2%9C%93&amp;oem=4412ACL","4412ACL")</f>
        <v>4412ACL</v>
      </c>
      <c r="B3791" s="1" t="s">
        <v>7278</v>
      </c>
      <c r="C3791" s="9" t="s">
        <v>7279</v>
      </c>
      <c r="D3791" s="14" t="s">
        <v>7280</v>
      </c>
      <c r="E3791" s="9" t="s">
        <v>8</v>
      </c>
    </row>
    <row r="3792" spans="1:5" outlineLevel="1" x14ac:dyDescent="0.25">
      <c r="A3792" s="2"/>
      <c r="B3792" s="6" t="s">
        <v>7281</v>
      </c>
      <c r="C3792" s="8"/>
      <c r="D3792" s="8"/>
      <c r="E3792" s="8"/>
    </row>
    <row r="3793" spans="1:5" ht="15" customHeight="1" outlineLevel="2" x14ac:dyDescent="0.25">
      <c r="A3793" s="3" t="str">
        <f>HYPERLINK("http://mystore1.ru/price_items/search?utf8=%E2%9C%93&amp;oem=4414AGNBL","4414AGNBL")</f>
        <v>4414AGNBL</v>
      </c>
      <c r="B3793" s="1" t="s">
        <v>7282</v>
      </c>
      <c r="C3793" s="9" t="s">
        <v>959</v>
      </c>
      <c r="D3793" s="14" t="s">
        <v>7283</v>
      </c>
      <c r="E3793" s="9" t="s">
        <v>8</v>
      </c>
    </row>
    <row r="3794" spans="1:5" ht="15" customHeight="1" outlineLevel="2" x14ac:dyDescent="0.25">
      <c r="A3794" s="3" t="str">
        <f>HYPERLINK("http://mystore1.ru/price_items/search?utf8=%E2%9C%93&amp;oem=4414LGNS4FD","4414LGNS4FD")</f>
        <v>4414LGNS4FD</v>
      </c>
      <c r="B3794" s="1" t="s">
        <v>7284</v>
      </c>
      <c r="C3794" s="9" t="s">
        <v>959</v>
      </c>
      <c r="D3794" s="14" t="s">
        <v>7285</v>
      </c>
      <c r="E3794" s="9" t="s">
        <v>11</v>
      </c>
    </row>
    <row r="3795" spans="1:5" ht="15" customHeight="1" outlineLevel="2" x14ac:dyDescent="0.25">
      <c r="A3795" s="3" t="str">
        <f>HYPERLINK("http://mystore1.ru/price_items/search?utf8=%E2%9C%93&amp;oem=4414LGNS4RD","4414LGNS4RD")</f>
        <v>4414LGNS4RD</v>
      </c>
      <c r="B3795" s="1" t="s">
        <v>7286</v>
      </c>
      <c r="C3795" s="9" t="s">
        <v>959</v>
      </c>
      <c r="D3795" s="14" t="s">
        <v>7287</v>
      </c>
      <c r="E3795" s="9" t="s">
        <v>11</v>
      </c>
    </row>
    <row r="3796" spans="1:5" ht="15" customHeight="1" outlineLevel="2" x14ac:dyDescent="0.25">
      <c r="A3796" s="3" t="str">
        <f>HYPERLINK("http://mystore1.ru/price_items/search?utf8=%E2%9C%93&amp;oem=4414RGNS4FD","4414RGNS4FD")</f>
        <v>4414RGNS4FD</v>
      </c>
      <c r="B3796" s="1" t="s">
        <v>7288</v>
      </c>
      <c r="C3796" s="9" t="s">
        <v>959</v>
      </c>
      <c r="D3796" s="14" t="s">
        <v>7289</v>
      </c>
      <c r="E3796" s="9" t="s">
        <v>11</v>
      </c>
    </row>
    <row r="3797" spans="1:5" ht="15" customHeight="1" outlineLevel="2" x14ac:dyDescent="0.25">
      <c r="A3797" s="3" t="str">
        <f>HYPERLINK("http://mystore1.ru/price_items/search?utf8=%E2%9C%93&amp;oem=4414RGNS4RD","4414RGNS4RD")</f>
        <v>4414RGNS4RD</v>
      </c>
      <c r="B3797" s="1" t="s">
        <v>7290</v>
      </c>
      <c r="C3797" s="9" t="s">
        <v>959</v>
      </c>
      <c r="D3797" s="14" t="s">
        <v>7291</v>
      </c>
      <c r="E3797" s="9" t="s">
        <v>11</v>
      </c>
    </row>
    <row r="3798" spans="1:5" outlineLevel="1" x14ac:dyDescent="0.25">
      <c r="A3798" s="2"/>
      <c r="B3798" s="6" t="s">
        <v>7292</v>
      </c>
      <c r="C3798" s="8"/>
      <c r="D3798" s="8"/>
      <c r="E3798" s="8"/>
    </row>
    <row r="3799" spans="1:5" ht="15" customHeight="1" outlineLevel="2" x14ac:dyDescent="0.25">
      <c r="A3799" s="3" t="str">
        <f>HYPERLINK("http://mystore1.ru/price_items/search?utf8=%E2%9C%93&amp;oem=4427AGNBL","4427AGNBL")</f>
        <v>4427AGNBL</v>
      </c>
      <c r="B3799" s="1" t="s">
        <v>7293</v>
      </c>
      <c r="C3799" s="9" t="s">
        <v>6077</v>
      </c>
      <c r="D3799" s="14" t="s">
        <v>7294</v>
      </c>
      <c r="E3799" s="9" t="s">
        <v>8</v>
      </c>
    </row>
    <row r="3800" spans="1:5" ht="15" customHeight="1" outlineLevel="2" x14ac:dyDescent="0.25">
      <c r="A3800" s="3" t="str">
        <f>HYPERLINK("http://mystore1.ru/price_items/search?utf8=%E2%9C%93&amp;oem=4427AGNBLH","4427AGNBLH")</f>
        <v>4427AGNBLH</v>
      </c>
      <c r="B3800" s="1" t="s">
        <v>7295</v>
      </c>
      <c r="C3800" s="9" t="s">
        <v>6077</v>
      </c>
      <c r="D3800" s="14" t="s">
        <v>7296</v>
      </c>
      <c r="E3800" s="9" t="s">
        <v>8</v>
      </c>
    </row>
    <row r="3801" spans="1:5" ht="15" customHeight="1" outlineLevel="2" x14ac:dyDescent="0.25">
      <c r="A3801" s="3" t="str">
        <f>HYPERLINK("http://mystore1.ru/price_items/search?utf8=%E2%9C%93&amp;oem=4427AGNBLHM1B","4427AGNBLHM1B")</f>
        <v>4427AGNBLHM1B</v>
      </c>
      <c r="B3801" s="1" t="s">
        <v>7297</v>
      </c>
      <c r="C3801" s="9" t="s">
        <v>6077</v>
      </c>
      <c r="D3801" s="14" t="s">
        <v>7298</v>
      </c>
      <c r="E3801" s="9" t="s">
        <v>8</v>
      </c>
    </row>
    <row r="3802" spans="1:5" ht="15" customHeight="1" outlineLevel="2" x14ac:dyDescent="0.25">
      <c r="A3802" s="3" t="str">
        <f>HYPERLINK("http://mystore1.ru/price_items/search?utf8=%E2%9C%93&amp;oem=4427LGNS4FDW","4427LGNS4FDW")</f>
        <v>4427LGNS4FDW</v>
      </c>
      <c r="B3802" s="1" t="s">
        <v>7299</v>
      </c>
      <c r="C3802" s="9" t="s">
        <v>6077</v>
      </c>
      <c r="D3802" s="14" t="s">
        <v>7300</v>
      </c>
      <c r="E3802" s="9" t="s">
        <v>11</v>
      </c>
    </row>
    <row r="3803" spans="1:5" ht="15" customHeight="1" outlineLevel="2" x14ac:dyDescent="0.25">
      <c r="A3803" s="3" t="str">
        <f>HYPERLINK("http://mystore1.ru/price_items/search?utf8=%E2%9C%93&amp;oem=4427LGNS4RD","4427LGNS4RD")</f>
        <v>4427LGNS4RD</v>
      </c>
      <c r="B3803" s="1" t="s">
        <v>7301</v>
      </c>
      <c r="C3803" s="9" t="s">
        <v>6077</v>
      </c>
      <c r="D3803" s="14" t="s">
        <v>7302</v>
      </c>
      <c r="E3803" s="9" t="s">
        <v>11</v>
      </c>
    </row>
    <row r="3804" spans="1:5" ht="15" customHeight="1" outlineLevel="2" x14ac:dyDescent="0.25">
      <c r="A3804" s="3" t="str">
        <f>HYPERLINK("http://mystore1.ru/price_items/search?utf8=%E2%9C%93&amp;oem=4427RGNS4FDW","4427RGNS4FDW")</f>
        <v>4427RGNS4FDW</v>
      </c>
      <c r="B3804" s="1" t="s">
        <v>7303</v>
      </c>
      <c r="C3804" s="9" t="s">
        <v>6077</v>
      </c>
      <c r="D3804" s="14" t="s">
        <v>7304</v>
      </c>
      <c r="E3804" s="9" t="s">
        <v>11</v>
      </c>
    </row>
    <row r="3805" spans="1:5" ht="15" customHeight="1" outlineLevel="2" x14ac:dyDescent="0.25">
      <c r="A3805" s="3" t="str">
        <f>HYPERLINK("http://mystore1.ru/price_items/search?utf8=%E2%9C%93&amp;oem=4427RGNS4RD","4427RGNS4RD")</f>
        <v>4427RGNS4RD</v>
      </c>
      <c r="B3805" s="1" t="s">
        <v>7305</v>
      </c>
      <c r="C3805" s="9" t="s">
        <v>6077</v>
      </c>
      <c r="D3805" s="14" t="s">
        <v>7306</v>
      </c>
      <c r="E3805" s="9" t="s">
        <v>11</v>
      </c>
    </row>
    <row r="3806" spans="1:5" outlineLevel="1" x14ac:dyDescent="0.25">
      <c r="A3806" s="2"/>
      <c r="B3806" s="6" t="s">
        <v>7307</v>
      </c>
      <c r="C3806" s="8"/>
      <c r="D3806" s="8"/>
      <c r="E3806" s="8"/>
    </row>
    <row r="3807" spans="1:5" ht="15" customHeight="1" outlineLevel="2" x14ac:dyDescent="0.25">
      <c r="A3807" s="3" t="str">
        <f>HYPERLINK("http://mystore1.ru/price_items/search?utf8=%E2%9C%93&amp;oem=4420AGNBLHM","4420AGNBLHM")</f>
        <v>4420AGNBLHM</v>
      </c>
      <c r="B3807" s="1" t="s">
        <v>7308</v>
      </c>
      <c r="C3807" s="9" t="s">
        <v>6234</v>
      </c>
      <c r="D3807" s="14" t="s">
        <v>7309</v>
      </c>
      <c r="E3807" s="9" t="s">
        <v>8</v>
      </c>
    </row>
    <row r="3808" spans="1:5" ht="15" customHeight="1" outlineLevel="2" x14ac:dyDescent="0.25">
      <c r="A3808" s="3" t="str">
        <f>HYPERLINK("http://mystore1.ru/price_items/search?utf8=%E2%9C%93&amp;oem=4420AGNBLH","4420AGNBLH")</f>
        <v>4420AGNBLH</v>
      </c>
      <c r="B3808" s="1" t="s">
        <v>7310</v>
      </c>
      <c r="C3808" s="9" t="s">
        <v>6234</v>
      </c>
      <c r="D3808" s="14" t="s">
        <v>7311</v>
      </c>
      <c r="E3808" s="9" t="s">
        <v>8</v>
      </c>
    </row>
    <row r="3809" spans="1:5" ht="15" customHeight="1" outlineLevel="2" x14ac:dyDescent="0.25">
      <c r="A3809" s="3" t="str">
        <f>HYPERLINK("http://mystore1.ru/price_items/search?utf8=%E2%9C%93&amp;oem=4420LGNS4FDW1M","4420LGNS4FDW1M")</f>
        <v>4420LGNS4FDW1M</v>
      </c>
      <c r="B3809" s="1" t="s">
        <v>7312</v>
      </c>
      <c r="C3809" s="9" t="s">
        <v>6234</v>
      </c>
      <c r="D3809" s="14" t="s">
        <v>7313</v>
      </c>
      <c r="E3809" s="9" t="s">
        <v>11</v>
      </c>
    </row>
    <row r="3810" spans="1:5" ht="15" customHeight="1" outlineLevel="2" x14ac:dyDescent="0.25">
      <c r="A3810" s="3" t="str">
        <f>HYPERLINK("http://mystore1.ru/price_items/search?utf8=%E2%9C%93&amp;oem=4420RGNS4FDW1M","4420RGNS4FDW1M")</f>
        <v>4420RGNS4FDW1M</v>
      </c>
      <c r="B3810" s="1" t="s">
        <v>7314</v>
      </c>
      <c r="C3810" s="9" t="s">
        <v>6234</v>
      </c>
      <c r="D3810" s="14" t="s">
        <v>7315</v>
      </c>
      <c r="E3810" s="9" t="s">
        <v>11</v>
      </c>
    </row>
    <row r="3811" spans="1:5" outlineLevel="1" x14ac:dyDescent="0.25">
      <c r="A3811" s="2"/>
      <c r="B3811" s="6" t="s">
        <v>7316</v>
      </c>
      <c r="C3811" s="8"/>
      <c r="D3811" s="8"/>
      <c r="E3811" s="8"/>
    </row>
    <row r="3812" spans="1:5" ht="15" customHeight="1" outlineLevel="2" x14ac:dyDescent="0.25">
      <c r="A3812" s="3" t="str">
        <f>HYPERLINK("http://mystore1.ru/price_items/search?utf8=%E2%9C%93&amp;oem=4422ACL","4422ACL")</f>
        <v>4422ACL</v>
      </c>
      <c r="B3812" s="1" t="s">
        <v>7317</v>
      </c>
      <c r="C3812" s="9" t="s">
        <v>538</v>
      </c>
      <c r="D3812" s="14" t="s">
        <v>7318</v>
      </c>
      <c r="E3812" s="9" t="s">
        <v>8</v>
      </c>
    </row>
    <row r="3813" spans="1:5" ht="15" customHeight="1" outlineLevel="2" x14ac:dyDescent="0.25">
      <c r="A3813" s="3" t="str">
        <f>HYPERLINK("http://mystore1.ru/price_items/search?utf8=%E2%9C%93&amp;oem=4422AGNBL","4422AGNBL")</f>
        <v>4422AGNBL</v>
      </c>
      <c r="B3813" s="1" t="s">
        <v>7319</v>
      </c>
      <c r="C3813" s="9" t="s">
        <v>538</v>
      </c>
      <c r="D3813" s="14" t="s">
        <v>7320</v>
      </c>
      <c r="E3813" s="9" t="s">
        <v>8</v>
      </c>
    </row>
    <row r="3814" spans="1:5" ht="15" customHeight="1" outlineLevel="2" x14ac:dyDescent="0.25">
      <c r="A3814" s="3" t="str">
        <f>HYPERLINK("http://mystore1.ru/price_items/search?utf8=%E2%9C%93&amp;oem=4422ASMH","4422ASMH")</f>
        <v>4422ASMH</v>
      </c>
      <c r="B3814" s="1" t="s">
        <v>7321</v>
      </c>
      <c r="C3814" s="9" t="s">
        <v>25</v>
      </c>
      <c r="D3814" s="14" t="s">
        <v>7322</v>
      </c>
      <c r="E3814" s="9" t="s">
        <v>27</v>
      </c>
    </row>
    <row r="3815" spans="1:5" ht="15" customHeight="1" outlineLevel="2" x14ac:dyDescent="0.25">
      <c r="A3815" s="3" t="str">
        <f>HYPERLINK("http://mystore1.ru/price_items/search?utf8=%E2%9C%93&amp;oem=4422BGNH1H","4422BGNH1H")</f>
        <v>4422BGNH1H</v>
      </c>
      <c r="B3815" s="1" t="s">
        <v>7323</v>
      </c>
      <c r="C3815" s="9" t="s">
        <v>538</v>
      </c>
      <c r="D3815" s="14" t="s">
        <v>7324</v>
      </c>
      <c r="E3815" s="9" t="s">
        <v>30</v>
      </c>
    </row>
    <row r="3816" spans="1:5" ht="15" customHeight="1" outlineLevel="2" x14ac:dyDescent="0.25">
      <c r="A3816" s="3" t="str">
        <f>HYPERLINK("http://mystore1.ru/price_items/search?utf8=%E2%9C%93&amp;oem=4422LCLH5FD","4422LCLH5FD")</f>
        <v>4422LCLH5FD</v>
      </c>
      <c r="B3816" s="1" t="s">
        <v>7325</v>
      </c>
      <c r="C3816" s="9" t="s">
        <v>538</v>
      </c>
      <c r="D3816" s="14" t="s">
        <v>7326</v>
      </c>
      <c r="E3816" s="9" t="s">
        <v>11</v>
      </c>
    </row>
    <row r="3817" spans="1:5" ht="15" customHeight="1" outlineLevel="2" x14ac:dyDescent="0.25">
      <c r="A3817" s="3" t="str">
        <f>HYPERLINK("http://mystore1.ru/price_items/search?utf8=%E2%9C%93&amp;oem=4422LGNH5FD","4422LGNH5FD")</f>
        <v>4422LGNH5FD</v>
      </c>
      <c r="B3817" s="1" t="s">
        <v>7327</v>
      </c>
      <c r="C3817" s="9" t="s">
        <v>538</v>
      </c>
      <c r="D3817" s="14" t="s">
        <v>7328</v>
      </c>
      <c r="E3817" s="9" t="s">
        <v>11</v>
      </c>
    </row>
    <row r="3818" spans="1:5" ht="15" customHeight="1" outlineLevel="2" x14ac:dyDescent="0.25">
      <c r="A3818" s="3" t="str">
        <f>HYPERLINK("http://mystore1.ru/price_items/search?utf8=%E2%9C%93&amp;oem=4422RCLH5FD","4422RCLH5FD")</f>
        <v>4422RCLH5FD</v>
      </c>
      <c r="B3818" s="1" t="s">
        <v>7329</v>
      </c>
      <c r="C3818" s="9" t="s">
        <v>538</v>
      </c>
      <c r="D3818" s="14" t="s">
        <v>7330</v>
      </c>
      <c r="E3818" s="9" t="s">
        <v>11</v>
      </c>
    </row>
    <row r="3819" spans="1:5" ht="15" customHeight="1" outlineLevel="2" x14ac:dyDescent="0.25">
      <c r="A3819" s="3" t="str">
        <f>HYPERLINK("http://mystore1.ru/price_items/search?utf8=%E2%9C%93&amp;oem=4422RGNH5FD","4422RGNH5FD")</f>
        <v>4422RGNH5FD</v>
      </c>
      <c r="B3819" s="1" t="s">
        <v>7331</v>
      </c>
      <c r="C3819" s="9" t="s">
        <v>538</v>
      </c>
      <c r="D3819" s="14" t="s">
        <v>7332</v>
      </c>
      <c r="E3819" s="9" t="s">
        <v>11</v>
      </c>
    </row>
    <row r="3820" spans="1:5" outlineLevel="1" x14ac:dyDescent="0.25">
      <c r="A3820" s="2"/>
      <c r="B3820" s="6" t="s">
        <v>7333</v>
      </c>
      <c r="C3820" s="8"/>
      <c r="D3820" s="8"/>
      <c r="E3820" s="8"/>
    </row>
    <row r="3821" spans="1:5" ht="15" customHeight="1" outlineLevel="2" x14ac:dyDescent="0.25">
      <c r="A3821" s="3" t="str">
        <f>HYPERLINK("http://mystore1.ru/price_items/search?utf8=%E2%9C%93&amp;oem=4439ACL","4439ACL")</f>
        <v>4439ACL</v>
      </c>
      <c r="B3821" s="1" t="s">
        <v>7334</v>
      </c>
      <c r="C3821" s="9" t="s">
        <v>1738</v>
      </c>
      <c r="D3821" s="14" t="s">
        <v>7335</v>
      </c>
      <c r="E3821" s="9" t="s">
        <v>8</v>
      </c>
    </row>
    <row r="3822" spans="1:5" ht="15" customHeight="1" outlineLevel="2" x14ac:dyDescent="0.25">
      <c r="A3822" s="3" t="str">
        <f>HYPERLINK("http://mystore1.ru/price_items/search?utf8=%E2%9C%93&amp;oem=4439AGN","4439AGN")</f>
        <v>4439AGN</v>
      </c>
      <c r="B3822" s="1" t="s">
        <v>7336</v>
      </c>
      <c r="C3822" s="9" t="s">
        <v>1738</v>
      </c>
      <c r="D3822" s="14" t="s">
        <v>7337</v>
      </c>
      <c r="E3822" s="9" t="s">
        <v>8</v>
      </c>
    </row>
    <row r="3823" spans="1:5" ht="15" customHeight="1" outlineLevel="2" x14ac:dyDescent="0.25">
      <c r="A3823" s="3" t="str">
        <f>HYPERLINK("http://mystore1.ru/price_items/search?utf8=%E2%9C%93&amp;oem=4439AGSBL","4439AGSBL")</f>
        <v>4439AGSBL</v>
      </c>
      <c r="B3823" s="1" t="s">
        <v>7338</v>
      </c>
      <c r="C3823" s="9" t="s">
        <v>1738</v>
      </c>
      <c r="D3823" s="14" t="s">
        <v>7339</v>
      </c>
      <c r="E3823" s="9" t="s">
        <v>8</v>
      </c>
    </row>
    <row r="3824" spans="1:5" outlineLevel="1" x14ac:dyDescent="0.25">
      <c r="A3824" s="2"/>
      <c r="B3824" s="6" t="s">
        <v>7340</v>
      </c>
      <c r="C3824" s="8"/>
      <c r="D3824" s="8"/>
      <c r="E3824" s="8"/>
    </row>
    <row r="3825" spans="1:5" ht="15" customHeight="1" outlineLevel="2" x14ac:dyDescent="0.25">
      <c r="A3825" s="3" t="str">
        <f>HYPERLINK("http://mystore1.ru/price_items/search?utf8=%E2%9C%93&amp;oem=4404ACL","4404ACL")</f>
        <v>4404ACL</v>
      </c>
      <c r="B3825" s="1" t="s">
        <v>7341</v>
      </c>
      <c r="C3825" s="9" t="s">
        <v>1804</v>
      </c>
      <c r="D3825" s="14" t="s">
        <v>7342</v>
      </c>
      <c r="E3825" s="9" t="s">
        <v>8</v>
      </c>
    </row>
    <row r="3826" spans="1:5" ht="15" customHeight="1" outlineLevel="2" x14ac:dyDescent="0.25">
      <c r="A3826" s="3" t="str">
        <f>HYPERLINK("http://mystore1.ru/price_items/search?utf8=%E2%9C%93&amp;oem=4404AGNBL","4404AGNBL")</f>
        <v>4404AGNBL</v>
      </c>
      <c r="B3826" s="1" t="s">
        <v>7343</v>
      </c>
      <c r="C3826" s="9" t="s">
        <v>1804</v>
      </c>
      <c r="D3826" s="14" t="s">
        <v>7344</v>
      </c>
      <c r="E3826" s="9" t="s">
        <v>8</v>
      </c>
    </row>
    <row r="3827" spans="1:5" ht="15" customHeight="1" outlineLevel="2" x14ac:dyDescent="0.25">
      <c r="A3827" s="3" t="str">
        <f>HYPERLINK("http://mystore1.ru/price_items/search?utf8=%E2%9C%93&amp;oem=4404ASMV","4404ASMV")</f>
        <v>4404ASMV</v>
      </c>
      <c r="B3827" s="1" t="s">
        <v>7345</v>
      </c>
      <c r="C3827" s="9" t="s">
        <v>25</v>
      </c>
      <c r="D3827" s="14" t="s">
        <v>7346</v>
      </c>
      <c r="E3827" s="9" t="s">
        <v>27</v>
      </c>
    </row>
    <row r="3828" spans="1:5" ht="15" customHeight="1" outlineLevel="2" x14ac:dyDescent="0.25">
      <c r="A3828" s="3" t="str">
        <f>HYPERLINK("http://mystore1.ru/price_items/search?utf8=%E2%9C%93&amp;oem=4404BGNVW","4404BGNVW")</f>
        <v>4404BGNVW</v>
      </c>
      <c r="B3828" s="1" t="s">
        <v>7347</v>
      </c>
      <c r="C3828" s="9" t="s">
        <v>1804</v>
      </c>
      <c r="D3828" s="14" t="s">
        <v>7348</v>
      </c>
      <c r="E3828" s="9" t="s">
        <v>30</v>
      </c>
    </row>
    <row r="3829" spans="1:5" ht="15" customHeight="1" outlineLevel="2" x14ac:dyDescent="0.25">
      <c r="A3829" s="3" t="str">
        <f>HYPERLINK("http://mystore1.ru/price_items/search?utf8=%E2%9C%93&amp;oem=4404LGNV3FD","4404LGNV3FD")</f>
        <v>4404LGNV3FD</v>
      </c>
      <c r="B3829" s="1" t="s">
        <v>7349</v>
      </c>
      <c r="C3829" s="9" t="s">
        <v>1804</v>
      </c>
      <c r="D3829" s="14" t="s">
        <v>7350</v>
      </c>
      <c r="E3829" s="9" t="s">
        <v>11</v>
      </c>
    </row>
    <row r="3830" spans="1:5" ht="15" customHeight="1" outlineLevel="2" x14ac:dyDescent="0.25">
      <c r="A3830" s="3" t="str">
        <f>HYPERLINK("http://mystore1.ru/price_items/search?utf8=%E2%9C%93&amp;oem=4404RGNV3FD","4404RGNV3FD")</f>
        <v>4404RGNV3FD</v>
      </c>
      <c r="B3830" s="1" t="s">
        <v>7351</v>
      </c>
      <c r="C3830" s="9" t="s">
        <v>1804</v>
      </c>
      <c r="D3830" s="14" t="s">
        <v>7352</v>
      </c>
      <c r="E3830" s="9" t="s">
        <v>11</v>
      </c>
    </row>
    <row r="3831" spans="1:5" outlineLevel="1" x14ac:dyDescent="0.25">
      <c r="A3831" s="2"/>
      <c r="B3831" s="6" t="s">
        <v>7353</v>
      </c>
      <c r="C3831" s="8"/>
      <c r="D3831" s="8"/>
      <c r="E3831" s="8"/>
    </row>
    <row r="3832" spans="1:5" ht="15" customHeight="1" outlineLevel="2" x14ac:dyDescent="0.25">
      <c r="A3832" s="3" t="str">
        <f>HYPERLINK("http://mystore1.ru/price_items/search?utf8=%E2%9C%93&amp;oem=4400ACL","4400ACL")</f>
        <v>4400ACL</v>
      </c>
      <c r="B3832" s="1" t="s">
        <v>7354</v>
      </c>
      <c r="C3832" s="9" t="s">
        <v>7355</v>
      </c>
      <c r="D3832" s="14" t="s">
        <v>7356</v>
      </c>
      <c r="E3832" s="9" t="s">
        <v>8</v>
      </c>
    </row>
    <row r="3833" spans="1:5" ht="15" customHeight="1" outlineLevel="2" x14ac:dyDescent="0.25">
      <c r="A3833" s="3" t="str">
        <f>HYPERLINK("http://mystore1.ru/price_items/search?utf8=%E2%9C%93&amp;oem=4400AGNBL","4400AGNBL")</f>
        <v>4400AGNBL</v>
      </c>
      <c r="B3833" s="1" t="s">
        <v>7357</v>
      </c>
      <c r="C3833" s="9" t="s">
        <v>7355</v>
      </c>
      <c r="D3833" s="14" t="s">
        <v>7358</v>
      </c>
      <c r="E3833" s="9" t="s">
        <v>8</v>
      </c>
    </row>
    <row r="3834" spans="1:5" ht="15" customHeight="1" outlineLevel="2" x14ac:dyDescent="0.25">
      <c r="A3834" s="3" t="str">
        <f>HYPERLINK("http://mystore1.ru/price_items/search?utf8=%E2%9C%93&amp;oem=4400ASMHB","4400ASMHB")</f>
        <v>4400ASMHB</v>
      </c>
      <c r="B3834" s="1" t="s">
        <v>7359</v>
      </c>
      <c r="C3834" s="9" t="s">
        <v>25</v>
      </c>
      <c r="D3834" s="14" t="s">
        <v>7360</v>
      </c>
      <c r="E3834" s="9" t="s">
        <v>27</v>
      </c>
    </row>
    <row r="3835" spans="1:5" outlineLevel="1" x14ac:dyDescent="0.25">
      <c r="A3835" s="2"/>
      <c r="B3835" s="6" t="s">
        <v>7361</v>
      </c>
      <c r="C3835" s="8"/>
      <c r="D3835" s="8"/>
      <c r="E3835" s="8"/>
    </row>
    <row r="3836" spans="1:5" ht="15" customHeight="1" outlineLevel="2" x14ac:dyDescent="0.25">
      <c r="A3836" s="3" t="str">
        <f>HYPERLINK("http://mystore1.ru/price_items/search?utf8=%E2%9C%93&amp;oem=4413AGN","4413AGN")</f>
        <v>4413AGN</v>
      </c>
      <c r="B3836" s="1" t="s">
        <v>7362</v>
      </c>
      <c r="C3836" s="9" t="s">
        <v>7126</v>
      </c>
      <c r="D3836" s="14" t="s">
        <v>7363</v>
      </c>
      <c r="E3836" s="9" t="s">
        <v>8</v>
      </c>
    </row>
    <row r="3837" spans="1:5" ht="15" customHeight="1" outlineLevel="2" x14ac:dyDescent="0.25">
      <c r="A3837" s="3" t="str">
        <f>HYPERLINK("http://mystore1.ru/price_items/search?utf8=%E2%9C%93&amp;oem=4413ASMR","4413ASMR")</f>
        <v>4413ASMR</v>
      </c>
      <c r="B3837" s="1" t="s">
        <v>7364</v>
      </c>
      <c r="C3837" s="9" t="s">
        <v>25</v>
      </c>
      <c r="D3837" s="14" t="s">
        <v>7365</v>
      </c>
      <c r="E3837" s="9" t="s">
        <v>27</v>
      </c>
    </row>
    <row r="3838" spans="1:5" outlineLevel="1" x14ac:dyDescent="0.25">
      <c r="A3838" s="2"/>
      <c r="B3838" s="6" t="s">
        <v>7366</v>
      </c>
      <c r="C3838" s="8"/>
      <c r="D3838" s="8"/>
      <c r="E3838" s="8"/>
    </row>
    <row r="3839" spans="1:5" ht="15" customHeight="1" outlineLevel="2" x14ac:dyDescent="0.25">
      <c r="A3839" s="3" t="str">
        <f>HYPERLINK("http://mystore1.ru/price_items/search?utf8=%E2%9C%93&amp;oem=4411AGNBL","4411AGNBL")</f>
        <v>4411AGNBL</v>
      </c>
      <c r="B3839" s="1" t="s">
        <v>7367</v>
      </c>
      <c r="C3839" s="9" t="s">
        <v>7279</v>
      </c>
      <c r="D3839" s="14" t="s">
        <v>7368</v>
      </c>
      <c r="E3839" s="9" t="s">
        <v>8</v>
      </c>
    </row>
    <row r="3840" spans="1:5" ht="15" customHeight="1" outlineLevel="2" x14ac:dyDescent="0.25">
      <c r="A3840" s="3" t="str">
        <f>HYPERLINK("http://mystore1.ru/price_items/search?utf8=%E2%9C%93&amp;oem=4411ASMH","4411ASMH")</f>
        <v>4411ASMH</v>
      </c>
      <c r="B3840" s="1" t="s">
        <v>7369</v>
      </c>
      <c r="C3840" s="9" t="s">
        <v>25</v>
      </c>
      <c r="D3840" s="14" t="s">
        <v>7370</v>
      </c>
      <c r="E3840" s="9" t="s">
        <v>27</v>
      </c>
    </row>
    <row r="3841" spans="1:5" ht="15" customHeight="1" outlineLevel="2" x14ac:dyDescent="0.25">
      <c r="A3841" s="3" t="str">
        <f>HYPERLINK("http://mystore1.ru/price_items/search?utf8=%E2%9C%93&amp;oem=4411BGNHW","4411BGNHW")</f>
        <v>4411BGNHW</v>
      </c>
      <c r="B3841" s="1" t="s">
        <v>7371</v>
      </c>
      <c r="C3841" s="9" t="s">
        <v>7279</v>
      </c>
      <c r="D3841" s="14" t="s">
        <v>7372</v>
      </c>
      <c r="E3841" s="9" t="s">
        <v>30</v>
      </c>
    </row>
    <row r="3842" spans="1:5" ht="15" customHeight="1" outlineLevel="2" x14ac:dyDescent="0.25">
      <c r="A3842" s="3" t="str">
        <f>HYPERLINK("http://mystore1.ru/price_items/search?utf8=%E2%9C%93&amp;oem=4411BGNSW","4411BGNSW")</f>
        <v>4411BGNSW</v>
      </c>
      <c r="B3842" s="1" t="s">
        <v>7373</v>
      </c>
      <c r="C3842" s="9" t="s">
        <v>7279</v>
      </c>
      <c r="D3842" s="14" t="s">
        <v>7374</v>
      </c>
      <c r="E3842" s="9" t="s">
        <v>30</v>
      </c>
    </row>
    <row r="3843" spans="1:5" ht="15" customHeight="1" outlineLevel="2" x14ac:dyDescent="0.25">
      <c r="A3843" s="3" t="str">
        <f>HYPERLINK("http://mystore1.ru/price_items/search?utf8=%E2%9C%93&amp;oem=4411LGNH5FD","4411LGNH5FD")</f>
        <v>4411LGNH5FD</v>
      </c>
      <c r="B3843" s="1" t="s">
        <v>7375</v>
      </c>
      <c r="C3843" s="9" t="s">
        <v>7279</v>
      </c>
      <c r="D3843" s="14" t="s">
        <v>7376</v>
      </c>
      <c r="E3843" s="9" t="s">
        <v>11</v>
      </c>
    </row>
    <row r="3844" spans="1:5" ht="15" customHeight="1" outlineLevel="2" x14ac:dyDescent="0.25">
      <c r="A3844" s="3" t="str">
        <f>HYPERLINK("http://mystore1.ru/price_items/search?utf8=%E2%9C%93&amp;oem=4411LGNH5RD","4411LGNH5RD")</f>
        <v>4411LGNH5RD</v>
      </c>
      <c r="B3844" s="1" t="s">
        <v>7377</v>
      </c>
      <c r="C3844" s="9" t="s">
        <v>7279</v>
      </c>
      <c r="D3844" s="14" t="s">
        <v>7378</v>
      </c>
      <c r="E3844" s="9" t="s">
        <v>11</v>
      </c>
    </row>
    <row r="3845" spans="1:5" ht="15" customHeight="1" outlineLevel="2" x14ac:dyDescent="0.25">
      <c r="A3845" s="3" t="str">
        <f>HYPERLINK("http://mystore1.ru/price_items/search?utf8=%E2%9C%93&amp;oem=4411LGNS4RD","4411LGNS4RD")</f>
        <v>4411LGNS4RD</v>
      </c>
      <c r="B3845" s="1" t="s">
        <v>7379</v>
      </c>
      <c r="C3845" s="9" t="s">
        <v>7279</v>
      </c>
      <c r="D3845" s="14" t="s">
        <v>7380</v>
      </c>
      <c r="E3845" s="9" t="s">
        <v>11</v>
      </c>
    </row>
    <row r="3846" spans="1:5" ht="15" customHeight="1" outlineLevel="2" x14ac:dyDescent="0.25">
      <c r="A3846" s="3" t="str">
        <f>HYPERLINK("http://mystore1.ru/price_items/search?utf8=%E2%9C%93&amp;oem=4411LGNS4RV","4411LGNS4RV")</f>
        <v>4411LGNS4RV</v>
      </c>
      <c r="B3846" s="1" t="s">
        <v>7381</v>
      </c>
      <c r="C3846" s="9" t="s">
        <v>7279</v>
      </c>
      <c r="D3846" s="14" t="s">
        <v>7382</v>
      </c>
      <c r="E3846" s="9" t="s">
        <v>11</v>
      </c>
    </row>
    <row r="3847" spans="1:5" ht="15" customHeight="1" outlineLevel="2" x14ac:dyDescent="0.25">
      <c r="A3847" s="3" t="str">
        <f>HYPERLINK("http://mystore1.ru/price_items/search?utf8=%E2%9C%93&amp;oem=4411RGNH5FD","4411RGNH5FD")</f>
        <v>4411RGNH5FD</v>
      </c>
      <c r="B3847" s="1" t="s">
        <v>7383</v>
      </c>
      <c r="C3847" s="9" t="s">
        <v>7279</v>
      </c>
      <c r="D3847" s="14" t="s">
        <v>7384</v>
      </c>
      <c r="E3847" s="9" t="s">
        <v>11</v>
      </c>
    </row>
    <row r="3848" spans="1:5" ht="15" customHeight="1" outlineLevel="2" x14ac:dyDescent="0.25">
      <c r="A3848" s="3" t="str">
        <f>HYPERLINK("http://mystore1.ru/price_items/search?utf8=%E2%9C%93&amp;oem=4411RGNH5RD","4411RGNH5RD")</f>
        <v>4411RGNH5RD</v>
      </c>
      <c r="B3848" s="1" t="s">
        <v>7385</v>
      </c>
      <c r="C3848" s="9" t="s">
        <v>7279</v>
      </c>
      <c r="D3848" s="14" t="s">
        <v>7386</v>
      </c>
      <c r="E3848" s="9" t="s">
        <v>11</v>
      </c>
    </row>
    <row r="3849" spans="1:5" ht="15" customHeight="1" outlineLevel="2" x14ac:dyDescent="0.25">
      <c r="A3849" s="3" t="str">
        <f>HYPERLINK("http://mystore1.ru/price_items/search?utf8=%E2%9C%93&amp;oem=4411RGNS4RD","4411RGNS4RD")</f>
        <v>4411RGNS4RD</v>
      </c>
      <c r="B3849" s="1" t="s">
        <v>7387</v>
      </c>
      <c r="C3849" s="9" t="s">
        <v>7279</v>
      </c>
      <c r="D3849" s="14" t="s">
        <v>7388</v>
      </c>
      <c r="E3849" s="9" t="s">
        <v>11</v>
      </c>
    </row>
    <row r="3850" spans="1:5" ht="15" customHeight="1" outlineLevel="2" x14ac:dyDescent="0.25">
      <c r="A3850" s="3" t="str">
        <f>HYPERLINK("http://mystore1.ru/price_items/search?utf8=%E2%9C%93&amp;oem=4411RGNS4RV","4411RGNS4RV")</f>
        <v>4411RGNS4RV</v>
      </c>
      <c r="B3850" s="1" t="s">
        <v>7389</v>
      </c>
      <c r="C3850" s="9" t="s">
        <v>7279</v>
      </c>
      <c r="D3850" s="14" t="s">
        <v>7390</v>
      </c>
      <c r="E3850" s="9" t="s">
        <v>11</v>
      </c>
    </row>
    <row r="3851" spans="1:5" outlineLevel="1" x14ac:dyDescent="0.25">
      <c r="A3851" s="2"/>
      <c r="B3851" s="6" t="s">
        <v>7391</v>
      </c>
      <c r="C3851" s="8"/>
      <c r="D3851" s="8"/>
      <c r="E3851" s="8"/>
    </row>
    <row r="3852" spans="1:5" ht="15" customHeight="1" outlineLevel="2" x14ac:dyDescent="0.25">
      <c r="A3852" s="3" t="str">
        <f>HYPERLINK("http://mystore1.ru/price_items/search?utf8=%E2%9C%93&amp;oem=4426AGNBL","4426AGNBL")</f>
        <v>4426AGNBL</v>
      </c>
      <c r="B3852" s="1" t="s">
        <v>7392</v>
      </c>
      <c r="C3852" s="9" t="s">
        <v>140</v>
      </c>
      <c r="D3852" s="14" t="s">
        <v>7393</v>
      </c>
      <c r="E3852" s="9" t="s">
        <v>8</v>
      </c>
    </row>
    <row r="3853" spans="1:5" ht="15" customHeight="1" outlineLevel="2" x14ac:dyDescent="0.25">
      <c r="A3853" s="3" t="str">
        <f>HYPERLINK("http://mystore1.ru/price_items/search?utf8=%E2%9C%93&amp;oem=4426AGN1P","4426AGN1P")</f>
        <v>4426AGN1P</v>
      </c>
      <c r="B3853" s="1" t="s">
        <v>7394</v>
      </c>
      <c r="C3853" s="9" t="s">
        <v>140</v>
      </c>
      <c r="D3853" s="14" t="s">
        <v>7395</v>
      </c>
      <c r="E3853" s="9" t="s">
        <v>8</v>
      </c>
    </row>
    <row r="3854" spans="1:5" ht="15" customHeight="1" outlineLevel="2" x14ac:dyDescent="0.25">
      <c r="A3854" s="3" t="str">
        <f>HYPERLINK("http://mystore1.ru/price_items/search?utf8=%E2%9C%93&amp;oem=4426ASMH","4426ASMH")</f>
        <v>4426ASMH</v>
      </c>
      <c r="B3854" s="1" t="s">
        <v>7396</v>
      </c>
      <c r="C3854" s="9" t="s">
        <v>25</v>
      </c>
      <c r="D3854" s="14" t="s">
        <v>7397</v>
      </c>
      <c r="E3854" s="9" t="s">
        <v>27</v>
      </c>
    </row>
    <row r="3855" spans="1:5" ht="15" customHeight="1" outlineLevel="2" x14ac:dyDescent="0.25">
      <c r="A3855" s="3" t="str">
        <f>HYPERLINK("http://mystore1.ru/price_items/search?utf8=%E2%9C%93&amp;oem=4426LGNH5FD","4426LGNH5FD")</f>
        <v>4426LGNH5FD</v>
      </c>
      <c r="B3855" s="1" t="s">
        <v>7398</v>
      </c>
      <c r="C3855" s="9" t="s">
        <v>1722</v>
      </c>
      <c r="D3855" s="14" t="s">
        <v>7399</v>
      </c>
      <c r="E3855" s="9" t="s">
        <v>11</v>
      </c>
    </row>
    <row r="3856" spans="1:5" ht="15" customHeight="1" outlineLevel="2" x14ac:dyDescent="0.25">
      <c r="A3856" s="3" t="str">
        <f>HYPERLINK("http://mystore1.ru/price_items/search?utf8=%E2%9C%93&amp;oem=4426LGNH5RD","4426LGNH5RD")</f>
        <v>4426LGNH5RD</v>
      </c>
      <c r="B3856" s="1" t="s">
        <v>7400</v>
      </c>
      <c r="C3856" s="9" t="s">
        <v>1722</v>
      </c>
      <c r="D3856" s="14" t="s">
        <v>7401</v>
      </c>
      <c r="E3856" s="9" t="s">
        <v>11</v>
      </c>
    </row>
    <row r="3857" spans="1:5" ht="15" customHeight="1" outlineLevel="2" x14ac:dyDescent="0.25">
      <c r="A3857" s="3" t="str">
        <f>HYPERLINK("http://mystore1.ru/price_items/search?utf8=%E2%9C%93&amp;oem=4426RGNH5FD","4426RGNH5FD")</f>
        <v>4426RGNH5FD</v>
      </c>
      <c r="B3857" s="1" t="s">
        <v>7402</v>
      </c>
      <c r="C3857" s="9" t="s">
        <v>1722</v>
      </c>
      <c r="D3857" s="14" t="s">
        <v>7403</v>
      </c>
      <c r="E3857" s="9" t="s">
        <v>11</v>
      </c>
    </row>
    <row r="3858" spans="1:5" ht="15" customHeight="1" outlineLevel="2" x14ac:dyDescent="0.25">
      <c r="A3858" s="3" t="str">
        <f>HYPERLINK("http://mystore1.ru/price_items/search?utf8=%E2%9C%93&amp;oem=4426RGNH5RD","4426RGNH5RD")</f>
        <v>4426RGNH5RD</v>
      </c>
      <c r="B3858" s="1" t="s">
        <v>7404</v>
      </c>
      <c r="C3858" s="9" t="s">
        <v>1722</v>
      </c>
      <c r="D3858" s="14" t="s">
        <v>7405</v>
      </c>
      <c r="E3858" s="9" t="s">
        <v>11</v>
      </c>
    </row>
    <row r="3859" spans="1:5" outlineLevel="1" x14ac:dyDescent="0.25">
      <c r="A3859" s="2"/>
      <c r="B3859" s="6" t="s">
        <v>7406</v>
      </c>
      <c r="C3859" s="8"/>
      <c r="D3859" s="8"/>
      <c r="E3859" s="8"/>
    </row>
    <row r="3860" spans="1:5" ht="15" customHeight="1" outlineLevel="2" x14ac:dyDescent="0.25">
      <c r="A3860" s="3" t="str">
        <f>HYPERLINK("http://mystore1.ru/price_items/search?utf8=%E2%9C%93&amp;oem=4150AGNBLHV","4150AGNBLHV")</f>
        <v>4150AGNBLHV</v>
      </c>
      <c r="B3860" s="1" t="s">
        <v>6818</v>
      </c>
      <c r="C3860" s="9" t="s">
        <v>601</v>
      </c>
      <c r="D3860" s="14" t="s">
        <v>7407</v>
      </c>
      <c r="E3860" s="9" t="s">
        <v>8</v>
      </c>
    </row>
    <row r="3861" spans="1:5" outlineLevel="1" x14ac:dyDescent="0.25">
      <c r="A3861" s="2"/>
      <c r="B3861" s="6" t="s">
        <v>7408</v>
      </c>
      <c r="C3861" s="8"/>
      <c r="D3861" s="8"/>
      <c r="E3861" s="8"/>
    </row>
    <row r="3862" spans="1:5" ht="15" customHeight="1" outlineLevel="2" x14ac:dyDescent="0.25">
      <c r="A3862" s="3" t="str">
        <f>HYPERLINK("http://mystore1.ru/price_items/search?utf8=%E2%9C%93&amp;oem=4401AGN","4401AGN")</f>
        <v>4401AGN</v>
      </c>
      <c r="B3862" s="1" t="s">
        <v>7409</v>
      </c>
      <c r="C3862" s="9" t="s">
        <v>623</v>
      </c>
      <c r="D3862" s="14" t="s">
        <v>7410</v>
      </c>
      <c r="E3862" s="9" t="s">
        <v>8</v>
      </c>
    </row>
    <row r="3863" spans="1:5" ht="15" customHeight="1" outlineLevel="2" x14ac:dyDescent="0.25">
      <c r="A3863" s="3" t="str">
        <f>HYPERLINK("http://mystore1.ru/price_items/search?utf8=%E2%9C%93&amp;oem=4401AGNBL","4401AGNBL")</f>
        <v>4401AGNBL</v>
      </c>
      <c r="B3863" s="1" t="s">
        <v>7411</v>
      </c>
      <c r="C3863" s="9" t="s">
        <v>623</v>
      </c>
      <c r="D3863" s="14" t="s">
        <v>7412</v>
      </c>
      <c r="E3863" s="9" t="s">
        <v>8</v>
      </c>
    </row>
    <row r="3864" spans="1:5" ht="15" customHeight="1" outlineLevel="2" x14ac:dyDescent="0.25">
      <c r="A3864" s="3" t="str">
        <f>HYPERLINK("http://mystore1.ru/price_items/search?utf8=%E2%9C%93&amp;oem=4401AKCS","4401AKCS")</f>
        <v>4401AKCS</v>
      </c>
      <c r="B3864" s="1" t="s">
        <v>7413</v>
      </c>
      <c r="C3864" s="9" t="s">
        <v>25</v>
      </c>
      <c r="D3864" s="14" t="s">
        <v>7414</v>
      </c>
      <c r="E3864" s="9" t="s">
        <v>27</v>
      </c>
    </row>
    <row r="3865" spans="1:5" ht="15" customHeight="1" outlineLevel="2" x14ac:dyDescent="0.25">
      <c r="A3865" s="3" t="str">
        <f>HYPERLINK("http://mystore1.ru/price_items/search?utf8=%E2%9C%93&amp;oem=4401ASMSTB","4401ASMSTB")</f>
        <v>4401ASMSTB</v>
      </c>
      <c r="B3865" s="1" t="s">
        <v>7415</v>
      </c>
      <c r="C3865" s="9" t="s">
        <v>25</v>
      </c>
      <c r="D3865" s="14" t="s">
        <v>7416</v>
      </c>
      <c r="E3865" s="9" t="s">
        <v>27</v>
      </c>
    </row>
    <row r="3866" spans="1:5" ht="15" customHeight="1" outlineLevel="2" x14ac:dyDescent="0.25">
      <c r="A3866" s="3" t="str">
        <f>HYPERLINK("http://mystore1.ru/price_items/search?utf8=%E2%9C%93&amp;oem=4401ASMSTC","4401ASMSTC")</f>
        <v>4401ASMSTC</v>
      </c>
      <c r="B3866" s="1" t="s">
        <v>7417</v>
      </c>
      <c r="C3866" s="9" t="s">
        <v>25</v>
      </c>
      <c r="D3866" s="14" t="s">
        <v>7418</v>
      </c>
      <c r="E3866" s="9" t="s">
        <v>27</v>
      </c>
    </row>
    <row r="3867" spans="1:5" ht="15" customHeight="1" outlineLevel="2" x14ac:dyDescent="0.25">
      <c r="A3867" s="3" t="str">
        <f>HYPERLINK("http://mystore1.ru/price_items/search?utf8=%E2%9C%93&amp;oem=4401LGNS4FD","4401LGNS4FD")</f>
        <v>4401LGNS4FD</v>
      </c>
      <c r="B3867" s="1" t="s">
        <v>7419</v>
      </c>
      <c r="C3867" s="9" t="s">
        <v>623</v>
      </c>
      <c r="D3867" s="14" t="s">
        <v>7420</v>
      </c>
      <c r="E3867" s="9" t="s">
        <v>11</v>
      </c>
    </row>
    <row r="3868" spans="1:5" ht="15" customHeight="1" outlineLevel="2" x14ac:dyDescent="0.25">
      <c r="A3868" s="3" t="str">
        <f>HYPERLINK("http://mystore1.ru/price_items/search?utf8=%E2%9C%93&amp;oem=4401LGNS4FD1H","4401LGNS4FD1H")</f>
        <v>4401LGNS4FD1H</v>
      </c>
      <c r="B3868" s="1" t="s">
        <v>7421</v>
      </c>
      <c r="C3868" s="9" t="s">
        <v>7422</v>
      </c>
      <c r="D3868" s="14" t="s">
        <v>7423</v>
      </c>
      <c r="E3868" s="9" t="s">
        <v>11</v>
      </c>
    </row>
    <row r="3869" spans="1:5" ht="15" customHeight="1" outlineLevel="2" x14ac:dyDescent="0.25">
      <c r="A3869" s="3" t="str">
        <f>HYPERLINK("http://mystore1.ru/price_items/search?utf8=%E2%9C%93&amp;oem=4401LGNS4RD","4401LGNS4RD")</f>
        <v>4401LGNS4RD</v>
      </c>
      <c r="B3869" s="1" t="s">
        <v>7424</v>
      </c>
      <c r="C3869" s="9" t="s">
        <v>623</v>
      </c>
      <c r="D3869" s="14" t="s">
        <v>7425</v>
      </c>
      <c r="E3869" s="9" t="s">
        <v>11</v>
      </c>
    </row>
    <row r="3870" spans="1:5" ht="15" customHeight="1" outlineLevel="2" x14ac:dyDescent="0.25">
      <c r="A3870" s="3" t="str">
        <f>HYPERLINK("http://mystore1.ru/price_items/search?utf8=%E2%9C%93&amp;oem=4401RGNS4FD","4401RGNS4FD")</f>
        <v>4401RGNS4FD</v>
      </c>
      <c r="B3870" s="1" t="s">
        <v>7426</v>
      </c>
      <c r="C3870" s="9" t="s">
        <v>623</v>
      </c>
      <c r="D3870" s="14" t="s">
        <v>7427</v>
      </c>
      <c r="E3870" s="9" t="s">
        <v>11</v>
      </c>
    </row>
    <row r="3871" spans="1:5" ht="15" customHeight="1" outlineLevel="2" x14ac:dyDescent="0.25">
      <c r="A3871" s="3" t="str">
        <f>HYPERLINK("http://mystore1.ru/price_items/search?utf8=%E2%9C%93&amp;oem=4401RGNS4FD1H","4401RGNS4FD1H")</f>
        <v>4401RGNS4FD1H</v>
      </c>
      <c r="B3871" s="1" t="s">
        <v>7428</v>
      </c>
      <c r="C3871" s="9" t="s">
        <v>7422</v>
      </c>
      <c r="D3871" s="14" t="s">
        <v>7429</v>
      </c>
      <c r="E3871" s="9" t="s">
        <v>11</v>
      </c>
    </row>
    <row r="3872" spans="1:5" ht="15" customHeight="1" outlineLevel="2" x14ac:dyDescent="0.25">
      <c r="A3872" s="3" t="str">
        <f>HYPERLINK("http://mystore1.ru/price_items/search?utf8=%E2%9C%93&amp;oem=4401RGNS4RD","4401RGNS4RD")</f>
        <v>4401RGNS4RD</v>
      </c>
      <c r="B3872" s="1" t="s">
        <v>7430</v>
      </c>
      <c r="C3872" s="9" t="s">
        <v>623</v>
      </c>
      <c r="D3872" s="14" t="s">
        <v>7431</v>
      </c>
      <c r="E3872" s="9" t="s">
        <v>11</v>
      </c>
    </row>
    <row r="3873" spans="1:5" ht="15" customHeight="1" outlineLevel="2" x14ac:dyDescent="0.25">
      <c r="A3873" s="3" t="str">
        <f>HYPERLINK("http://mystore1.ru/price_items/search?utf8=%E2%9C%93&amp;oem=4401RGNS4RV","4401RGNS4RV")</f>
        <v>4401RGNS4RV</v>
      </c>
      <c r="B3873" s="1" t="s">
        <v>7432</v>
      </c>
      <c r="C3873" s="9" t="s">
        <v>623</v>
      </c>
      <c r="D3873" s="14" t="s">
        <v>7433</v>
      </c>
      <c r="E3873" s="9" t="s">
        <v>11</v>
      </c>
    </row>
    <row r="3874" spans="1:5" outlineLevel="1" x14ac:dyDescent="0.25">
      <c r="A3874" s="2"/>
      <c r="B3874" s="6" t="s">
        <v>7434</v>
      </c>
      <c r="C3874" s="8"/>
      <c r="D3874" s="8"/>
      <c r="E3874" s="8"/>
    </row>
    <row r="3875" spans="1:5" ht="15" customHeight="1" outlineLevel="2" x14ac:dyDescent="0.25">
      <c r="A3875" s="3" t="str">
        <f>HYPERLINK("http://mystore1.ru/price_items/search?utf8=%E2%9C%93&amp;oem=4409AGN","4409AGN")</f>
        <v>4409AGN</v>
      </c>
      <c r="B3875" s="1" t="s">
        <v>7435</v>
      </c>
      <c r="C3875" s="9" t="s">
        <v>7436</v>
      </c>
      <c r="D3875" s="14" t="s">
        <v>7437</v>
      </c>
      <c r="E3875" s="9" t="s">
        <v>8</v>
      </c>
    </row>
    <row r="3876" spans="1:5" ht="15" customHeight="1" outlineLevel="2" x14ac:dyDescent="0.25">
      <c r="A3876" s="3" t="str">
        <f>HYPERLINK("http://mystore1.ru/price_items/search?utf8=%E2%9C%93&amp;oem=4409AGNBL6Z","4409AGNBL6Z")</f>
        <v>4409AGNBL6Z</v>
      </c>
      <c r="B3876" s="1" t="s">
        <v>7438</v>
      </c>
      <c r="C3876" s="9" t="s">
        <v>7436</v>
      </c>
      <c r="D3876" s="14" t="s">
        <v>7439</v>
      </c>
      <c r="E3876" s="9" t="s">
        <v>8</v>
      </c>
    </row>
    <row r="3877" spans="1:5" ht="15" customHeight="1" outlineLevel="2" x14ac:dyDescent="0.25">
      <c r="A3877" s="3" t="str">
        <f>HYPERLINK("http://mystore1.ru/price_items/search?utf8=%E2%9C%93&amp;oem=4409AGNBL","4409AGNBL")</f>
        <v>4409AGNBL</v>
      </c>
      <c r="B3877" s="1" t="s">
        <v>7440</v>
      </c>
      <c r="C3877" s="9" t="s">
        <v>2863</v>
      </c>
      <c r="D3877" s="14" t="s">
        <v>7441</v>
      </c>
      <c r="E3877" s="9" t="s">
        <v>8</v>
      </c>
    </row>
    <row r="3878" spans="1:5" ht="15" customHeight="1" outlineLevel="2" x14ac:dyDescent="0.25">
      <c r="A3878" s="3" t="str">
        <f>HYPERLINK("http://mystore1.ru/price_items/search?utf8=%E2%9C%93&amp;oem=4409AGNBL1P","4409AGNBL1P")</f>
        <v>4409AGNBL1P</v>
      </c>
      <c r="B3878" s="1" t="s">
        <v>7442</v>
      </c>
      <c r="C3878" s="9" t="s">
        <v>7436</v>
      </c>
      <c r="D3878" s="14" t="s">
        <v>7443</v>
      </c>
      <c r="E3878" s="9" t="s">
        <v>8</v>
      </c>
    </row>
    <row r="3879" spans="1:5" ht="15" customHeight="1" outlineLevel="2" x14ac:dyDescent="0.25">
      <c r="A3879" s="3" t="str">
        <f>HYPERLINK("http://mystore1.ru/price_items/search?utf8=%E2%9C%93&amp;oem=4409ASMH","4409ASMH")</f>
        <v>4409ASMH</v>
      </c>
      <c r="B3879" s="1" t="s">
        <v>7444</v>
      </c>
      <c r="C3879" s="9" t="s">
        <v>25</v>
      </c>
      <c r="D3879" s="14" t="s">
        <v>7445</v>
      </c>
      <c r="E3879" s="9" t="s">
        <v>27</v>
      </c>
    </row>
    <row r="3880" spans="1:5" ht="15" customHeight="1" outlineLevel="2" x14ac:dyDescent="0.25">
      <c r="A3880" s="3" t="str">
        <f>HYPERLINK("http://mystore1.ru/price_items/search?utf8=%E2%9C%93&amp;oem=4409BGNH","4409BGNH")</f>
        <v>4409BGNH</v>
      </c>
      <c r="B3880" s="1" t="s">
        <v>7446</v>
      </c>
      <c r="C3880" s="9" t="s">
        <v>7436</v>
      </c>
      <c r="D3880" s="14" t="s">
        <v>7447</v>
      </c>
      <c r="E3880" s="9" t="s">
        <v>30</v>
      </c>
    </row>
    <row r="3881" spans="1:5" ht="15" customHeight="1" outlineLevel="2" x14ac:dyDescent="0.25">
      <c r="A3881" s="3" t="str">
        <f>HYPERLINK("http://mystore1.ru/price_items/search?utf8=%E2%9C%93&amp;oem=4409RGNH5FD","4409RGNH5FD")</f>
        <v>4409RGNH5FD</v>
      </c>
      <c r="B3881" s="1" t="s">
        <v>7448</v>
      </c>
      <c r="C3881" s="9" t="s">
        <v>7436</v>
      </c>
      <c r="D3881" s="14" t="s">
        <v>7449</v>
      </c>
      <c r="E3881" s="9" t="s">
        <v>11</v>
      </c>
    </row>
    <row r="3882" spans="1:5" ht="15" customHeight="1" outlineLevel="2" x14ac:dyDescent="0.25">
      <c r="A3882" s="3" t="str">
        <f>HYPERLINK("http://mystore1.ru/price_items/search?utf8=%E2%9C%93&amp;oem=4409LGNH5FD","4409LGNH5FD")</f>
        <v>4409LGNH5FD</v>
      </c>
      <c r="B3882" s="1" t="s">
        <v>7450</v>
      </c>
      <c r="C3882" s="9" t="s">
        <v>7436</v>
      </c>
      <c r="D3882" s="14" t="s">
        <v>7451</v>
      </c>
      <c r="E3882" s="9" t="s">
        <v>11</v>
      </c>
    </row>
    <row r="3883" spans="1:5" ht="15" customHeight="1" outlineLevel="2" x14ac:dyDescent="0.25">
      <c r="A3883" s="3" t="str">
        <f>HYPERLINK("http://mystore1.ru/price_items/search?utf8=%E2%9C%93&amp;oem=4409RGNH5RD","4409RGNH5RD")</f>
        <v>4409RGNH5RD</v>
      </c>
      <c r="B3883" s="1" t="s">
        <v>7452</v>
      </c>
      <c r="C3883" s="9" t="s">
        <v>7436</v>
      </c>
      <c r="D3883" s="14" t="s">
        <v>7453</v>
      </c>
      <c r="E3883" s="9" t="s">
        <v>11</v>
      </c>
    </row>
    <row r="3884" spans="1:5" ht="15" customHeight="1" outlineLevel="2" x14ac:dyDescent="0.25">
      <c r="A3884" s="3" t="str">
        <f>HYPERLINK("http://mystore1.ru/price_items/search?utf8=%E2%9C%93&amp;oem=4409LGNH5RD","4409LGNH5RD")</f>
        <v>4409LGNH5RD</v>
      </c>
      <c r="B3884" s="1" t="s">
        <v>7454</v>
      </c>
      <c r="C3884" s="9" t="s">
        <v>7436</v>
      </c>
      <c r="D3884" s="14" t="s">
        <v>7455</v>
      </c>
      <c r="E3884" s="9" t="s">
        <v>11</v>
      </c>
    </row>
    <row r="3885" spans="1:5" outlineLevel="1" x14ac:dyDescent="0.25">
      <c r="A3885" s="2"/>
      <c r="B3885" s="6" t="s">
        <v>7456</v>
      </c>
      <c r="C3885" s="8"/>
      <c r="D3885" s="8"/>
      <c r="E3885" s="8"/>
    </row>
    <row r="3886" spans="1:5" ht="15" customHeight="1" outlineLevel="2" x14ac:dyDescent="0.25">
      <c r="A3886" s="3" t="str">
        <f>HYPERLINK("http://mystore1.ru/price_items/search?utf8=%E2%9C%93&amp;oem=4418AGN","4418AGN")</f>
        <v>4418AGN</v>
      </c>
      <c r="B3886" s="1" t="s">
        <v>7457</v>
      </c>
      <c r="C3886" s="9" t="s">
        <v>1496</v>
      </c>
      <c r="D3886" s="14" t="s">
        <v>7458</v>
      </c>
      <c r="E3886" s="9" t="s">
        <v>8</v>
      </c>
    </row>
    <row r="3887" spans="1:5" ht="15" customHeight="1" outlineLevel="2" x14ac:dyDescent="0.25">
      <c r="A3887" s="3" t="str">
        <f>HYPERLINK("http://mystore1.ru/price_items/search?utf8=%E2%9C%93&amp;oem=4418AGNBL","4418AGNBL")</f>
        <v>4418AGNBL</v>
      </c>
      <c r="B3887" s="1" t="s">
        <v>7459</v>
      </c>
      <c r="C3887" s="9" t="s">
        <v>2406</v>
      </c>
      <c r="D3887" s="14" t="s">
        <v>7460</v>
      </c>
      <c r="E3887" s="9" t="s">
        <v>8</v>
      </c>
    </row>
    <row r="3888" spans="1:5" ht="15" customHeight="1" outlineLevel="2" x14ac:dyDescent="0.25">
      <c r="A3888" s="3" t="str">
        <f>HYPERLINK("http://mystore1.ru/price_items/search?utf8=%E2%9C%93&amp;oem=4418AGS","4418AGS")</f>
        <v>4418AGS</v>
      </c>
      <c r="B3888" s="1" t="s">
        <v>7461</v>
      </c>
      <c r="C3888" s="9" t="s">
        <v>1496</v>
      </c>
      <c r="D3888" s="14" t="s">
        <v>7458</v>
      </c>
      <c r="E3888" s="9" t="s">
        <v>8</v>
      </c>
    </row>
    <row r="3889" spans="1:5" ht="15" customHeight="1" outlineLevel="2" x14ac:dyDescent="0.25">
      <c r="A3889" s="3" t="str">
        <f>HYPERLINK("http://mystore1.ru/price_items/search?utf8=%E2%9C%93&amp;oem=4418AGSBL","4418AGSBL")</f>
        <v>4418AGSBL</v>
      </c>
      <c r="B3889" s="1" t="s">
        <v>7462</v>
      </c>
      <c r="C3889" s="9" t="s">
        <v>2406</v>
      </c>
      <c r="D3889" s="14" t="s">
        <v>7460</v>
      </c>
      <c r="E3889" s="9" t="s">
        <v>8</v>
      </c>
    </row>
    <row r="3890" spans="1:5" ht="15" customHeight="1" outlineLevel="2" x14ac:dyDescent="0.25">
      <c r="A3890" s="3" t="str">
        <f>HYPERLINK("http://mystore1.ru/price_items/search?utf8=%E2%9C%93&amp;oem=4418AGSBLH","4418AGSBLH")</f>
        <v>4418AGSBLH</v>
      </c>
      <c r="B3890" s="1" t="s">
        <v>7463</v>
      </c>
      <c r="C3890" s="9" t="s">
        <v>2406</v>
      </c>
      <c r="D3890" s="14" t="s">
        <v>7464</v>
      </c>
      <c r="E3890" s="9" t="s">
        <v>8</v>
      </c>
    </row>
    <row r="3891" spans="1:5" ht="15" customHeight="1" outlineLevel="2" x14ac:dyDescent="0.25">
      <c r="A3891" s="3" t="str">
        <f>HYPERLINK("http://mystore1.ru/price_items/search?utf8=%E2%9C%93&amp;oem=4418AGSBLHM","4418AGSBLHM")</f>
        <v>4418AGSBLHM</v>
      </c>
      <c r="B3891" s="1" t="s">
        <v>7465</v>
      </c>
      <c r="C3891" s="9" t="s">
        <v>2406</v>
      </c>
      <c r="D3891" s="14" t="s">
        <v>7466</v>
      </c>
      <c r="E3891" s="9" t="s">
        <v>8</v>
      </c>
    </row>
    <row r="3892" spans="1:5" ht="15" customHeight="1" outlineLevel="2" x14ac:dyDescent="0.25">
      <c r="A3892" s="3" t="str">
        <f>HYPERLINK("http://mystore1.ru/price_items/search?utf8=%E2%9C%93&amp;oem=4418ASMR","4418ASMR")</f>
        <v>4418ASMR</v>
      </c>
      <c r="B3892" s="1" t="s">
        <v>7467</v>
      </c>
      <c r="C3892" s="9" t="s">
        <v>25</v>
      </c>
      <c r="D3892" s="14" t="s">
        <v>7468</v>
      </c>
      <c r="E3892" s="9" t="s">
        <v>27</v>
      </c>
    </row>
    <row r="3893" spans="1:5" ht="15" customHeight="1" outlineLevel="2" x14ac:dyDescent="0.25">
      <c r="A3893" s="3" t="str">
        <f>HYPERLINK("http://mystore1.ru/price_items/search?utf8=%E2%9C%93&amp;oem=4418BGNRAOW","4418BGNRAOW")</f>
        <v>4418BGNRAOW</v>
      </c>
      <c r="B3893" s="1" t="s">
        <v>7469</v>
      </c>
      <c r="C3893" s="9" t="s">
        <v>2406</v>
      </c>
      <c r="D3893" s="14" t="s">
        <v>7470</v>
      </c>
      <c r="E3893" s="9" t="s">
        <v>30</v>
      </c>
    </row>
    <row r="3894" spans="1:5" ht="15" customHeight="1" outlineLevel="2" x14ac:dyDescent="0.25">
      <c r="A3894" s="3" t="str">
        <f>HYPERLINK("http://mystore1.ru/price_items/search?utf8=%E2%9C%93&amp;oem=4418BGNROW","4418BGNROW")</f>
        <v>4418BGNROW</v>
      </c>
      <c r="B3894" s="1" t="s">
        <v>7471</v>
      </c>
      <c r="C3894" s="9" t="s">
        <v>2406</v>
      </c>
      <c r="D3894" s="14" t="s">
        <v>7472</v>
      </c>
      <c r="E3894" s="9" t="s">
        <v>30</v>
      </c>
    </row>
    <row r="3895" spans="1:5" ht="15" customHeight="1" outlineLevel="2" x14ac:dyDescent="0.25">
      <c r="A3895" s="3" t="str">
        <f>HYPERLINK("http://mystore1.ru/price_items/search?utf8=%E2%9C%93&amp;oem=4418LGNR5FD","4418LGNR5FD")</f>
        <v>4418LGNR5FD</v>
      </c>
      <c r="B3895" s="1" t="s">
        <v>7473</v>
      </c>
      <c r="C3895" s="9" t="s">
        <v>2406</v>
      </c>
      <c r="D3895" s="14" t="s">
        <v>7474</v>
      </c>
      <c r="E3895" s="9" t="s">
        <v>11</v>
      </c>
    </row>
    <row r="3896" spans="1:5" ht="15" customHeight="1" outlineLevel="2" x14ac:dyDescent="0.25">
      <c r="A3896" s="3" t="str">
        <f>HYPERLINK("http://mystore1.ru/price_items/search?utf8=%E2%9C%93&amp;oem=4418LGNR5RD","4418LGNR5RD")</f>
        <v>4418LGNR5RD</v>
      </c>
      <c r="B3896" s="1" t="s">
        <v>7475</v>
      </c>
      <c r="C3896" s="9" t="s">
        <v>2406</v>
      </c>
      <c r="D3896" s="14" t="s">
        <v>7476</v>
      </c>
      <c r="E3896" s="9" t="s">
        <v>11</v>
      </c>
    </row>
    <row r="3897" spans="1:5" ht="15" customHeight="1" outlineLevel="2" x14ac:dyDescent="0.25">
      <c r="A3897" s="3" t="str">
        <f>HYPERLINK("http://mystore1.ru/price_items/search?utf8=%E2%9C%93&amp;oem=4418LGNR5RV","4418LGNR5RV")</f>
        <v>4418LGNR5RV</v>
      </c>
      <c r="B3897" s="1" t="s">
        <v>7477</v>
      </c>
      <c r="C3897" s="9" t="s">
        <v>2406</v>
      </c>
      <c r="D3897" s="14" t="s">
        <v>7478</v>
      </c>
      <c r="E3897" s="9" t="s">
        <v>11</v>
      </c>
    </row>
    <row r="3898" spans="1:5" ht="15" customHeight="1" outlineLevel="2" x14ac:dyDescent="0.25">
      <c r="A3898" s="3" t="str">
        <f>HYPERLINK("http://mystore1.ru/price_items/search?utf8=%E2%9C%93&amp;oem=4418LGPR5RDW","4418LGPR5RDW")</f>
        <v>4418LGPR5RDW</v>
      </c>
      <c r="B3898" s="1" t="s">
        <v>7479</v>
      </c>
      <c r="C3898" s="9" t="s">
        <v>2406</v>
      </c>
      <c r="D3898" s="14" t="s">
        <v>7480</v>
      </c>
      <c r="E3898" s="9" t="s">
        <v>11</v>
      </c>
    </row>
    <row r="3899" spans="1:5" ht="15" customHeight="1" outlineLevel="2" x14ac:dyDescent="0.25">
      <c r="A3899" s="3" t="str">
        <f>HYPERLINK("http://mystore1.ru/price_items/search?utf8=%E2%9C%93&amp;oem=4418RGNR5FD","4418RGNR5FD")</f>
        <v>4418RGNR5FD</v>
      </c>
      <c r="B3899" s="1" t="s">
        <v>7481</v>
      </c>
      <c r="C3899" s="9" t="s">
        <v>2406</v>
      </c>
      <c r="D3899" s="14" t="s">
        <v>7482</v>
      </c>
      <c r="E3899" s="9" t="s">
        <v>11</v>
      </c>
    </row>
    <row r="3900" spans="1:5" ht="15" customHeight="1" outlineLevel="2" x14ac:dyDescent="0.25">
      <c r="A3900" s="3" t="str">
        <f>HYPERLINK("http://mystore1.ru/price_items/search?utf8=%E2%9C%93&amp;oem=4418RGNR5FDW","4418RGNR5FDW")</f>
        <v>4418RGNR5FDW</v>
      </c>
      <c r="B3900" s="1" t="s">
        <v>7483</v>
      </c>
      <c r="C3900" s="9" t="s">
        <v>2406</v>
      </c>
      <c r="D3900" s="14" t="s">
        <v>7484</v>
      </c>
      <c r="E3900" s="9" t="s">
        <v>11</v>
      </c>
    </row>
    <row r="3901" spans="1:5" ht="15" customHeight="1" outlineLevel="2" x14ac:dyDescent="0.25">
      <c r="A3901" s="3" t="str">
        <f>HYPERLINK("http://mystore1.ru/price_items/search?utf8=%E2%9C%93&amp;oem=4418RGNR5RD","4418RGNR5RD")</f>
        <v>4418RGNR5RD</v>
      </c>
      <c r="B3901" s="1" t="s">
        <v>7485</v>
      </c>
      <c r="C3901" s="9" t="s">
        <v>2406</v>
      </c>
      <c r="D3901" s="14" t="s">
        <v>7486</v>
      </c>
      <c r="E3901" s="9" t="s">
        <v>11</v>
      </c>
    </row>
    <row r="3902" spans="1:5" ht="15" customHeight="1" outlineLevel="2" x14ac:dyDescent="0.25">
      <c r="A3902" s="3" t="str">
        <f>HYPERLINK("http://mystore1.ru/price_items/search?utf8=%E2%9C%93&amp;oem=4418RGNR5RDW","4418RGNR5RDW")</f>
        <v>4418RGNR5RDW</v>
      </c>
      <c r="B3902" s="1" t="s">
        <v>7487</v>
      </c>
      <c r="C3902" s="9" t="s">
        <v>2406</v>
      </c>
      <c r="D3902" s="14" t="s">
        <v>7488</v>
      </c>
      <c r="E3902" s="9" t="s">
        <v>11</v>
      </c>
    </row>
    <row r="3903" spans="1:5" ht="15" customHeight="1" outlineLevel="2" x14ac:dyDescent="0.25">
      <c r="A3903" s="3" t="str">
        <f>HYPERLINK("http://mystore1.ru/price_items/search?utf8=%E2%9C%93&amp;oem=4418RGNR5RV","4418RGNR5RV")</f>
        <v>4418RGNR5RV</v>
      </c>
      <c r="B3903" s="1" t="s">
        <v>7489</v>
      </c>
      <c r="C3903" s="9" t="s">
        <v>2406</v>
      </c>
      <c r="D3903" s="14" t="s">
        <v>7490</v>
      </c>
      <c r="E3903" s="9" t="s">
        <v>11</v>
      </c>
    </row>
    <row r="3904" spans="1:5" ht="15" customHeight="1" outlineLevel="2" x14ac:dyDescent="0.25">
      <c r="A3904" s="3" t="str">
        <f>HYPERLINK("http://mystore1.ru/price_items/search?utf8=%E2%9C%93&amp;oem=4418RGPR5RDW","4418RGPR5RDW")</f>
        <v>4418RGPR5RDW</v>
      </c>
      <c r="B3904" s="1" t="s">
        <v>7491</v>
      </c>
      <c r="C3904" s="9" t="s">
        <v>2406</v>
      </c>
      <c r="D3904" s="14" t="s">
        <v>7492</v>
      </c>
      <c r="E3904" s="9" t="s">
        <v>11</v>
      </c>
    </row>
    <row r="3905" spans="1:5" outlineLevel="1" x14ac:dyDescent="0.25">
      <c r="A3905" s="2"/>
      <c r="B3905" s="6" t="s">
        <v>7493</v>
      </c>
      <c r="C3905" s="8"/>
      <c r="D3905" s="8"/>
      <c r="E3905" s="8"/>
    </row>
    <row r="3906" spans="1:5" ht="15" customHeight="1" outlineLevel="2" x14ac:dyDescent="0.25">
      <c r="A3906" s="3" t="str">
        <f>HYPERLINK("http://mystore1.ru/price_items/search?utf8=%E2%9C%93&amp;oem=4437AGNHV","4437AGNHV")</f>
        <v>4437AGNHV</v>
      </c>
      <c r="B3906" s="1" t="s">
        <v>7494</v>
      </c>
      <c r="C3906" s="9" t="s">
        <v>601</v>
      </c>
      <c r="D3906" s="14" t="s">
        <v>7495</v>
      </c>
      <c r="E3906" s="9" t="s">
        <v>8</v>
      </c>
    </row>
    <row r="3907" spans="1:5" ht="15" customHeight="1" outlineLevel="2" x14ac:dyDescent="0.25">
      <c r="A3907" s="3" t="str">
        <f>HYPERLINK("http://mystore1.ru/price_items/search?utf8=%E2%9C%93&amp;oem=4437AGNHMV1B","4437AGNHMV1B")</f>
        <v>4437AGNHMV1B</v>
      </c>
      <c r="B3907" s="1" t="s">
        <v>7496</v>
      </c>
      <c r="C3907" s="9" t="s">
        <v>601</v>
      </c>
      <c r="D3907" s="14" t="s">
        <v>7497</v>
      </c>
      <c r="E3907" s="9" t="s">
        <v>8</v>
      </c>
    </row>
    <row r="3908" spans="1:5" ht="15" customHeight="1" outlineLevel="2" x14ac:dyDescent="0.25">
      <c r="A3908" s="3" t="str">
        <f>HYPERLINK("http://mystore1.ru/price_items/search?utf8=%E2%9C%93&amp;oem=4437AGSHMV1B","4437AGSHMV1B")</f>
        <v>4437AGSHMV1B</v>
      </c>
      <c r="B3908" s="1" t="s">
        <v>7498</v>
      </c>
      <c r="C3908" s="9" t="s">
        <v>601</v>
      </c>
      <c r="D3908" s="14" t="s">
        <v>7497</v>
      </c>
      <c r="E3908" s="9" t="s">
        <v>8</v>
      </c>
    </row>
    <row r="3909" spans="1:5" ht="15" customHeight="1" outlineLevel="2" x14ac:dyDescent="0.25">
      <c r="A3909" s="3" t="str">
        <f>HYPERLINK("http://mystore1.ru/price_items/search?utf8=%E2%9C%93&amp;oem=4437AGSBLHMV1B","4437AGSBLHMV1B")</f>
        <v>4437AGSBLHMV1B</v>
      </c>
      <c r="B3909" s="1" t="s">
        <v>7499</v>
      </c>
      <c r="C3909" s="9" t="s">
        <v>601</v>
      </c>
      <c r="D3909" s="14" t="s">
        <v>7500</v>
      </c>
      <c r="E3909" s="9" t="s">
        <v>8</v>
      </c>
    </row>
    <row r="3910" spans="1:5" outlineLevel="1" x14ac:dyDescent="0.25">
      <c r="A3910" s="2"/>
      <c r="B3910" s="6" t="s">
        <v>7501</v>
      </c>
      <c r="C3910" s="8"/>
      <c r="D3910" s="8"/>
      <c r="E3910" s="8"/>
    </row>
    <row r="3911" spans="1:5" ht="15" customHeight="1" outlineLevel="2" x14ac:dyDescent="0.25">
      <c r="A3911" s="3" t="str">
        <f>HYPERLINK("http://mystore1.ru/price_items/search?utf8=%E2%9C%93&amp;oem=4434AGSBL","4434AGSBL")</f>
        <v>4434AGSBL</v>
      </c>
      <c r="B3911" s="1" t="s">
        <v>7502</v>
      </c>
      <c r="C3911" s="9" t="s">
        <v>369</v>
      </c>
      <c r="D3911" s="14" t="s">
        <v>7503</v>
      </c>
      <c r="E3911" s="9" t="s">
        <v>8</v>
      </c>
    </row>
    <row r="3912" spans="1:5" outlineLevel="1" x14ac:dyDescent="0.25">
      <c r="A3912" s="2"/>
      <c r="B3912" s="6" t="s">
        <v>7504</v>
      </c>
      <c r="C3912" s="8"/>
      <c r="D3912" s="8"/>
      <c r="E3912" s="8"/>
    </row>
    <row r="3913" spans="1:5" ht="15" customHeight="1" outlineLevel="2" x14ac:dyDescent="0.25">
      <c r="A3913" s="3" t="str">
        <f>HYPERLINK("http://mystore1.ru/price_items/search?utf8=%E2%9C%93&amp;oem=4402AGNBL","4402AGNBL")</f>
        <v>4402AGNBL</v>
      </c>
      <c r="B3913" s="1" t="s">
        <v>7505</v>
      </c>
      <c r="C3913" s="9" t="s">
        <v>5335</v>
      </c>
      <c r="D3913" s="14" t="s">
        <v>7506</v>
      </c>
      <c r="E3913" s="9" t="s">
        <v>8</v>
      </c>
    </row>
    <row r="3914" spans="1:5" ht="15" customHeight="1" outlineLevel="2" x14ac:dyDescent="0.25">
      <c r="A3914" s="3" t="str">
        <f>HYPERLINK("http://mystore1.ru/price_items/search?utf8=%E2%9C%93&amp;oem=4402ASMR","4402ASMR")</f>
        <v>4402ASMR</v>
      </c>
      <c r="B3914" s="1" t="s">
        <v>7507</v>
      </c>
      <c r="C3914" s="9" t="s">
        <v>25</v>
      </c>
      <c r="D3914" s="14" t="s">
        <v>7508</v>
      </c>
      <c r="E3914" s="9" t="s">
        <v>27</v>
      </c>
    </row>
    <row r="3915" spans="1:5" ht="15" customHeight="1" outlineLevel="2" x14ac:dyDescent="0.25">
      <c r="A3915" s="3" t="str">
        <f>HYPERLINK("http://mystore1.ru/price_items/search?utf8=%E2%9C%93&amp;oem=4402BGNR","4402BGNR")</f>
        <v>4402BGNR</v>
      </c>
      <c r="B3915" s="1" t="s">
        <v>7509</v>
      </c>
      <c r="C3915" s="9" t="s">
        <v>5335</v>
      </c>
      <c r="D3915" s="14" t="s">
        <v>7510</v>
      </c>
      <c r="E3915" s="9" t="s">
        <v>30</v>
      </c>
    </row>
    <row r="3916" spans="1:5" ht="15" customHeight="1" outlineLevel="2" x14ac:dyDescent="0.25">
      <c r="A3916" s="3" t="str">
        <f>HYPERLINK("http://mystore1.ru/price_items/search?utf8=%E2%9C%93&amp;oem=4402LGNR5FD","4402LGNR5FD")</f>
        <v>4402LGNR5FD</v>
      </c>
      <c r="B3916" s="1" t="s">
        <v>7511</v>
      </c>
      <c r="C3916" s="9" t="s">
        <v>5335</v>
      </c>
      <c r="D3916" s="14" t="s">
        <v>7512</v>
      </c>
      <c r="E3916" s="9" t="s">
        <v>11</v>
      </c>
    </row>
    <row r="3917" spans="1:5" ht="15" customHeight="1" outlineLevel="2" x14ac:dyDescent="0.25">
      <c r="A3917" s="3" t="str">
        <f>HYPERLINK("http://mystore1.ru/price_items/search?utf8=%E2%9C%93&amp;oem=4402LGNR5FD1H","4402LGNR5FD1H")</f>
        <v>4402LGNR5FD1H</v>
      </c>
      <c r="B3917" s="1" t="s">
        <v>7513</v>
      </c>
      <c r="C3917" s="9" t="s">
        <v>570</v>
      </c>
      <c r="D3917" s="14" t="s">
        <v>7514</v>
      </c>
      <c r="E3917" s="9" t="s">
        <v>11</v>
      </c>
    </row>
    <row r="3918" spans="1:5" ht="15" customHeight="1" outlineLevel="2" x14ac:dyDescent="0.25">
      <c r="A3918" s="3" t="str">
        <f>HYPERLINK("http://mystore1.ru/price_items/search?utf8=%E2%9C%93&amp;oem=4402LGNR5RD","4402LGNR5RD")</f>
        <v>4402LGNR5RD</v>
      </c>
      <c r="B3918" s="1" t="s">
        <v>7515</v>
      </c>
      <c r="C3918" s="9" t="s">
        <v>5335</v>
      </c>
      <c r="D3918" s="14" t="s">
        <v>7516</v>
      </c>
      <c r="E3918" s="9" t="s">
        <v>11</v>
      </c>
    </row>
    <row r="3919" spans="1:5" ht="15" customHeight="1" outlineLevel="2" x14ac:dyDescent="0.25">
      <c r="A3919" s="3" t="str">
        <f>HYPERLINK("http://mystore1.ru/price_items/search?utf8=%E2%9C%93&amp;oem=4402LGNR5RQ","4402LGNR5RQ")</f>
        <v>4402LGNR5RQ</v>
      </c>
      <c r="B3919" s="1" t="s">
        <v>7517</v>
      </c>
      <c r="C3919" s="9" t="s">
        <v>5335</v>
      </c>
      <c r="D3919" s="14" t="s">
        <v>7518</v>
      </c>
      <c r="E3919" s="9" t="s">
        <v>11</v>
      </c>
    </row>
    <row r="3920" spans="1:5" ht="15" customHeight="1" outlineLevel="2" x14ac:dyDescent="0.25">
      <c r="A3920" s="3" t="str">
        <f>HYPERLINK("http://mystore1.ru/price_items/search?utf8=%E2%9C%93&amp;oem=4402LGNR5RV","4402LGNR5RV")</f>
        <v>4402LGNR5RV</v>
      </c>
      <c r="B3920" s="1" t="s">
        <v>7519</v>
      </c>
      <c r="C3920" s="9" t="s">
        <v>5335</v>
      </c>
      <c r="D3920" s="14" t="s">
        <v>7520</v>
      </c>
      <c r="E3920" s="9" t="s">
        <v>11</v>
      </c>
    </row>
    <row r="3921" spans="1:5" ht="15" customHeight="1" outlineLevel="2" x14ac:dyDescent="0.25">
      <c r="A3921" s="3" t="str">
        <f>HYPERLINK("http://mystore1.ru/price_items/search?utf8=%E2%9C%93&amp;oem=4402RGNR5FD1H","4402RGNR5FD1H")</f>
        <v>4402RGNR5FD1H</v>
      </c>
      <c r="B3921" s="1" t="s">
        <v>7521</v>
      </c>
      <c r="C3921" s="9" t="s">
        <v>570</v>
      </c>
      <c r="D3921" s="14" t="s">
        <v>7522</v>
      </c>
      <c r="E3921" s="9" t="s">
        <v>11</v>
      </c>
    </row>
    <row r="3922" spans="1:5" ht="15" customHeight="1" outlineLevel="2" x14ac:dyDescent="0.25">
      <c r="A3922" s="3" t="str">
        <f>HYPERLINK("http://mystore1.ru/price_items/search?utf8=%E2%9C%93&amp;oem=4402RGNR5RD","4402RGNR5RD")</f>
        <v>4402RGNR5RD</v>
      </c>
      <c r="B3922" s="1" t="s">
        <v>7523</v>
      </c>
      <c r="C3922" s="9" t="s">
        <v>5335</v>
      </c>
      <c r="D3922" s="14" t="s">
        <v>7524</v>
      </c>
      <c r="E3922" s="9" t="s">
        <v>11</v>
      </c>
    </row>
    <row r="3923" spans="1:5" ht="15" customHeight="1" outlineLevel="2" x14ac:dyDescent="0.25">
      <c r="A3923" s="3" t="str">
        <f>HYPERLINK("http://mystore1.ru/price_items/search?utf8=%E2%9C%93&amp;oem=4402RGNR5RQ","4402RGNR5RQ")</f>
        <v>4402RGNR5RQ</v>
      </c>
      <c r="B3923" s="1" t="s">
        <v>7525</v>
      </c>
      <c r="C3923" s="9" t="s">
        <v>5335</v>
      </c>
      <c r="D3923" s="14" t="s">
        <v>7526</v>
      </c>
      <c r="E3923" s="9" t="s">
        <v>11</v>
      </c>
    </row>
    <row r="3924" spans="1:5" ht="15" customHeight="1" outlineLevel="2" x14ac:dyDescent="0.25">
      <c r="A3924" s="3" t="str">
        <f>HYPERLINK("http://mystore1.ru/price_items/search?utf8=%E2%9C%93&amp;oem=4402RGNR5RV","4402RGNR5RV")</f>
        <v>4402RGNR5RV</v>
      </c>
      <c r="B3924" s="1" t="s">
        <v>7527</v>
      </c>
      <c r="C3924" s="9" t="s">
        <v>5335</v>
      </c>
      <c r="D3924" s="14" t="s">
        <v>7528</v>
      </c>
      <c r="E3924" s="9" t="s">
        <v>11</v>
      </c>
    </row>
    <row r="3925" spans="1:5" ht="15" customHeight="1" outlineLevel="2" x14ac:dyDescent="0.25">
      <c r="A3925" s="3" t="str">
        <f>HYPERLINK("http://mystore1.ru/price_items/search?utf8=%E2%9C%93&amp;oem=4402RGNR5FD","4402RGNR5FD")</f>
        <v>4402RGNR5FD</v>
      </c>
      <c r="B3925" s="1" t="s">
        <v>7529</v>
      </c>
      <c r="C3925" s="9" t="s">
        <v>5335</v>
      </c>
      <c r="D3925" s="14" t="s">
        <v>7530</v>
      </c>
      <c r="E3925" s="9" t="s">
        <v>11</v>
      </c>
    </row>
    <row r="3926" spans="1:5" outlineLevel="1" x14ac:dyDescent="0.25">
      <c r="A3926" s="2"/>
      <c r="B3926" s="6" t="s">
        <v>7531</v>
      </c>
      <c r="C3926" s="8"/>
      <c r="D3926" s="8"/>
      <c r="E3926" s="8"/>
    </row>
    <row r="3927" spans="1:5" ht="15" customHeight="1" outlineLevel="2" x14ac:dyDescent="0.25">
      <c r="A3927" s="3" t="str">
        <f>HYPERLINK("http://mystore1.ru/price_items/search?utf8=%E2%9C%93&amp;oem=4424AGN","4424AGN")</f>
        <v>4424AGN</v>
      </c>
      <c r="B3927" s="1" t="s">
        <v>7532</v>
      </c>
      <c r="C3927" s="9" t="s">
        <v>212</v>
      </c>
      <c r="D3927" s="14" t="s">
        <v>7533</v>
      </c>
      <c r="E3927" s="9" t="s">
        <v>8</v>
      </c>
    </row>
    <row r="3928" spans="1:5" ht="15" customHeight="1" outlineLevel="2" x14ac:dyDescent="0.25">
      <c r="A3928" s="3" t="str">
        <f>HYPERLINK("http://mystore1.ru/price_items/search?utf8=%E2%9C%93&amp;oem=4424ALGBL","4424ALGBL")</f>
        <v>4424ALGBL</v>
      </c>
      <c r="B3928" s="1" t="s">
        <v>7534</v>
      </c>
      <c r="C3928" s="9" t="s">
        <v>212</v>
      </c>
      <c r="D3928" s="14" t="s">
        <v>7535</v>
      </c>
      <c r="E3928" s="9" t="s">
        <v>8</v>
      </c>
    </row>
    <row r="3929" spans="1:5" ht="15" customHeight="1" outlineLevel="2" x14ac:dyDescent="0.25">
      <c r="A3929" s="3" t="str">
        <f>HYPERLINK("http://mystore1.ru/price_items/search?utf8=%E2%9C%93&amp;oem=4424ALGBLH","4424ALGBLH")</f>
        <v>4424ALGBLH</v>
      </c>
      <c r="B3929" s="1" t="s">
        <v>7536</v>
      </c>
      <c r="C3929" s="9" t="s">
        <v>212</v>
      </c>
      <c r="D3929" s="14" t="s">
        <v>7537</v>
      </c>
      <c r="E3929" s="9" t="s">
        <v>8</v>
      </c>
    </row>
    <row r="3930" spans="1:5" ht="15" customHeight="1" outlineLevel="2" x14ac:dyDescent="0.25">
      <c r="A3930" s="3" t="str">
        <f>HYPERLINK("http://mystore1.ru/price_items/search?utf8=%E2%9C%93&amp;oem=4424ASMR","4424ASMR")</f>
        <v>4424ASMR</v>
      </c>
      <c r="B3930" s="1" t="s">
        <v>7538</v>
      </c>
      <c r="C3930" s="9" t="s">
        <v>25</v>
      </c>
      <c r="D3930" s="14" t="s">
        <v>7539</v>
      </c>
      <c r="E3930" s="9" t="s">
        <v>27</v>
      </c>
    </row>
    <row r="3931" spans="1:5" ht="15" customHeight="1" outlineLevel="2" x14ac:dyDescent="0.25">
      <c r="A3931" s="3" t="str">
        <f>HYPERLINK("http://mystore1.ru/price_items/search?utf8=%E2%9C%93&amp;oem=4424LLGR5FDW","4424LLGR5FDW")</f>
        <v>4424LLGR5FDW</v>
      </c>
      <c r="B3931" s="1" t="s">
        <v>7540</v>
      </c>
      <c r="C3931" s="9" t="s">
        <v>212</v>
      </c>
      <c r="D3931" s="14" t="s">
        <v>7541</v>
      </c>
      <c r="E3931" s="9" t="s">
        <v>11</v>
      </c>
    </row>
    <row r="3932" spans="1:5" ht="15" customHeight="1" outlineLevel="2" x14ac:dyDescent="0.25">
      <c r="A3932" s="3" t="str">
        <f>HYPERLINK("http://mystore1.ru/price_items/search?utf8=%E2%9C%93&amp;oem=4424LLGR5RDW","4424LLGR5RDW")</f>
        <v>4424LLGR5RDW</v>
      </c>
      <c r="B3932" s="1" t="s">
        <v>7542</v>
      </c>
      <c r="C3932" s="9" t="s">
        <v>212</v>
      </c>
      <c r="D3932" s="14" t="s">
        <v>7543</v>
      </c>
      <c r="E3932" s="9" t="s">
        <v>11</v>
      </c>
    </row>
    <row r="3933" spans="1:5" ht="15" customHeight="1" outlineLevel="2" x14ac:dyDescent="0.25">
      <c r="A3933" s="3" t="str">
        <f>HYPERLINK("http://mystore1.ru/price_items/search?utf8=%E2%9C%93&amp;oem=4424RLGR5FDW","4424RLGR5FDW")</f>
        <v>4424RLGR5FDW</v>
      </c>
      <c r="B3933" s="1" t="s">
        <v>7544</v>
      </c>
      <c r="C3933" s="9" t="s">
        <v>212</v>
      </c>
      <c r="D3933" s="14" t="s">
        <v>7545</v>
      </c>
      <c r="E3933" s="9" t="s">
        <v>11</v>
      </c>
    </row>
    <row r="3934" spans="1:5" ht="15" customHeight="1" outlineLevel="2" x14ac:dyDescent="0.25">
      <c r="A3934" s="3" t="str">
        <f>HYPERLINK("http://mystore1.ru/price_items/search?utf8=%E2%9C%93&amp;oem=4424RLGR5RDW","4424RLGR5RDW")</f>
        <v>4424RLGR5RDW</v>
      </c>
      <c r="B3934" s="1" t="s">
        <v>7546</v>
      </c>
      <c r="C3934" s="9" t="s">
        <v>212</v>
      </c>
      <c r="D3934" s="14" t="s">
        <v>7547</v>
      </c>
      <c r="E3934" s="9" t="s">
        <v>11</v>
      </c>
    </row>
    <row r="3935" spans="1:5" outlineLevel="1" x14ac:dyDescent="0.25">
      <c r="A3935" s="2"/>
      <c r="B3935" s="6" t="s">
        <v>7548</v>
      </c>
      <c r="C3935" s="8"/>
      <c r="D3935" s="8"/>
      <c r="E3935" s="8"/>
    </row>
    <row r="3936" spans="1:5" ht="15" customHeight="1" outlineLevel="2" x14ac:dyDescent="0.25">
      <c r="A3936" s="3" t="str">
        <f>HYPERLINK("http://mystore1.ru/price_items/search?utf8=%E2%9C%93&amp;oem=4438AGNBLHMV","4438AGNBLHMV")</f>
        <v>4438AGNBLHMV</v>
      </c>
      <c r="B3936" s="1" t="s">
        <v>7549</v>
      </c>
      <c r="C3936" s="9" t="s">
        <v>601</v>
      </c>
      <c r="D3936" s="14" t="s">
        <v>7550</v>
      </c>
      <c r="E3936" s="9" t="s">
        <v>8</v>
      </c>
    </row>
    <row r="3937" spans="1:5" ht="15" customHeight="1" outlineLevel="2" x14ac:dyDescent="0.25">
      <c r="A3937" s="3" t="str">
        <f>HYPERLINK("http://mystore1.ru/price_items/search?utf8=%E2%9C%93&amp;oem=4438AGNBLV","4438AGNBLV")</f>
        <v>4438AGNBLV</v>
      </c>
      <c r="B3937" s="1" t="s">
        <v>7551</v>
      </c>
      <c r="C3937" s="9" t="s">
        <v>601</v>
      </c>
      <c r="D3937" s="14" t="s">
        <v>7552</v>
      </c>
      <c r="E3937" s="9" t="s">
        <v>8</v>
      </c>
    </row>
    <row r="3938" spans="1:5" ht="15" customHeight="1" outlineLevel="2" x14ac:dyDescent="0.25">
      <c r="A3938" s="3" t="str">
        <f>HYPERLINK("http://mystore1.ru/price_items/search?utf8=%E2%9C%93&amp;oem=4438AGNBLHV","4438AGNBLHV")</f>
        <v>4438AGNBLHV</v>
      </c>
      <c r="B3938" s="1" t="s">
        <v>7553</v>
      </c>
      <c r="C3938" s="9" t="s">
        <v>601</v>
      </c>
      <c r="D3938" s="14" t="s">
        <v>7554</v>
      </c>
      <c r="E3938" s="9" t="s">
        <v>8</v>
      </c>
    </row>
    <row r="3939" spans="1:5" ht="15" customHeight="1" outlineLevel="2" x14ac:dyDescent="0.25">
      <c r="A3939" s="3" t="str">
        <f>HYPERLINK("http://mystore1.ru/price_items/search?utf8=%E2%9C%93&amp;oem=4438AGNBLMV1B","4438AGNBLMV1B")</f>
        <v>4438AGNBLMV1B</v>
      </c>
      <c r="B3939" s="1" t="s">
        <v>7555</v>
      </c>
      <c r="C3939" s="9" t="s">
        <v>601</v>
      </c>
      <c r="D3939" s="14" t="s">
        <v>7556</v>
      </c>
      <c r="E3939" s="9" t="s">
        <v>8</v>
      </c>
    </row>
    <row r="3940" spans="1:5" ht="15" customHeight="1" outlineLevel="2" x14ac:dyDescent="0.25">
      <c r="A3940" s="3" t="str">
        <f>HYPERLINK("http://mystore1.ru/price_items/search?utf8=%E2%9C%93&amp;oem=4438BGNRB","4438BGNRB")</f>
        <v>4438BGNRB</v>
      </c>
      <c r="B3940" s="1" t="s">
        <v>7557</v>
      </c>
      <c r="C3940" s="9" t="s">
        <v>601</v>
      </c>
      <c r="D3940" s="14" t="s">
        <v>7558</v>
      </c>
      <c r="E3940" s="9" t="s">
        <v>30</v>
      </c>
    </row>
    <row r="3941" spans="1:5" outlineLevel="1" x14ac:dyDescent="0.25">
      <c r="A3941" s="2"/>
      <c r="B3941" s="6" t="s">
        <v>7559</v>
      </c>
      <c r="C3941" s="8"/>
      <c r="D3941" s="8"/>
      <c r="E3941" s="8"/>
    </row>
    <row r="3942" spans="1:5" ht="15" customHeight="1" outlineLevel="2" x14ac:dyDescent="0.25">
      <c r="A3942" s="3" t="str">
        <f>HYPERLINK("http://mystore1.ru/price_items/search?utf8=%E2%9C%93&amp;oem=4403ACL","4403ACL")</f>
        <v>4403ACL</v>
      </c>
      <c r="B3942" s="1" t="s">
        <v>7560</v>
      </c>
      <c r="C3942" s="9" t="s">
        <v>883</v>
      </c>
      <c r="D3942" s="14" t="s">
        <v>7561</v>
      </c>
      <c r="E3942" s="9" t="s">
        <v>8</v>
      </c>
    </row>
    <row r="3943" spans="1:5" outlineLevel="1" x14ac:dyDescent="0.25">
      <c r="A3943" s="2"/>
      <c r="B3943" s="6" t="s">
        <v>7562</v>
      </c>
      <c r="C3943" s="8"/>
      <c r="D3943" s="8"/>
      <c r="E3943" s="8"/>
    </row>
    <row r="3944" spans="1:5" outlineLevel="2" x14ac:dyDescent="0.25">
      <c r="A3944" s="3" t="str">
        <f>HYPERLINK("http://mystore1.ru/price_items/search?utf8=%E2%9C%93&amp;oem=4435AGSHV","4435AGSHV")</f>
        <v>4435AGSHV</v>
      </c>
      <c r="B3944" s="1" t="s">
        <v>7563</v>
      </c>
      <c r="C3944" s="9" t="s">
        <v>369</v>
      </c>
      <c r="D3944" s="14" t="s">
        <v>7564</v>
      </c>
      <c r="E3944" s="9" t="s">
        <v>8</v>
      </c>
    </row>
    <row r="3945" spans="1:5" x14ac:dyDescent="0.25">
      <c r="A3945" s="61" t="s">
        <v>7565</v>
      </c>
      <c r="B3945" s="61"/>
      <c r="C3945" s="61"/>
      <c r="D3945" s="61"/>
      <c r="E3945" s="61"/>
    </row>
    <row r="3946" spans="1:5" outlineLevel="1" x14ac:dyDescent="0.25">
      <c r="A3946" s="2"/>
      <c r="B3946" s="6" t="s">
        <v>7566</v>
      </c>
      <c r="C3946" s="8"/>
      <c r="D3946" s="8"/>
      <c r="E3946" s="8"/>
    </row>
    <row r="3947" spans="1:5" ht="15" customHeight="1" outlineLevel="2" x14ac:dyDescent="0.25">
      <c r="A3947" s="3" t="str">
        <f>HYPERLINK("http://mystore1.ru/price_items/search?utf8=%E2%9C%93&amp;oem=4727ABSGN","4727ABSGN")</f>
        <v>4727ABSGN</v>
      </c>
      <c r="B3947" s="1" t="s">
        <v>7567</v>
      </c>
      <c r="C3947" s="9" t="s">
        <v>7568</v>
      </c>
      <c r="D3947" s="14" t="s">
        <v>7569</v>
      </c>
      <c r="E3947" s="9" t="s">
        <v>8</v>
      </c>
    </row>
    <row r="3948" spans="1:5" ht="15" customHeight="1" outlineLevel="2" x14ac:dyDescent="0.25">
      <c r="A3948" s="3" t="str">
        <f>HYPERLINK("http://mystore1.ru/price_items/search?utf8=%E2%9C%93&amp;oem=4727AGNGN","4727AGNGN")</f>
        <v>4727AGNGN</v>
      </c>
      <c r="B3948" s="1" t="s">
        <v>7570</v>
      </c>
      <c r="C3948" s="9" t="s">
        <v>7568</v>
      </c>
      <c r="D3948" s="14" t="s">
        <v>7571</v>
      </c>
      <c r="E3948" s="9" t="s">
        <v>8</v>
      </c>
    </row>
    <row r="3949" spans="1:5" ht="15" customHeight="1" outlineLevel="2" x14ac:dyDescent="0.25">
      <c r="A3949" s="3" t="str">
        <f>HYPERLINK("http://mystore1.ru/price_items/search?utf8=%E2%9C%93&amp;oem=4727ASMH","4727ASMH")</f>
        <v>4727ASMH</v>
      </c>
      <c r="B3949" s="1" t="s">
        <v>7572</v>
      </c>
      <c r="C3949" s="9" t="s">
        <v>25</v>
      </c>
      <c r="D3949" s="14" t="s">
        <v>7573</v>
      </c>
      <c r="E3949" s="9" t="s">
        <v>27</v>
      </c>
    </row>
    <row r="3950" spans="1:5" ht="15" customHeight="1" outlineLevel="2" x14ac:dyDescent="0.25">
      <c r="A3950" s="3" t="str">
        <f>HYPERLINK("http://mystore1.ru/price_items/search?utf8=%E2%9C%93&amp;oem=4727LGNS4RV","4727LGNS4RV")</f>
        <v>4727LGNS4RV</v>
      </c>
      <c r="B3950" s="1" t="s">
        <v>7574</v>
      </c>
      <c r="C3950" s="9" t="s">
        <v>7568</v>
      </c>
      <c r="D3950" s="14" t="s">
        <v>7575</v>
      </c>
      <c r="E3950" s="9" t="s">
        <v>11</v>
      </c>
    </row>
    <row r="3951" spans="1:5" ht="15" customHeight="1" outlineLevel="2" x14ac:dyDescent="0.25">
      <c r="A3951" s="3" t="str">
        <f>HYPERLINK("http://mystore1.ru/price_items/search?utf8=%E2%9C%93&amp;oem=4727RBSS4RDW","4727RBSS4RDW")</f>
        <v>4727RBSS4RDW</v>
      </c>
      <c r="B3951" s="1" t="s">
        <v>7576</v>
      </c>
      <c r="C3951" s="9" t="s">
        <v>7568</v>
      </c>
      <c r="D3951" s="14" t="s">
        <v>7577</v>
      </c>
      <c r="E3951" s="9" t="s">
        <v>11</v>
      </c>
    </row>
    <row r="3952" spans="1:5" ht="15" customHeight="1" outlineLevel="2" x14ac:dyDescent="0.25">
      <c r="A3952" s="3" t="str">
        <f>HYPERLINK("http://mystore1.ru/price_items/search?utf8=%E2%9C%93&amp;oem=4727RGNS4FDW","4727RGNS4FDW")</f>
        <v>4727RGNS4FDW</v>
      </c>
      <c r="B3952" s="1" t="s">
        <v>7578</v>
      </c>
      <c r="C3952" s="9" t="s">
        <v>7568</v>
      </c>
      <c r="D3952" s="14" t="s">
        <v>7579</v>
      </c>
      <c r="E3952" s="9" t="s">
        <v>11</v>
      </c>
    </row>
    <row r="3953" spans="1:5" ht="15" customHeight="1" outlineLevel="2" x14ac:dyDescent="0.25">
      <c r="A3953" s="3" t="str">
        <f>HYPERLINK("http://mystore1.ru/price_items/search?utf8=%E2%9C%93&amp;oem=4727RGNS4RV","4727RGNS4RV")</f>
        <v>4727RGNS4RV</v>
      </c>
      <c r="B3953" s="1" t="s">
        <v>7580</v>
      </c>
      <c r="C3953" s="9" t="s">
        <v>7568</v>
      </c>
      <c r="D3953" s="14" t="s">
        <v>7581</v>
      </c>
      <c r="E3953" s="9" t="s">
        <v>11</v>
      </c>
    </row>
    <row r="3954" spans="1:5" outlineLevel="1" x14ac:dyDescent="0.25">
      <c r="A3954" s="2"/>
      <c r="B3954" s="6" t="s">
        <v>7582</v>
      </c>
      <c r="C3954" s="8"/>
      <c r="D3954" s="8"/>
      <c r="E3954" s="8"/>
    </row>
    <row r="3955" spans="1:5" ht="15" customHeight="1" outlineLevel="2" x14ac:dyDescent="0.25">
      <c r="A3955" s="3" t="str">
        <f>HYPERLINK("http://mystore1.ru/price_items/search?utf8=%E2%9C%93&amp;oem=4726ABZ","4726ABZ")</f>
        <v>4726ABZ</v>
      </c>
      <c r="B3955" s="1" t="s">
        <v>7583</v>
      </c>
      <c r="C3955" s="9" t="s">
        <v>859</v>
      </c>
      <c r="D3955" s="14" t="s">
        <v>7584</v>
      </c>
      <c r="E3955" s="9" t="s">
        <v>8</v>
      </c>
    </row>
    <row r="3956" spans="1:5" ht="15" customHeight="1" outlineLevel="2" x14ac:dyDescent="0.25">
      <c r="A3956" s="3" t="str">
        <f>HYPERLINK("http://mystore1.ru/price_items/search?utf8=%E2%9C%93&amp;oem=4726AGN","4726AGN")</f>
        <v>4726AGN</v>
      </c>
      <c r="B3956" s="1" t="s">
        <v>7585</v>
      </c>
      <c r="C3956" s="9" t="s">
        <v>859</v>
      </c>
      <c r="D3956" s="14" t="s">
        <v>7586</v>
      </c>
      <c r="E3956" s="9" t="s">
        <v>8</v>
      </c>
    </row>
    <row r="3957" spans="1:5" ht="15" customHeight="1" outlineLevel="2" x14ac:dyDescent="0.25">
      <c r="A3957" s="3" t="str">
        <f>HYPERLINK("http://mystore1.ru/price_items/search?utf8=%E2%9C%93&amp;oem=4726LGNH5FD","4726LGNH5FD")</f>
        <v>4726LGNH5FD</v>
      </c>
      <c r="B3957" s="1" t="s">
        <v>7587</v>
      </c>
      <c r="C3957" s="9" t="s">
        <v>859</v>
      </c>
      <c r="D3957" s="14" t="s">
        <v>7588</v>
      </c>
      <c r="E3957" s="9" t="s">
        <v>11</v>
      </c>
    </row>
    <row r="3958" spans="1:5" ht="15" customHeight="1" outlineLevel="2" x14ac:dyDescent="0.25">
      <c r="A3958" s="3" t="str">
        <f>HYPERLINK("http://mystore1.ru/price_items/search?utf8=%E2%9C%93&amp;oem=4726RGNH5FD","4726RGNH5FD")</f>
        <v>4726RGNH5FD</v>
      </c>
      <c r="B3958" s="1" t="s">
        <v>7589</v>
      </c>
      <c r="C3958" s="9" t="s">
        <v>859</v>
      </c>
      <c r="D3958" s="14" t="s">
        <v>7590</v>
      </c>
      <c r="E3958" s="9" t="s">
        <v>11</v>
      </c>
    </row>
    <row r="3959" spans="1:5" outlineLevel="1" x14ac:dyDescent="0.25">
      <c r="A3959" s="2"/>
      <c r="B3959" s="6" t="s">
        <v>7591</v>
      </c>
      <c r="C3959" s="8"/>
      <c r="D3959" s="8"/>
      <c r="E3959" s="8"/>
    </row>
    <row r="3960" spans="1:5" ht="15" customHeight="1" outlineLevel="2" x14ac:dyDescent="0.25">
      <c r="A3960" s="3" t="str">
        <f>HYPERLINK("http://mystore1.ru/price_items/search?utf8=%E2%9C%93&amp;oem=4722AGN","4722AGN")</f>
        <v>4722AGN</v>
      </c>
      <c r="B3960" s="1" t="s">
        <v>7592</v>
      </c>
      <c r="C3960" s="9" t="s">
        <v>7593</v>
      </c>
      <c r="D3960" s="14" t="s">
        <v>7594</v>
      </c>
      <c r="E3960" s="9" t="s">
        <v>8</v>
      </c>
    </row>
    <row r="3961" spans="1:5" outlineLevel="1" x14ac:dyDescent="0.25">
      <c r="A3961" s="2"/>
      <c r="B3961" s="6" t="s">
        <v>7595</v>
      </c>
      <c r="C3961" s="8"/>
      <c r="D3961" s="8"/>
      <c r="E3961" s="8"/>
    </row>
    <row r="3962" spans="1:5" ht="15" customHeight="1" outlineLevel="2" x14ac:dyDescent="0.25">
      <c r="A3962" s="3" t="str">
        <f>HYPERLINK("http://mystore1.ru/price_items/search?utf8=%E2%9C%93&amp;oem=4733ABSW","4733ABSW")</f>
        <v>4733ABSW</v>
      </c>
      <c r="B3962" s="1" t="s">
        <v>7596</v>
      </c>
      <c r="C3962" s="9" t="s">
        <v>2841</v>
      </c>
      <c r="D3962" s="14" t="s">
        <v>7597</v>
      </c>
      <c r="E3962" s="9" t="s">
        <v>8</v>
      </c>
    </row>
    <row r="3963" spans="1:5" ht="15" customHeight="1" outlineLevel="2" x14ac:dyDescent="0.25">
      <c r="A3963" s="3" t="str">
        <f>HYPERLINK("http://mystore1.ru/price_items/search?utf8=%E2%9C%93&amp;oem=4733BBSCABW","4733BBSCABW")</f>
        <v>4733BBSCABW</v>
      </c>
      <c r="B3963" s="1" t="s">
        <v>7598</v>
      </c>
      <c r="C3963" s="9" t="s">
        <v>2841</v>
      </c>
      <c r="D3963" s="14" t="s">
        <v>7599</v>
      </c>
      <c r="E3963" s="9" t="s">
        <v>30</v>
      </c>
    </row>
    <row r="3964" spans="1:5" ht="15" customHeight="1" outlineLevel="2" x14ac:dyDescent="0.25">
      <c r="A3964" s="3" t="str">
        <f>HYPERLINK("http://mystore1.ru/price_items/search?utf8=%E2%9C%93&amp;oem=4733LBSC2FD","4733LBSC2FD")</f>
        <v>4733LBSC2FD</v>
      </c>
      <c r="B3964" s="1" t="s">
        <v>7600</v>
      </c>
      <c r="C3964" s="9" t="s">
        <v>2841</v>
      </c>
      <c r="D3964" s="14" t="s">
        <v>7601</v>
      </c>
      <c r="E3964" s="9" t="s">
        <v>11</v>
      </c>
    </row>
    <row r="3965" spans="1:5" ht="15" customHeight="1" outlineLevel="2" x14ac:dyDescent="0.25">
      <c r="A3965" s="3" t="str">
        <f>HYPERLINK("http://mystore1.ru/price_items/search?utf8=%E2%9C%93&amp;oem=4733LBSC2RQ","4733LBSC2RQ")</f>
        <v>4733LBSC2RQ</v>
      </c>
      <c r="B3965" s="1" t="s">
        <v>7602</v>
      </c>
      <c r="C3965" s="9" t="s">
        <v>2841</v>
      </c>
      <c r="D3965" s="14" t="s">
        <v>7603</v>
      </c>
      <c r="E3965" s="9" t="s">
        <v>11</v>
      </c>
    </row>
    <row r="3966" spans="1:5" ht="15" customHeight="1" outlineLevel="2" x14ac:dyDescent="0.25">
      <c r="A3966" s="3" t="str">
        <f>HYPERLINK("http://mystore1.ru/price_items/search?utf8=%E2%9C%93&amp;oem=4733RBSC2FD","4733RBSC2FD")</f>
        <v>4733RBSC2FD</v>
      </c>
      <c r="B3966" s="1" t="s">
        <v>7604</v>
      </c>
      <c r="C3966" s="9" t="s">
        <v>2841</v>
      </c>
      <c r="D3966" s="14" t="s">
        <v>7605</v>
      </c>
      <c r="E3966" s="9" t="s">
        <v>11</v>
      </c>
    </row>
    <row r="3967" spans="1:5" ht="15" customHeight="1" outlineLevel="2" x14ac:dyDescent="0.25">
      <c r="A3967" s="3" t="str">
        <f>HYPERLINK("http://mystore1.ru/price_items/search?utf8=%E2%9C%93&amp;oem=4733RBSC2RQ","4733RBSC2RQ")</f>
        <v>4733RBSC2RQ</v>
      </c>
      <c r="B3967" s="1" t="s">
        <v>7606</v>
      </c>
      <c r="C3967" s="9" t="s">
        <v>2841</v>
      </c>
      <c r="D3967" s="14" t="s">
        <v>7607</v>
      </c>
      <c r="E3967" s="9" t="s">
        <v>11</v>
      </c>
    </row>
    <row r="3968" spans="1:5" outlineLevel="1" x14ac:dyDescent="0.25">
      <c r="A3968" s="2"/>
      <c r="B3968" s="6" t="s">
        <v>7608</v>
      </c>
      <c r="C3968" s="8"/>
      <c r="D3968" s="8"/>
      <c r="E3968" s="8"/>
    </row>
    <row r="3969" spans="1:5" ht="15" customHeight="1" outlineLevel="2" x14ac:dyDescent="0.25">
      <c r="A3969" s="3" t="str">
        <f>HYPERLINK("http://mystore1.ru/price_items/search?utf8=%E2%9C%93&amp;oem=4729ABSZ","4729ABSZ")</f>
        <v>4729ABSZ</v>
      </c>
      <c r="B3969" s="1" t="s">
        <v>7609</v>
      </c>
      <c r="C3969" s="9" t="s">
        <v>47</v>
      </c>
      <c r="D3969" s="14" t="s">
        <v>7610</v>
      </c>
      <c r="E3969" s="9" t="s">
        <v>8</v>
      </c>
    </row>
    <row r="3970" spans="1:5" ht="15" customHeight="1" outlineLevel="2" x14ac:dyDescent="0.25">
      <c r="A3970" s="3" t="str">
        <f>HYPERLINK("http://mystore1.ru/price_items/search?utf8=%E2%9C%93&amp;oem=4729AGNZ","4729AGNZ")</f>
        <v>4729AGNZ</v>
      </c>
      <c r="B3970" s="1" t="s">
        <v>7611</v>
      </c>
      <c r="C3970" s="9" t="s">
        <v>47</v>
      </c>
      <c r="D3970" s="14" t="s">
        <v>7612</v>
      </c>
      <c r="E3970" s="9" t="s">
        <v>8</v>
      </c>
    </row>
    <row r="3971" spans="1:5" ht="15" customHeight="1" outlineLevel="2" x14ac:dyDescent="0.25">
      <c r="A3971" s="3" t="str">
        <f>HYPERLINK("http://mystore1.ru/price_items/search?utf8=%E2%9C%93&amp;oem=4729BBSSAZ","4729BBSSAZ")</f>
        <v>4729BBSSAZ</v>
      </c>
      <c r="B3971" s="1" t="s">
        <v>7613</v>
      </c>
      <c r="C3971" s="9" t="s">
        <v>47</v>
      </c>
      <c r="D3971" s="14" t="s">
        <v>7614</v>
      </c>
      <c r="E3971" s="9" t="s">
        <v>30</v>
      </c>
    </row>
    <row r="3972" spans="1:5" ht="15" customHeight="1" outlineLevel="2" x14ac:dyDescent="0.25">
      <c r="A3972" s="3" t="str">
        <f>HYPERLINK("http://mystore1.ru/price_items/search?utf8=%E2%9C%93&amp;oem=4729LBSS4FD","4729LBSS4FD")</f>
        <v>4729LBSS4FD</v>
      </c>
      <c r="B3972" s="1" t="s">
        <v>7615</v>
      </c>
      <c r="C3972" s="9" t="s">
        <v>47</v>
      </c>
      <c r="D3972" s="14" t="s">
        <v>7616</v>
      </c>
      <c r="E3972" s="9" t="s">
        <v>11</v>
      </c>
    </row>
    <row r="3973" spans="1:5" ht="15" customHeight="1" outlineLevel="2" x14ac:dyDescent="0.25">
      <c r="A3973" s="3" t="str">
        <f>HYPERLINK("http://mystore1.ru/price_items/search?utf8=%E2%9C%93&amp;oem=4729LBSS4RD","4729LBSS4RD")</f>
        <v>4729LBSS4RD</v>
      </c>
      <c r="B3973" s="1" t="s">
        <v>7617</v>
      </c>
      <c r="C3973" s="9" t="s">
        <v>47</v>
      </c>
      <c r="D3973" s="14" t="s">
        <v>7618</v>
      </c>
      <c r="E3973" s="9" t="s">
        <v>11</v>
      </c>
    </row>
    <row r="3974" spans="1:5" ht="15" customHeight="1" outlineLevel="2" x14ac:dyDescent="0.25">
      <c r="A3974" s="3" t="str">
        <f>HYPERLINK("http://mystore1.ru/price_items/search?utf8=%E2%9C%93&amp;oem=4729LBSS4RVZ1J","4729LBSS4RVZ1J")</f>
        <v>4729LBSS4RVZ1J</v>
      </c>
      <c r="B3974" s="1" t="s">
        <v>7619</v>
      </c>
      <c r="C3974" s="9" t="s">
        <v>2099</v>
      </c>
      <c r="D3974" s="14" t="s">
        <v>7620</v>
      </c>
      <c r="E3974" s="9" t="s">
        <v>11</v>
      </c>
    </row>
    <row r="3975" spans="1:5" ht="15" customHeight="1" outlineLevel="2" x14ac:dyDescent="0.25">
      <c r="A3975" s="3" t="str">
        <f>HYPERLINK("http://mystore1.ru/price_items/search?utf8=%E2%9C%93&amp;oem=4729LGSS4RVZ1J","4729LGSS4RVZ1J")</f>
        <v>4729LGSS4RVZ1J</v>
      </c>
      <c r="B3975" s="1" t="s">
        <v>7621</v>
      </c>
      <c r="C3975" s="9" t="s">
        <v>47</v>
      </c>
      <c r="D3975" s="14" t="s">
        <v>7622</v>
      </c>
      <c r="E3975" s="9" t="s">
        <v>11</v>
      </c>
    </row>
    <row r="3976" spans="1:5" ht="15" customHeight="1" outlineLevel="2" x14ac:dyDescent="0.25">
      <c r="A3976" s="3" t="str">
        <f>HYPERLINK("http://mystore1.ru/price_items/search?utf8=%E2%9C%93&amp;oem=4729RBSS4FD","4729RBSS4FD")</f>
        <v>4729RBSS4FD</v>
      </c>
      <c r="B3976" s="1" t="s">
        <v>7623</v>
      </c>
      <c r="C3976" s="9" t="s">
        <v>47</v>
      </c>
      <c r="D3976" s="14" t="s">
        <v>7624</v>
      </c>
      <c r="E3976" s="9" t="s">
        <v>11</v>
      </c>
    </row>
    <row r="3977" spans="1:5" ht="15" customHeight="1" outlineLevel="2" x14ac:dyDescent="0.25">
      <c r="A3977" s="3" t="str">
        <f>HYPERLINK("http://mystore1.ru/price_items/search?utf8=%E2%9C%93&amp;oem=4729RBSS4RD","4729RBSS4RD")</f>
        <v>4729RBSS4RD</v>
      </c>
      <c r="B3977" s="1" t="s">
        <v>7625</v>
      </c>
      <c r="C3977" s="9" t="s">
        <v>47</v>
      </c>
      <c r="D3977" s="14" t="s">
        <v>7626</v>
      </c>
      <c r="E3977" s="9" t="s">
        <v>11</v>
      </c>
    </row>
    <row r="3978" spans="1:5" ht="15" customHeight="1" outlineLevel="2" x14ac:dyDescent="0.25">
      <c r="A3978" s="3" t="str">
        <f>HYPERLINK("http://mystore1.ru/price_items/search?utf8=%E2%9C%93&amp;oem=4729RBSS4RVZ1J","4729RBSS4RVZ1J")</f>
        <v>4729RBSS4RVZ1J</v>
      </c>
      <c r="B3978" s="1" t="s">
        <v>7627</v>
      </c>
      <c r="C3978" s="9" t="s">
        <v>2099</v>
      </c>
      <c r="D3978" s="14" t="s">
        <v>7628</v>
      </c>
      <c r="E3978" s="9" t="s">
        <v>11</v>
      </c>
    </row>
    <row r="3979" spans="1:5" ht="15" customHeight="1" outlineLevel="2" x14ac:dyDescent="0.25">
      <c r="A3979" s="3" t="str">
        <f>HYPERLINK("http://mystore1.ru/price_items/search?utf8=%E2%9C%93&amp;oem=4729RGSS4RVZ1J","4729RGSS4RVZ1J")</f>
        <v>4729RGSS4RVZ1J</v>
      </c>
      <c r="B3979" s="1" t="s">
        <v>7629</v>
      </c>
      <c r="C3979" s="9" t="s">
        <v>47</v>
      </c>
      <c r="D3979" s="14" t="s">
        <v>7630</v>
      </c>
      <c r="E3979" s="9" t="s">
        <v>11</v>
      </c>
    </row>
    <row r="3980" spans="1:5" outlineLevel="1" x14ac:dyDescent="0.25">
      <c r="A3980" s="2"/>
      <c r="B3980" s="6" t="s">
        <v>7631</v>
      </c>
      <c r="C3980" s="8"/>
      <c r="D3980" s="8"/>
      <c r="E3980" s="8"/>
    </row>
    <row r="3981" spans="1:5" ht="15" customHeight="1" outlineLevel="2" x14ac:dyDescent="0.25">
      <c r="A3981" s="3" t="str">
        <f>HYPERLINK("http://mystore1.ru/price_items/search?utf8=%E2%9C%93&amp;oem=4734AGS1B","4734AGS1B")</f>
        <v>4734AGS1B</v>
      </c>
      <c r="B3981" s="1" t="s">
        <v>7632</v>
      </c>
      <c r="C3981" s="9" t="s">
        <v>2031</v>
      </c>
      <c r="D3981" s="14" t="s">
        <v>7633</v>
      </c>
      <c r="E3981" s="9" t="s">
        <v>8</v>
      </c>
    </row>
    <row r="3982" spans="1:5" ht="15" customHeight="1" outlineLevel="2" x14ac:dyDescent="0.25">
      <c r="A3982" s="3" t="str">
        <f>HYPERLINK("http://mystore1.ru/price_items/search?utf8=%E2%9C%93&amp;oem=4734AGSGNP","4734AGSGNP")</f>
        <v>4734AGSGNP</v>
      </c>
      <c r="B3982" s="1" t="s">
        <v>7634</v>
      </c>
      <c r="C3982" s="9" t="s">
        <v>2031</v>
      </c>
      <c r="D3982" s="14" t="s">
        <v>7635</v>
      </c>
      <c r="E3982" s="9" t="s">
        <v>8</v>
      </c>
    </row>
    <row r="3983" spans="1:5" outlineLevel="1" x14ac:dyDescent="0.25">
      <c r="A3983" s="2"/>
      <c r="B3983" s="6" t="s">
        <v>7636</v>
      </c>
      <c r="C3983" s="8"/>
      <c r="D3983" s="8"/>
      <c r="E3983" s="8"/>
    </row>
    <row r="3984" spans="1:5" ht="15" customHeight="1" outlineLevel="2" x14ac:dyDescent="0.25">
      <c r="A3984" s="3" t="str">
        <f>HYPERLINK("http://mystore1.ru/price_items/search?utf8=%E2%9C%93&amp;oem=4739AGS","4739AGS")</f>
        <v>4739AGS</v>
      </c>
      <c r="B3984" s="1" t="s">
        <v>7637</v>
      </c>
      <c r="C3984" s="9" t="s">
        <v>394</v>
      </c>
      <c r="D3984" s="14" t="s">
        <v>7638</v>
      </c>
      <c r="E3984" s="9" t="s">
        <v>8</v>
      </c>
    </row>
    <row r="3985" spans="1:5" ht="15" customHeight="1" outlineLevel="2" x14ac:dyDescent="0.25">
      <c r="A3985" s="3" t="str">
        <f>HYPERLINK("http://mystore1.ru/price_items/search?utf8=%E2%9C%93&amp;oem=4739AGSGN","4739AGSGN")</f>
        <v>4739AGSGN</v>
      </c>
      <c r="B3985" s="1" t="s">
        <v>7639</v>
      </c>
      <c r="C3985" s="9" t="s">
        <v>394</v>
      </c>
      <c r="D3985" s="14" t="s">
        <v>7640</v>
      </c>
      <c r="E3985" s="9" t="s">
        <v>8</v>
      </c>
    </row>
    <row r="3986" spans="1:5" ht="15" customHeight="1" outlineLevel="2" x14ac:dyDescent="0.25">
      <c r="A3986" s="3" t="str">
        <f>HYPERLINK("http://mystore1.ru/price_items/search?utf8=%E2%9C%93&amp;oem=4739AGSM1B","4739AGSM1B")</f>
        <v>4739AGSM1B</v>
      </c>
      <c r="B3986" s="1" t="s">
        <v>7641</v>
      </c>
      <c r="C3986" s="9" t="s">
        <v>394</v>
      </c>
      <c r="D3986" s="14" t="s">
        <v>7642</v>
      </c>
      <c r="E3986" s="9" t="s">
        <v>8</v>
      </c>
    </row>
    <row r="3987" spans="1:5" ht="15" customHeight="1" outlineLevel="2" x14ac:dyDescent="0.25">
      <c r="A3987" s="3" t="str">
        <f>HYPERLINK("http://mystore1.ru/price_items/search?utf8=%E2%9C%93&amp;oem=4739AGSV","4739AGSV")</f>
        <v>4739AGSV</v>
      </c>
      <c r="B3987" s="1" t="s">
        <v>7643</v>
      </c>
      <c r="C3987" s="9" t="s">
        <v>394</v>
      </c>
      <c r="D3987" s="14" t="s">
        <v>7644</v>
      </c>
      <c r="E3987" s="9" t="s">
        <v>8</v>
      </c>
    </row>
    <row r="3988" spans="1:5" ht="15" customHeight="1" outlineLevel="2" x14ac:dyDescent="0.25">
      <c r="A3988" s="3" t="str">
        <f>HYPERLINK("http://mystore1.ru/price_items/search?utf8=%E2%9C%93&amp;oem=4739BGDVW","4739BGDVW")</f>
        <v>4739BGDVW</v>
      </c>
      <c r="B3988" s="1" t="s">
        <v>7645</v>
      </c>
      <c r="C3988" s="9" t="s">
        <v>394</v>
      </c>
      <c r="D3988" s="14" t="s">
        <v>7646</v>
      </c>
      <c r="E3988" s="9" t="s">
        <v>30</v>
      </c>
    </row>
    <row r="3989" spans="1:5" ht="15" customHeight="1" outlineLevel="2" x14ac:dyDescent="0.25">
      <c r="A3989" s="3" t="str">
        <f>HYPERLINK("http://mystore1.ru/price_items/search?utf8=%E2%9C%93&amp;oem=4739BGSVW","4739BGSVW")</f>
        <v>4739BGSVW</v>
      </c>
      <c r="B3989" s="1" t="s">
        <v>7647</v>
      </c>
      <c r="C3989" s="9" t="s">
        <v>394</v>
      </c>
      <c r="D3989" s="14" t="s">
        <v>7648</v>
      </c>
      <c r="E3989" s="9" t="s">
        <v>30</v>
      </c>
    </row>
    <row r="3990" spans="1:5" ht="15" customHeight="1" outlineLevel="2" x14ac:dyDescent="0.25">
      <c r="A3990" s="3" t="str">
        <f>HYPERLINK("http://mystore1.ru/price_items/search?utf8=%E2%9C%93&amp;oem=4739LGDV5RDW","4739LGDV5RDW")</f>
        <v>4739LGDV5RDW</v>
      </c>
      <c r="B3990" s="1" t="s">
        <v>7649</v>
      </c>
      <c r="C3990" s="9" t="s">
        <v>394</v>
      </c>
      <c r="D3990" s="14" t="s">
        <v>7650</v>
      </c>
      <c r="E3990" s="9" t="s">
        <v>11</v>
      </c>
    </row>
    <row r="3991" spans="1:5" ht="15" customHeight="1" outlineLevel="2" x14ac:dyDescent="0.25">
      <c r="A3991" s="3" t="str">
        <f>HYPERLINK("http://mystore1.ru/price_items/search?utf8=%E2%9C%93&amp;oem=4739LGDV5RQZ","4739LGDV5RQZ")</f>
        <v>4739LGDV5RQZ</v>
      </c>
      <c r="B3991" s="1" t="s">
        <v>7651</v>
      </c>
      <c r="C3991" s="9" t="s">
        <v>394</v>
      </c>
      <c r="D3991" s="14" t="s">
        <v>7652</v>
      </c>
      <c r="E3991" s="9" t="s">
        <v>11</v>
      </c>
    </row>
    <row r="3992" spans="1:5" ht="15" customHeight="1" outlineLevel="2" x14ac:dyDescent="0.25">
      <c r="A3992" s="3" t="str">
        <f>HYPERLINK("http://mystore1.ru/price_items/search?utf8=%E2%9C%93&amp;oem=4739LGSV5FDW","4739LGSV5FDW")</f>
        <v>4739LGSV5FDW</v>
      </c>
      <c r="B3992" s="1" t="s">
        <v>7653</v>
      </c>
      <c r="C3992" s="9" t="s">
        <v>394</v>
      </c>
      <c r="D3992" s="14" t="s">
        <v>7654</v>
      </c>
      <c r="E3992" s="9" t="s">
        <v>11</v>
      </c>
    </row>
    <row r="3993" spans="1:5" ht="15" customHeight="1" outlineLevel="2" x14ac:dyDescent="0.25">
      <c r="A3993" s="3" t="str">
        <f>HYPERLINK("http://mystore1.ru/price_items/search?utf8=%E2%9C%93&amp;oem=4739LGSV5FQAW","4739LGSV5FQAW")</f>
        <v>4739LGSV5FQAW</v>
      </c>
      <c r="B3993" s="1" t="s">
        <v>7655</v>
      </c>
      <c r="C3993" s="9" t="s">
        <v>394</v>
      </c>
      <c r="D3993" s="14" t="s">
        <v>7656</v>
      </c>
      <c r="E3993" s="9" t="s">
        <v>11</v>
      </c>
    </row>
    <row r="3994" spans="1:5" ht="15" customHeight="1" outlineLevel="2" x14ac:dyDescent="0.25">
      <c r="A3994" s="3" t="str">
        <f>HYPERLINK("http://mystore1.ru/price_items/search?utf8=%E2%9C%93&amp;oem=4739LGSV5RDW","4739LGSV5RDW")</f>
        <v>4739LGSV5RDW</v>
      </c>
      <c r="B3994" s="1" t="s">
        <v>7657</v>
      </c>
      <c r="C3994" s="9" t="s">
        <v>394</v>
      </c>
      <c r="D3994" s="14" t="s">
        <v>7658</v>
      </c>
      <c r="E3994" s="9" t="s">
        <v>11</v>
      </c>
    </row>
    <row r="3995" spans="1:5" ht="15" customHeight="1" outlineLevel="2" x14ac:dyDescent="0.25">
      <c r="A3995" s="3" t="str">
        <f>HYPERLINK("http://mystore1.ru/price_items/search?utf8=%E2%9C%93&amp;oem=4739LGSV5RQZ","4739LGSV5RQZ")</f>
        <v>4739LGSV5RQZ</v>
      </c>
      <c r="B3995" s="1" t="s">
        <v>7659</v>
      </c>
      <c r="C3995" s="9" t="s">
        <v>394</v>
      </c>
      <c r="D3995" s="14" t="s">
        <v>7660</v>
      </c>
      <c r="E3995" s="9" t="s">
        <v>11</v>
      </c>
    </row>
    <row r="3996" spans="1:5" ht="15" customHeight="1" outlineLevel="2" x14ac:dyDescent="0.25">
      <c r="A3996" s="3" t="str">
        <f>HYPERLINK("http://mystore1.ru/price_items/search?utf8=%E2%9C%93&amp;oem=4739RGDV5RDW","4739RGDV5RDW")</f>
        <v>4739RGDV5RDW</v>
      </c>
      <c r="B3996" s="1" t="s">
        <v>7661</v>
      </c>
      <c r="C3996" s="9" t="s">
        <v>394</v>
      </c>
      <c r="D3996" s="14" t="s">
        <v>7662</v>
      </c>
      <c r="E3996" s="9" t="s">
        <v>11</v>
      </c>
    </row>
    <row r="3997" spans="1:5" ht="15" customHeight="1" outlineLevel="2" x14ac:dyDescent="0.25">
      <c r="A3997" s="3" t="str">
        <f>HYPERLINK("http://mystore1.ru/price_items/search?utf8=%E2%9C%93&amp;oem=4739RGDV5RQZ","4739RGDV5RQZ")</f>
        <v>4739RGDV5RQZ</v>
      </c>
      <c r="B3997" s="1" t="s">
        <v>7663</v>
      </c>
      <c r="C3997" s="9" t="s">
        <v>394</v>
      </c>
      <c r="D3997" s="14" t="s">
        <v>7664</v>
      </c>
      <c r="E3997" s="9" t="s">
        <v>11</v>
      </c>
    </row>
    <row r="3998" spans="1:5" ht="15" customHeight="1" outlineLevel="2" x14ac:dyDescent="0.25">
      <c r="A3998" s="3" t="str">
        <f>HYPERLINK("http://mystore1.ru/price_items/search?utf8=%E2%9C%93&amp;oem=4739RGSV5FDW","4739RGSV5FDW")</f>
        <v>4739RGSV5FDW</v>
      </c>
      <c r="B3998" s="1" t="s">
        <v>7665</v>
      </c>
      <c r="C3998" s="9" t="s">
        <v>394</v>
      </c>
      <c r="D3998" s="14" t="s">
        <v>7666</v>
      </c>
      <c r="E3998" s="9" t="s">
        <v>11</v>
      </c>
    </row>
    <row r="3999" spans="1:5" ht="15" customHeight="1" outlineLevel="2" x14ac:dyDescent="0.25">
      <c r="A3999" s="3" t="str">
        <f>HYPERLINK("http://mystore1.ru/price_items/search?utf8=%E2%9C%93&amp;oem=4739RGSV5FQW","4739RGSV5FQW")</f>
        <v>4739RGSV5FQW</v>
      </c>
      <c r="B3999" s="1" t="s">
        <v>7667</v>
      </c>
      <c r="C3999" s="9" t="s">
        <v>394</v>
      </c>
      <c r="D3999" s="14" t="s">
        <v>7668</v>
      </c>
      <c r="E3999" s="9" t="s">
        <v>11</v>
      </c>
    </row>
    <row r="4000" spans="1:5" ht="15" customHeight="1" outlineLevel="2" x14ac:dyDescent="0.25">
      <c r="A4000" s="3" t="str">
        <f>HYPERLINK("http://mystore1.ru/price_items/search?utf8=%E2%9C%93&amp;oem=4739RGSV5RDW","4739RGSV5RDW")</f>
        <v>4739RGSV5RDW</v>
      </c>
      <c r="B4000" s="1" t="s">
        <v>7669</v>
      </c>
      <c r="C4000" s="9" t="s">
        <v>394</v>
      </c>
      <c r="D4000" s="14" t="s">
        <v>7670</v>
      </c>
      <c r="E4000" s="9" t="s">
        <v>11</v>
      </c>
    </row>
    <row r="4001" spans="1:5" ht="15" customHeight="1" outlineLevel="2" x14ac:dyDescent="0.25">
      <c r="A4001" s="3" t="str">
        <f>HYPERLINK("http://mystore1.ru/price_items/search?utf8=%E2%9C%93&amp;oem=4739RGSV5RQZ","4739RGSV5RQZ")</f>
        <v>4739RGSV5RQZ</v>
      </c>
      <c r="B4001" s="1" t="s">
        <v>7671</v>
      </c>
      <c r="C4001" s="9" t="s">
        <v>394</v>
      </c>
      <c r="D4001" s="14" t="s">
        <v>7672</v>
      </c>
      <c r="E4001" s="9" t="s">
        <v>11</v>
      </c>
    </row>
    <row r="4002" spans="1:5" outlineLevel="1" x14ac:dyDescent="0.25">
      <c r="A4002" s="2"/>
      <c r="B4002" s="6" t="s">
        <v>7673</v>
      </c>
      <c r="C4002" s="8"/>
      <c r="D4002" s="8"/>
      <c r="E4002" s="8"/>
    </row>
    <row r="4003" spans="1:5" ht="15" customHeight="1" outlineLevel="2" x14ac:dyDescent="0.25">
      <c r="A4003" s="3" t="str">
        <f>HYPERLINK("http://mystore1.ru/price_items/search?utf8=%E2%9C%93&amp;oem=4738ABSMVZ","4738ABSMVZ")</f>
        <v>4738ABSMVZ</v>
      </c>
      <c r="B4003" s="1" t="s">
        <v>7674</v>
      </c>
      <c r="C4003" s="9" t="s">
        <v>1888</v>
      </c>
      <c r="D4003" s="14" t="s">
        <v>7675</v>
      </c>
      <c r="E4003" s="9" t="s">
        <v>8</v>
      </c>
    </row>
    <row r="4004" spans="1:5" ht="15" customHeight="1" outlineLevel="2" x14ac:dyDescent="0.25">
      <c r="A4004" s="3" t="str">
        <f>HYPERLINK("http://mystore1.ru/price_items/search?utf8=%E2%9C%93&amp;oem=4738ABSMVZ1T","4738ABSMVZ1T")</f>
        <v>4738ABSMVZ1T</v>
      </c>
      <c r="B4004" s="1" t="s">
        <v>7676</v>
      </c>
      <c r="C4004" s="9" t="s">
        <v>1888</v>
      </c>
      <c r="D4004" s="14" t="s">
        <v>7677</v>
      </c>
      <c r="E4004" s="9" t="s">
        <v>8</v>
      </c>
    </row>
    <row r="4005" spans="1:5" ht="15" customHeight="1" outlineLevel="2" x14ac:dyDescent="0.25">
      <c r="A4005" s="3" t="str">
        <f>HYPERLINK("http://mystore1.ru/price_items/search?utf8=%E2%9C%93&amp;oem=4738AGSMVZ1T","4738AGSMVZ1T")</f>
        <v>4738AGSMVZ1T</v>
      </c>
      <c r="B4005" s="1" t="s">
        <v>7678</v>
      </c>
      <c r="C4005" s="9" t="s">
        <v>1607</v>
      </c>
      <c r="D4005" s="14" t="s">
        <v>7679</v>
      </c>
      <c r="E4005" s="9" t="s">
        <v>8</v>
      </c>
    </row>
    <row r="4006" spans="1:5" outlineLevel="1" x14ac:dyDescent="0.25">
      <c r="A4006" s="2"/>
      <c r="B4006" s="6" t="s">
        <v>7680</v>
      </c>
      <c r="C4006" s="8"/>
      <c r="D4006" s="8"/>
      <c r="E4006" s="8"/>
    </row>
    <row r="4007" spans="1:5" ht="15" customHeight="1" outlineLevel="2" x14ac:dyDescent="0.25">
      <c r="A4007" s="3" t="str">
        <f>HYPERLINK("http://mystore1.ru/price_items/search?utf8=%E2%9C%93&amp;oem=4724ABSGN","4724ABSGN")</f>
        <v>4724ABSGN</v>
      </c>
      <c r="B4007" s="1" t="s">
        <v>7681</v>
      </c>
      <c r="C4007" s="9" t="s">
        <v>7682</v>
      </c>
      <c r="D4007" s="14" t="s">
        <v>7683</v>
      </c>
      <c r="E4007" s="9" t="s">
        <v>8</v>
      </c>
    </row>
    <row r="4008" spans="1:5" ht="15" customHeight="1" outlineLevel="2" x14ac:dyDescent="0.25">
      <c r="A4008" s="3" t="str">
        <f>HYPERLINK("http://mystore1.ru/price_items/search?utf8=%E2%9C%93&amp;oem=4724AGNGN","4724AGNGN")</f>
        <v>4724AGNGN</v>
      </c>
      <c r="B4008" s="1" t="s">
        <v>7684</v>
      </c>
      <c r="C4008" s="9" t="s">
        <v>7682</v>
      </c>
      <c r="D4008" s="14" t="s">
        <v>7685</v>
      </c>
      <c r="E4008" s="9" t="s">
        <v>8</v>
      </c>
    </row>
    <row r="4009" spans="1:5" outlineLevel="1" x14ac:dyDescent="0.25">
      <c r="A4009" s="2"/>
      <c r="B4009" s="6" t="s">
        <v>7686</v>
      </c>
      <c r="C4009" s="8"/>
      <c r="D4009" s="8"/>
      <c r="E4009" s="8"/>
    </row>
    <row r="4010" spans="1:5" ht="15" customHeight="1" outlineLevel="2" x14ac:dyDescent="0.25">
      <c r="A4010" s="3" t="str">
        <f>HYPERLINK("http://mystore1.ru/price_items/search?utf8=%E2%9C%93&amp;oem=4736ABSBLHMW","4736ABSBLHMW")</f>
        <v>4736ABSBLHMW</v>
      </c>
      <c r="B4010" s="1" t="s">
        <v>7687</v>
      </c>
      <c r="C4010" s="9" t="s">
        <v>1423</v>
      </c>
      <c r="D4010" s="14" t="s">
        <v>7688</v>
      </c>
      <c r="E4010" s="9" t="s">
        <v>8</v>
      </c>
    </row>
    <row r="4011" spans="1:5" ht="15" customHeight="1" outlineLevel="2" x14ac:dyDescent="0.25">
      <c r="A4011" s="3" t="str">
        <f>HYPERLINK("http://mystore1.ru/price_items/search?utf8=%E2%9C%93&amp;oem=4736ABSHMW","4736ABSHMW")</f>
        <v>4736ABSHMW</v>
      </c>
      <c r="B4011" s="1" t="s">
        <v>7689</v>
      </c>
      <c r="C4011" s="9" t="s">
        <v>1423</v>
      </c>
      <c r="D4011" s="14" t="s">
        <v>7690</v>
      </c>
      <c r="E4011" s="9" t="s">
        <v>8</v>
      </c>
    </row>
    <row r="4012" spans="1:5" ht="15" customHeight="1" outlineLevel="2" x14ac:dyDescent="0.25">
      <c r="A4012" s="3" t="str">
        <f>HYPERLINK("http://mystore1.ru/price_items/search?utf8=%E2%9C%93&amp;oem=4736BBSSABJW","4736BBSSABJW")</f>
        <v>4736BBSSABJW</v>
      </c>
      <c r="B4012" s="1" t="s">
        <v>7691</v>
      </c>
      <c r="C4012" s="9" t="s">
        <v>1888</v>
      </c>
      <c r="D4012" s="14" t="s">
        <v>7692</v>
      </c>
      <c r="E4012" s="9" t="s">
        <v>30</v>
      </c>
    </row>
    <row r="4013" spans="1:5" ht="15" customHeight="1" outlineLevel="2" x14ac:dyDescent="0.25">
      <c r="A4013" s="3" t="str">
        <f>HYPERLINK("http://mystore1.ru/price_items/search?utf8=%E2%9C%93&amp;oem=4736BBSSABW","4736BBSSABW")</f>
        <v>4736BBSSABW</v>
      </c>
      <c r="B4013" s="1" t="s">
        <v>7693</v>
      </c>
      <c r="C4013" s="9" t="s">
        <v>1888</v>
      </c>
      <c r="D4013" s="14" t="s">
        <v>7694</v>
      </c>
      <c r="E4013" s="9" t="s">
        <v>30</v>
      </c>
    </row>
    <row r="4014" spans="1:5" ht="15" customHeight="1" outlineLevel="2" x14ac:dyDescent="0.25">
      <c r="A4014" s="3" t="str">
        <f>HYPERLINK("http://mystore1.ru/price_items/search?utf8=%E2%9C%93&amp;oem=4736LBDS4RVW","4736LBDS4RVW")</f>
        <v>4736LBDS4RVW</v>
      </c>
      <c r="B4014" s="1" t="s">
        <v>7695</v>
      </c>
      <c r="C4014" s="9" t="s">
        <v>1888</v>
      </c>
      <c r="D4014" s="14" t="s">
        <v>7696</v>
      </c>
      <c r="E4014" s="9" t="s">
        <v>11</v>
      </c>
    </row>
    <row r="4015" spans="1:5" ht="15" customHeight="1" outlineLevel="2" x14ac:dyDescent="0.25">
      <c r="A4015" s="3" t="str">
        <f>HYPERLINK("http://mystore1.ru/price_items/search?utf8=%E2%9C%93&amp;oem=4736LBPS4RDKW","4736LBPS4RDKW")</f>
        <v>4736LBPS4RDKW</v>
      </c>
      <c r="B4015" s="1" t="s">
        <v>7697</v>
      </c>
      <c r="C4015" s="9" t="s">
        <v>1423</v>
      </c>
      <c r="D4015" s="14" t="s">
        <v>7698</v>
      </c>
      <c r="E4015" s="9" t="s">
        <v>11</v>
      </c>
    </row>
    <row r="4016" spans="1:5" ht="15" customHeight="1" outlineLevel="2" x14ac:dyDescent="0.25">
      <c r="A4016" s="3" t="str">
        <f>HYPERLINK("http://mystore1.ru/price_items/search?utf8=%E2%9C%93&amp;oem=4736LBPS4RDW","4736LBPS4RDW")</f>
        <v>4736LBPS4RDW</v>
      </c>
      <c r="B4016" s="1" t="s">
        <v>7699</v>
      </c>
      <c r="C4016" s="9" t="s">
        <v>1888</v>
      </c>
      <c r="D4016" s="14" t="s">
        <v>7700</v>
      </c>
      <c r="E4016" s="9" t="s">
        <v>11</v>
      </c>
    </row>
    <row r="4017" spans="1:5" ht="15" customHeight="1" outlineLevel="2" x14ac:dyDescent="0.25">
      <c r="A4017" s="3" t="str">
        <f>HYPERLINK("http://mystore1.ru/price_items/search?utf8=%E2%9C%93&amp;oem=4736LBSS4FD","4736LBSS4FD")</f>
        <v>4736LBSS4FD</v>
      </c>
      <c r="B4017" s="1" t="s">
        <v>7701</v>
      </c>
      <c r="C4017" s="9" t="s">
        <v>1888</v>
      </c>
      <c r="D4017" s="14" t="s">
        <v>7702</v>
      </c>
      <c r="E4017" s="9" t="s">
        <v>11</v>
      </c>
    </row>
    <row r="4018" spans="1:5" ht="15" customHeight="1" outlineLevel="2" x14ac:dyDescent="0.25">
      <c r="A4018" s="3" t="str">
        <f>HYPERLINK("http://mystore1.ru/price_items/search?utf8=%E2%9C%93&amp;oem=4736LBSS4FDKW","4736LBSS4FDKW")</f>
        <v>4736LBSS4FDKW</v>
      </c>
      <c r="B4018" s="1" t="s">
        <v>7703</v>
      </c>
      <c r="C4018" s="9" t="s">
        <v>1423</v>
      </c>
      <c r="D4018" s="14" t="s">
        <v>7704</v>
      </c>
      <c r="E4018" s="9" t="s">
        <v>11</v>
      </c>
    </row>
    <row r="4019" spans="1:5" ht="15" customHeight="1" outlineLevel="2" x14ac:dyDescent="0.25">
      <c r="A4019" s="3" t="str">
        <f>HYPERLINK("http://mystore1.ru/price_items/search?utf8=%E2%9C%93&amp;oem=4736LBSS4RDKW","4736LBSS4RDKW")</f>
        <v>4736LBSS4RDKW</v>
      </c>
      <c r="B4019" s="1" t="s">
        <v>7705</v>
      </c>
      <c r="C4019" s="9" t="s">
        <v>1423</v>
      </c>
      <c r="D4019" s="14" t="s">
        <v>7706</v>
      </c>
      <c r="E4019" s="9" t="s">
        <v>11</v>
      </c>
    </row>
    <row r="4020" spans="1:5" ht="15" customHeight="1" outlineLevel="2" x14ac:dyDescent="0.25">
      <c r="A4020" s="3" t="str">
        <f>HYPERLINK("http://mystore1.ru/price_items/search?utf8=%E2%9C%93&amp;oem=4736LBSS4RDW","4736LBSS4RDW")</f>
        <v>4736LBSS4RDW</v>
      </c>
      <c r="B4020" s="1" t="s">
        <v>7707</v>
      </c>
      <c r="C4020" s="9" t="s">
        <v>1888</v>
      </c>
      <c r="D4020" s="14" t="s">
        <v>7708</v>
      </c>
      <c r="E4020" s="9" t="s">
        <v>11</v>
      </c>
    </row>
    <row r="4021" spans="1:5" ht="15" customHeight="1" outlineLevel="2" x14ac:dyDescent="0.25">
      <c r="A4021" s="3" t="str">
        <f>HYPERLINK("http://mystore1.ru/price_items/search?utf8=%E2%9C%93&amp;oem=4736LBSS4RVW","4736LBSS4RVW")</f>
        <v>4736LBSS4RVW</v>
      </c>
      <c r="B4021" s="1" t="s">
        <v>7709</v>
      </c>
      <c r="C4021" s="9" t="s">
        <v>1888</v>
      </c>
      <c r="D4021" s="14" t="s">
        <v>7710</v>
      </c>
      <c r="E4021" s="9" t="s">
        <v>11</v>
      </c>
    </row>
    <row r="4022" spans="1:5" ht="15" customHeight="1" outlineLevel="2" x14ac:dyDescent="0.25">
      <c r="A4022" s="3" t="str">
        <f>HYPERLINK("http://mystore1.ru/price_items/search?utf8=%E2%9C%93&amp;oem=4736RBDS4RVW","4736RBDS4RVW")</f>
        <v>4736RBDS4RVW</v>
      </c>
      <c r="B4022" s="1" t="s">
        <v>7711</v>
      </c>
      <c r="C4022" s="9" t="s">
        <v>1888</v>
      </c>
      <c r="D4022" s="14" t="s">
        <v>7712</v>
      </c>
      <c r="E4022" s="9" t="s">
        <v>11</v>
      </c>
    </row>
    <row r="4023" spans="1:5" ht="15" customHeight="1" outlineLevel="2" x14ac:dyDescent="0.25">
      <c r="A4023" s="3" t="str">
        <f>HYPERLINK("http://mystore1.ru/price_items/search?utf8=%E2%9C%93&amp;oem=4736RBPS4RDKW","4736RBPS4RDKW")</f>
        <v>4736RBPS4RDKW</v>
      </c>
      <c r="B4023" s="1" t="s">
        <v>7713</v>
      </c>
      <c r="C4023" s="9" t="s">
        <v>1423</v>
      </c>
      <c r="D4023" s="14" t="s">
        <v>7714</v>
      </c>
      <c r="E4023" s="9" t="s">
        <v>11</v>
      </c>
    </row>
    <row r="4024" spans="1:5" ht="15" customHeight="1" outlineLevel="2" x14ac:dyDescent="0.25">
      <c r="A4024" s="3" t="str">
        <f>HYPERLINK("http://mystore1.ru/price_items/search?utf8=%E2%9C%93&amp;oem=4736RBPS4RDW","4736RBPS4RDW")</f>
        <v>4736RBPS4RDW</v>
      </c>
      <c r="B4024" s="1" t="s">
        <v>7715</v>
      </c>
      <c r="C4024" s="9" t="s">
        <v>1888</v>
      </c>
      <c r="D4024" s="14" t="s">
        <v>7716</v>
      </c>
      <c r="E4024" s="9" t="s">
        <v>11</v>
      </c>
    </row>
    <row r="4025" spans="1:5" ht="15" customHeight="1" outlineLevel="2" x14ac:dyDescent="0.25">
      <c r="A4025" s="3" t="str">
        <f>HYPERLINK("http://mystore1.ru/price_items/search?utf8=%E2%9C%93&amp;oem=4736RBSS4FD","4736RBSS4FD")</f>
        <v>4736RBSS4FD</v>
      </c>
      <c r="B4025" s="1" t="s">
        <v>7717</v>
      </c>
      <c r="C4025" s="9" t="s">
        <v>1888</v>
      </c>
      <c r="D4025" s="14" t="s">
        <v>7718</v>
      </c>
      <c r="E4025" s="9" t="s">
        <v>11</v>
      </c>
    </row>
    <row r="4026" spans="1:5" ht="15" customHeight="1" outlineLevel="2" x14ac:dyDescent="0.25">
      <c r="A4026" s="3" t="str">
        <f>HYPERLINK("http://mystore1.ru/price_items/search?utf8=%E2%9C%93&amp;oem=4736RBSS4FDKW","4736RBSS4FDKW")</f>
        <v>4736RBSS4FDKW</v>
      </c>
      <c r="B4026" s="1" t="s">
        <v>7719</v>
      </c>
      <c r="C4026" s="9" t="s">
        <v>1423</v>
      </c>
      <c r="D4026" s="14" t="s">
        <v>7720</v>
      </c>
      <c r="E4026" s="9" t="s">
        <v>11</v>
      </c>
    </row>
    <row r="4027" spans="1:5" ht="15" customHeight="1" outlineLevel="2" x14ac:dyDescent="0.25">
      <c r="A4027" s="3" t="str">
        <f>HYPERLINK("http://mystore1.ru/price_items/search?utf8=%E2%9C%93&amp;oem=4736RBSS4RDKW","4736RBSS4RDKW")</f>
        <v>4736RBSS4RDKW</v>
      </c>
      <c r="B4027" s="1" t="s">
        <v>7721</v>
      </c>
      <c r="C4027" s="9" t="s">
        <v>1423</v>
      </c>
      <c r="D4027" s="14" t="s">
        <v>7722</v>
      </c>
      <c r="E4027" s="9" t="s">
        <v>11</v>
      </c>
    </row>
    <row r="4028" spans="1:5" ht="15" customHeight="1" outlineLevel="2" x14ac:dyDescent="0.25">
      <c r="A4028" s="3" t="str">
        <f>HYPERLINK("http://mystore1.ru/price_items/search?utf8=%E2%9C%93&amp;oem=4736RBSS4RDW","4736RBSS4RDW")</f>
        <v>4736RBSS4RDW</v>
      </c>
      <c r="B4028" s="1" t="s">
        <v>7723</v>
      </c>
      <c r="C4028" s="9" t="s">
        <v>1888</v>
      </c>
      <c r="D4028" s="14" t="s">
        <v>7724</v>
      </c>
      <c r="E4028" s="9" t="s">
        <v>11</v>
      </c>
    </row>
    <row r="4029" spans="1:5" ht="15" customHeight="1" outlineLevel="2" x14ac:dyDescent="0.25">
      <c r="A4029" s="3" t="str">
        <f>HYPERLINK("http://mystore1.ru/price_items/search?utf8=%E2%9C%93&amp;oem=4736RBSS4RVW","4736RBSS4RVW")</f>
        <v>4736RBSS4RVW</v>
      </c>
      <c r="B4029" s="1" t="s">
        <v>7725</v>
      </c>
      <c r="C4029" s="9" t="s">
        <v>1888</v>
      </c>
      <c r="D4029" s="14" t="s">
        <v>7726</v>
      </c>
      <c r="E4029" s="9" t="s">
        <v>11</v>
      </c>
    </row>
    <row r="4030" spans="1:5" outlineLevel="1" x14ac:dyDescent="0.25">
      <c r="A4030" s="2"/>
      <c r="B4030" s="6" t="s">
        <v>7727</v>
      </c>
      <c r="C4030" s="8"/>
      <c r="D4030" s="8"/>
      <c r="E4030" s="8"/>
    </row>
    <row r="4031" spans="1:5" ht="15" customHeight="1" outlineLevel="2" x14ac:dyDescent="0.25">
      <c r="A4031" s="3" t="str">
        <f>HYPERLINK("http://mystore1.ru/price_items/search?utf8=%E2%9C%93&amp;oem=4732AGN","4732AGN")</f>
        <v>4732AGN</v>
      </c>
      <c r="B4031" s="1" t="s">
        <v>7728</v>
      </c>
      <c r="C4031" s="9" t="s">
        <v>420</v>
      </c>
      <c r="D4031" s="14" t="s">
        <v>7729</v>
      </c>
      <c r="E4031" s="9" t="s">
        <v>8</v>
      </c>
    </row>
    <row r="4032" spans="1:5" ht="15" customHeight="1" outlineLevel="2" x14ac:dyDescent="0.25">
      <c r="A4032" s="3" t="str">
        <f>HYPERLINK("http://mystore1.ru/price_items/search?utf8=%E2%9C%93&amp;oem=4732ASMH","4732ASMH")</f>
        <v>4732ASMH</v>
      </c>
      <c r="B4032" s="1" t="s">
        <v>7730</v>
      </c>
      <c r="C4032" s="9" t="s">
        <v>25</v>
      </c>
      <c r="D4032" s="14" t="s">
        <v>7731</v>
      </c>
      <c r="E4032" s="9" t="s">
        <v>27</v>
      </c>
    </row>
    <row r="4033" spans="1:5" ht="15" customHeight="1" outlineLevel="2" x14ac:dyDescent="0.25">
      <c r="A4033" s="3" t="str">
        <f>HYPERLINK("http://mystore1.ru/price_items/search?utf8=%E2%9C%93&amp;oem=4732BGNHBW","4732BGNHBW")</f>
        <v>4732BGNHBW</v>
      </c>
      <c r="B4033" s="1" t="s">
        <v>7732</v>
      </c>
      <c r="C4033" s="9" t="s">
        <v>420</v>
      </c>
      <c r="D4033" s="14" t="s">
        <v>7733</v>
      </c>
      <c r="E4033" s="9" t="s">
        <v>30</v>
      </c>
    </row>
    <row r="4034" spans="1:5" ht="15" customHeight="1" outlineLevel="2" x14ac:dyDescent="0.25">
      <c r="A4034" s="3" t="str">
        <f>HYPERLINK("http://mystore1.ru/price_items/search?utf8=%E2%9C%93&amp;oem=4732LGNH3FDW","4732LGNH3FDW")</f>
        <v>4732LGNH3FDW</v>
      </c>
      <c r="B4034" s="1" t="s">
        <v>7734</v>
      </c>
      <c r="C4034" s="9" t="s">
        <v>420</v>
      </c>
      <c r="D4034" s="14" t="s">
        <v>7735</v>
      </c>
      <c r="E4034" s="9" t="s">
        <v>11</v>
      </c>
    </row>
    <row r="4035" spans="1:5" ht="15" customHeight="1" outlineLevel="2" x14ac:dyDescent="0.25">
      <c r="A4035" s="3" t="str">
        <f>HYPERLINK("http://mystore1.ru/price_items/search?utf8=%E2%9C%93&amp;oem=4732LGNH3RQOW","4732LGNH3RQOW")</f>
        <v>4732LGNH3RQOW</v>
      </c>
      <c r="B4035" s="1" t="s">
        <v>7736</v>
      </c>
      <c r="C4035" s="9" t="s">
        <v>420</v>
      </c>
      <c r="D4035" s="14" t="s">
        <v>7737</v>
      </c>
      <c r="E4035" s="9" t="s">
        <v>11</v>
      </c>
    </row>
    <row r="4036" spans="1:5" ht="15" customHeight="1" outlineLevel="2" x14ac:dyDescent="0.25">
      <c r="A4036" s="3" t="str">
        <f>HYPERLINK("http://mystore1.ru/price_items/search?utf8=%E2%9C%93&amp;oem=4732RGNH3FDW","4732RGNH3FDW")</f>
        <v>4732RGNH3FDW</v>
      </c>
      <c r="B4036" s="1" t="s">
        <v>7738</v>
      </c>
      <c r="C4036" s="9" t="s">
        <v>420</v>
      </c>
      <c r="D4036" s="14" t="s">
        <v>7739</v>
      </c>
      <c r="E4036" s="9" t="s">
        <v>11</v>
      </c>
    </row>
    <row r="4037" spans="1:5" ht="15" customHeight="1" outlineLevel="2" x14ac:dyDescent="0.25">
      <c r="A4037" s="3" t="str">
        <f>HYPERLINK("http://mystore1.ru/price_items/search?utf8=%E2%9C%93&amp;oem=4732RGNH3RQOW","4732RGNH3RQOW")</f>
        <v>4732RGNH3RQOW</v>
      </c>
      <c r="B4037" s="1" t="s">
        <v>7740</v>
      </c>
      <c r="C4037" s="9" t="s">
        <v>420</v>
      </c>
      <c r="D4037" s="14" t="s">
        <v>7741</v>
      </c>
      <c r="E4037" s="9" t="s">
        <v>11</v>
      </c>
    </row>
    <row r="4038" spans="1:5" outlineLevel="1" x14ac:dyDescent="0.25">
      <c r="A4038" s="2"/>
      <c r="B4038" s="6" t="s">
        <v>7742</v>
      </c>
      <c r="C4038" s="8"/>
      <c r="D4038" s="8"/>
      <c r="E4038" s="8"/>
    </row>
    <row r="4039" spans="1:5" ht="15" customHeight="1" outlineLevel="2" x14ac:dyDescent="0.25">
      <c r="A4039" s="3" t="str">
        <f>HYPERLINK("http://mystore1.ru/price_items/search?utf8=%E2%9C%93&amp;oem=4725ACL","4725ACL")</f>
        <v>4725ACL</v>
      </c>
      <c r="B4039" s="1" t="s">
        <v>7743</v>
      </c>
      <c r="C4039" s="9" t="s">
        <v>7682</v>
      </c>
      <c r="D4039" s="14" t="s">
        <v>7744</v>
      </c>
      <c r="E4039" s="9" t="s">
        <v>8</v>
      </c>
    </row>
    <row r="4040" spans="1:5" ht="15" customHeight="1" outlineLevel="2" x14ac:dyDescent="0.25">
      <c r="A4040" s="3" t="str">
        <f>HYPERLINK("http://mystore1.ru/price_items/search?utf8=%E2%9C%93&amp;oem=4725AGN1B","4725AGN1B")</f>
        <v>4725AGN1B</v>
      </c>
      <c r="B4040" s="1" t="s">
        <v>7745</v>
      </c>
      <c r="C4040" s="9" t="s">
        <v>7682</v>
      </c>
      <c r="D4040" s="14" t="s">
        <v>7746</v>
      </c>
      <c r="E4040" s="9" t="s">
        <v>8</v>
      </c>
    </row>
    <row r="4041" spans="1:5" ht="15" customHeight="1" outlineLevel="2" x14ac:dyDescent="0.25">
      <c r="A4041" s="3" t="str">
        <f>HYPERLINK("http://mystore1.ru/price_items/search?utf8=%E2%9C%93&amp;oem=4725ASMH","4725ASMH")</f>
        <v>4725ASMH</v>
      </c>
      <c r="B4041" s="1" t="s">
        <v>7747</v>
      </c>
      <c r="C4041" s="9" t="s">
        <v>25</v>
      </c>
      <c r="D4041" s="14" t="s">
        <v>7748</v>
      </c>
      <c r="E4041" s="9" t="s">
        <v>27</v>
      </c>
    </row>
    <row r="4042" spans="1:5" ht="15" customHeight="1" outlineLevel="2" x14ac:dyDescent="0.25">
      <c r="A4042" s="3" t="str">
        <f>HYPERLINK("http://mystore1.ru/price_items/search?utf8=%E2%9C%93&amp;oem=4725BGNH1B","4725BGNH1B")</f>
        <v>4725BGNH1B</v>
      </c>
      <c r="B4042" s="1" t="s">
        <v>7749</v>
      </c>
      <c r="C4042" s="9" t="s">
        <v>7682</v>
      </c>
      <c r="D4042" s="14" t="s">
        <v>7750</v>
      </c>
      <c r="E4042" s="9" t="s">
        <v>30</v>
      </c>
    </row>
    <row r="4043" spans="1:5" ht="15" customHeight="1" outlineLevel="2" x14ac:dyDescent="0.25">
      <c r="A4043" s="3" t="str">
        <f>HYPERLINK("http://mystore1.ru/price_items/search?utf8=%E2%9C%93&amp;oem=4725LGNH3FDW","4725LGNH3FDW")</f>
        <v>4725LGNH3FDW</v>
      </c>
      <c r="B4043" s="1" t="s">
        <v>7751</v>
      </c>
      <c r="C4043" s="9" t="s">
        <v>7682</v>
      </c>
      <c r="D4043" s="14" t="s">
        <v>7752</v>
      </c>
      <c r="E4043" s="9" t="s">
        <v>11</v>
      </c>
    </row>
    <row r="4044" spans="1:5" ht="15" customHeight="1" outlineLevel="2" x14ac:dyDescent="0.25">
      <c r="A4044" s="3" t="str">
        <f>HYPERLINK("http://mystore1.ru/price_items/search?utf8=%E2%9C%93&amp;oem=4725RGNH3FDW","4725RGNH3FDW")</f>
        <v>4725RGNH3FDW</v>
      </c>
      <c r="B4044" s="1" t="s">
        <v>7753</v>
      </c>
      <c r="C4044" s="9" t="s">
        <v>7682</v>
      </c>
      <c r="D4044" s="14" t="s">
        <v>7754</v>
      </c>
      <c r="E4044" s="9" t="s">
        <v>11</v>
      </c>
    </row>
    <row r="4045" spans="1:5" outlineLevel="1" x14ac:dyDescent="0.25">
      <c r="A4045" s="2"/>
      <c r="B4045" s="6" t="s">
        <v>7755</v>
      </c>
      <c r="C4045" s="8"/>
      <c r="D4045" s="8"/>
      <c r="E4045" s="8"/>
    </row>
    <row r="4046" spans="1:5" ht="15" customHeight="1" outlineLevel="2" x14ac:dyDescent="0.25">
      <c r="A4046" s="3" t="str">
        <f>HYPERLINK("http://mystore1.ru/price_items/search?utf8=%E2%9C%93&amp;oem=4737AGS","4737AGS")</f>
        <v>4737AGS</v>
      </c>
      <c r="B4046" s="1" t="s">
        <v>7756</v>
      </c>
      <c r="C4046" s="9" t="s">
        <v>1408</v>
      </c>
      <c r="D4046" s="14" t="s">
        <v>7757</v>
      </c>
      <c r="E4046" s="9" t="s">
        <v>8</v>
      </c>
    </row>
    <row r="4047" spans="1:5" ht="15" customHeight="1" outlineLevel="2" x14ac:dyDescent="0.25">
      <c r="A4047" s="3" t="str">
        <f>HYPERLINK("http://mystore1.ru/price_items/search?utf8=%E2%9C%93&amp;oem=4737AGSM1B","4737AGSM1B")</f>
        <v>4737AGSM1B</v>
      </c>
      <c r="B4047" s="1" t="s">
        <v>7758</v>
      </c>
      <c r="C4047" s="9" t="s">
        <v>1408</v>
      </c>
      <c r="D4047" s="14" t="s">
        <v>7759</v>
      </c>
      <c r="E4047" s="9" t="s">
        <v>8</v>
      </c>
    </row>
    <row r="4048" spans="1:5" outlineLevel="1" x14ac:dyDescent="0.25">
      <c r="A4048" s="2"/>
      <c r="B4048" s="6" t="s">
        <v>7760</v>
      </c>
      <c r="C4048" s="8"/>
      <c r="D4048" s="8"/>
      <c r="E4048" s="8"/>
    </row>
    <row r="4049" spans="1:5" outlineLevel="2" x14ac:dyDescent="0.25">
      <c r="A4049" s="3" t="str">
        <f>HYPERLINK("http://mystore1.ru/price_items/search?utf8=%E2%9C%93&amp;oem=4730ABS","4730ABS")</f>
        <v>4730ABS</v>
      </c>
      <c r="B4049" s="1" t="s">
        <v>7761</v>
      </c>
      <c r="C4049" s="9" t="s">
        <v>1625</v>
      </c>
      <c r="D4049" s="14" t="s">
        <v>7762</v>
      </c>
      <c r="E4049" s="9" t="s">
        <v>8</v>
      </c>
    </row>
    <row r="4050" spans="1:5" outlineLevel="2" x14ac:dyDescent="0.25">
      <c r="A4050" s="3" t="str">
        <f>HYPERLINK("http://mystore1.ru/price_items/search?utf8=%E2%9C%93&amp;oem=4730ACL","4730ACL")</f>
        <v>4730ACL</v>
      </c>
      <c r="B4050" s="1" t="s">
        <v>7763</v>
      </c>
      <c r="C4050" s="9" t="s">
        <v>1625</v>
      </c>
      <c r="D4050" s="14" t="s">
        <v>7764</v>
      </c>
      <c r="E4050" s="9" t="s">
        <v>8</v>
      </c>
    </row>
    <row r="4051" spans="1:5" outlineLevel="2" x14ac:dyDescent="0.25">
      <c r="A4051" s="3" t="str">
        <f>HYPERLINK("http://mystore1.ru/price_items/search?utf8=%E2%9C%93&amp;oem=4730AGS","4730AGS")</f>
        <v>4730AGS</v>
      </c>
      <c r="B4051" s="1" t="s">
        <v>7765</v>
      </c>
      <c r="C4051" s="9" t="s">
        <v>1625</v>
      </c>
      <c r="D4051" s="14" t="s">
        <v>7766</v>
      </c>
      <c r="E4051" s="9" t="s">
        <v>8</v>
      </c>
    </row>
    <row r="4052" spans="1:5" outlineLevel="2" x14ac:dyDescent="0.25">
      <c r="A4052" s="3" t="str">
        <f>HYPERLINK("http://mystore1.ru/price_items/search?utf8=%E2%9C%93&amp;oem=4730ASMV","4730ASMV")</f>
        <v>4730ASMV</v>
      </c>
      <c r="B4052" s="1" t="s">
        <v>7767</v>
      </c>
      <c r="C4052" s="9" t="s">
        <v>25</v>
      </c>
      <c r="D4052" s="14" t="s">
        <v>7768</v>
      </c>
      <c r="E4052" s="9" t="s">
        <v>27</v>
      </c>
    </row>
    <row r="4053" spans="1:5" outlineLevel="2" x14ac:dyDescent="0.25">
      <c r="A4053" s="3" t="str">
        <f>HYPERLINK("http://mystore1.ru/price_items/search?utf8=%E2%9C%93&amp;oem=4730BBSVB","4730BBSVB")</f>
        <v>4730BBSVB</v>
      </c>
      <c r="B4053" s="1" t="s">
        <v>7769</v>
      </c>
      <c r="C4053" s="9" t="s">
        <v>1625</v>
      </c>
      <c r="D4053" s="14" t="s">
        <v>7770</v>
      </c>
      <c r="E4053" s="9" t="s">
        <v>30</v>
      </c>
    </row>
    <row r="4054" spans="1:5" outlineLevel="2" x14ac:dyDescent="0.25">
      <c r="A4054" s="3" t="str">
        <f>HYPERLINK("http://mystore1.ru/price_items/search?utf8=%E2%9C%93&amp;oem=4730LBSV5FQ","4730LBSV5FQ")</f>
        <v>4730LBSV5FQ</v>
      </c>
      <c r="B4054" s="1" t="s">
        <v>7771</v>
      </c>
      <c r="C4054" s="9" t="s">
        <v>1625</v>
      </c>
      <c r="D4054" s="14" t="s">
        <v>7772</v>
      </c>
      <c r="E4054" s="9" t="s">
        <v>11</v>
      </c>
    </row>
    <row r="4055" spans="1:5" outlineLevel="2" x14ac:dyDescent="0.25">
      <c r="A4055" s="3" t="str">
        <f>HYPERLINK("http://mystore1.ru/price_items/search?utf8=%E2%9C%93&amp;oem=4730LBSV5RQO","4730LBSV5RQO")</f>
        <v>4730LBSV5RQO</v>
      </c>
      <c r="B4055" s="1" t="s">
        <v>7773</v>
      </c>
      <c r="C4055" s="9" t="s">
        <v>1625</v>
      </c>
      <c r="D4055" s="14" t="s">
        <v>7774</v>
      </c>
      <c r="E4055" s="9" t="s">
        <v>11</v>
      </c>
    </row>
    <row r="4056" spans="1:5" outlineLevel="2" x14ac:dyDescent="0.25">
      <c r="A4056" s="3" t="str">
        <f>HYPERLINK("http://mystore1.ru/price_items/search?utf8=%E2%9C%93&amp;oem=4730RBSV5FQ","4730RBSV5FQ")</f>
        <v>4730RBSV5FQ</v>
      </c>
      <c r="B4056" s="1" t="s">
        <v>7775</v>
      </c>
      <c r="C4056" s="9" t="s">
        <v>1625</v>
      </c>
      <c r="D4056" s="14" t="s">
        <v>7776</v>
      </c>
      <c r="E4056" s="9" t="s">
        <v>11</v>
      </c>
    </row>
    <row r="4057" spans="1:5" outlineLevel="2" x14ac:dyDescent="0.25">
      <c r="A4057" s="3" t="str">
        <f>HYPERLINK("http://mystore1.ru/price_items/search?utf8=%E2%9C%93&amp;oem=4730RBSV5RQO","4730RBSV5RQO")</f>
        <v>4730RBSV5RQO</v>
      </c>
      <c r="B4057" s="1" t="s">
        <v>7777</v>
      </c>
      <c r="C4057" s="9" t="s">
        <v>1625</v>
      </c>
      <c r="D4057" s="14" t="s">
        <v>7778</v>
      </c>
      <c r="E4057" s="9" t="s">
        <v>11</v>
      </c>
    </row>
    <row r="4058" spans="1:5" x14ac:dyDescent="0.25">
      <c r="A4058" s="61" t="s">
        <v>7779</v>
      </c>
      <c r="B4058" s="61"/>
      <c r="C4058" s="61"/>
      <c r="D4058" s="61"/>
      <c r="E4058" s="61"/>
    </row>
    <row r="4059" spans="1:5" outlineLevel="1" x14ac:dyDescent="0.25">
      <c r="A4059" s="2"/>
      <c r="B4059" s="6" t="s">
        <v>7780</v>
      </c>
      <c r="C4059" s="8"/>
      <c r="D4059" s="8"/>
      <c r="E4059" s="8"/>
    </row>
    <row r="4060" spans="1:5" outlineLevel="2" x14ac:dyDescent="0.25">
      <c r="A4060" s="3" t="str">
        <f>HYPERLINK("http://mystore1.ru/price_items/search?utf8=%E2%9C%93&amp;oem=7012ACL","7012ACL")</f>
        <v>7012ACL</v>
      </c>
      <c r="B4060" s="1" t="s">
        <v>7781</v>
      </c>
      <c r="C4060" s="9" t="s">
        <v>7782</v>
      </c>
      <c r="D4060" s="14" t="s">
        <v>7783</v>
      </c>
      <c r="E4060" s="9" t="s">
        <v>8</v>
      </c>
    </row>
    <row r="4061" spans="1:5" outlineLevel="2" x14ac:dyDescent="0.25">
      <c r="A4061" s="3" t="str">
        <f>HYPERLINK("http://mystore1.ru/price_items/search?utf8=%E2%9C%93&amp;oem=7012ASRR","7012ASRR")</f>
        <v>7012ASRR</v>
      </c>
      <c r="B4061" s="1" t="s">
        <v>7784</v>
      </c>
      <c r="C4061" s="9" t="s">
        <v>25</v>
      </c>
      <c r="D4061" s="14" t="s">
        <v>7785</v>
      </c>
      <c r="E4061" s="9" t="s">
        <v>27</v>
      </c>
    </row>
    <row r="4062" spans="1:5" x14ac:dyDescent="0.25">
      <c r="A4062" s="61" t="s">
        <v>7786</v>
      </c>
      <c r="B4062" s="61"/>
      <c r="C4062" s="61"/>
      <c r="D4062" s="61"/>
      <c r="E4062" s="61"/>
    </row>
    <row r="4063" spans="1:5" outlineLevel="1" x14ac:dyDescent="0.25">
      <c r="A4063" s="2"/>
      <c r="B4063" s="6" t="s">
        <v>7787</v>
      </c>
      <c r="C4063" s="8"/>
      <c r="D4063" s="8"/>
      <c r="E4063" s="8"/>
    </row>
    <row r="4064" spans="1:5" ht="15" customHeight="1" outlineLevel="2" x14ac:dyDescent="0.25">
      <c r="A4064" s="3" t="str">
        <f>HYPERLINK("http://mystore1.ru/price_items/search?utf8=%E2%9C%93&amp;oem=7017AGN","7017AGN")</f>
        <v>7017AGN</v>
      </c>
      <c r="B4064" s="1" t="s">
        <v>7788</v>
      </c>
      <c r="C4064" s="9" t="s">
        <v>2042</v>
      </c>
      <c r="D4064" s="14" t="s">
        <v>7789</v>
      </c>
      <c r="E4064" s="9" t="s">
        <v>8</v>
      </c>
    </row>
    <row r="4065" spans="1:5" ht="15" customHeight="1" outlineLevel="2" x14ac:dyDescent="0.25">
      <c r="A4065" s="3" t="str">
        <f>HYPERLINK("http://mystore1.ru/price_items/search?utf8=%E2%9C%93&amp;oem=7017LGNR3FD","7017LGNR3FD")</f>
        <v>7017LGNR3FD</v>
      </c>
      <c r="B4065" s="1" t="s">
        <v>7790</v>
      </c>
      <c r="C4065" s="9" t="s">
        <v>2042</v>
      </c>
      <c r="D4065" s="14" t="s">
        <v>7791</v>
      </c>
      <c r="E4065" s="9" t="s">
        <v>11</v>
      </c>
    </row>
    <row r="4066" spans="1:5" ht="15" customHeight="1" outlineLevel="2" x14ac:dyDescent="0.25">
      <c r="A4066" s="3" t="str">
        <f>HYPERLINK("http://mystore1.ru/price_items/search?utf8=%E2%9C%93&amp;oem=7017RGNR3FD","7017RGNR3FD")</f>
        <v>7017RGNR3FD</v>
      </c>
      <c r="B4066" s="1" t="s">
        <v>7792</v>
      </c>
      <c r="C4066" s="9" t="s">
        <v>2042</v>
      </c>
      <c r="D4066" s="14" t="s">
        <v>7793</v>
      </c>
      <c r="E4066" s="9" t="s">
        <v>11</v>
      </c>
    </row>
    <row r="4067" spans="1:5" outlineLevel="1" x14ac:dyDescent="0.25">
      <c r="A4067" s="2"/>
      <c r="B4067" s="6" t="s">
        <v>7794</v>
      </c>
      <c r="C4067" s="8"/>
      <c r="D4067" s="8"/>
      <c r="E4067" s="8"/>
    </row>
    <row r="4068" spans="1:5" ht="15" customHeight="1" outlineLevel="2" x14ac:dyDescent="0.25">
      <c r="A4068" s="3" t="str">
        <f>HYPERLINK("http://mystore1.ru/price_items/search?utf8=%E2%9C%93&amp;oem=7022AGN","7022AGN")</f>
        <v>7022AGN</v>
      </c>
      <c r="B4068" s="1" t="s">
        <v>7795</v>
      </c>
      <c r="C4068" s="9" t="s">
        <v>623</v>
      </c>
      <c r="D4068" s="14" t="s">
        <v>7796</v>
      </c>
      <c r="E4068" s="9" t="s">
        <v>8</v>
      </c>
    </row>
    <row r="4069" spans="1:5" ht="15" customHeight="1" outlineLevel="2" x14ac:dyDescent="0.25">
      <c r="A4069" s="3" t="str">
        <f>HYPERLINK("http://mystore1.ru/price_items/search?utf8=%E2%9C%93&amp;oem=7022AGN1C","7022AGN1C")</f>
        <v>7022AGN1C</v>
      </c>
      <c r="B4069" s="1" t="s">
        <v>7797</v>
      </c>
      <c r="C4069" s="9" t="s">
        <v>623</v>
      </c>
      <c r="D4069" s="14" t="s">
        <v>7798</v>
      </c>
      <c r="E4069" s="9" t="s">
        <v>8</v>
      </c>
    </row>
    <row r="4070" spans="1:5" ht="15" customHeight="1" outlineLevel="2" x14ac:dyDescent="0.25">
      <c r="A4070" s="3" t="str">
        <f>HYPERLINK("http://mystore1.ru/price_items/search?utf8=%E2%9C%93&amp;oem=7022AGNH1C","7022AGNH1C")</f>
        <v>7022AGNH1C</v>
      </c>
      <c r="B4070" s="1" t="s">
        <v>7799</v>
      </c>
      <c r="C4070" s="9" t="s">
        <v>623</v>
      </c>
      <c r="D4070" s="14" t="s">
        <v>7800</v>
      </c>
      <c r="E4070" s="9" t="s">
        <v>8</v>
      </c>
    </row>
    <row r="4071" spans="1:5" ht="15" customHeight="1" outlineLevel="2" x14ac:dyDescent="0.25">
      <c r="A4071" s="3" t="str">
        <f>HYPERLINK("http://mystore1.ru/price_items/search?utf8=%E2%9C%93&amp;oem=7022LGNR3FD","7022LGNR3FD")</f>
        <v>7022LGNR3FD</v>
      </c>
      <c r="B4071" s="1" t="s">
        <v>7801</v>
      </c>
      <c r="C4071" s="9" t="s">
        <v>623</v>
      </c>
      <c r="D4071" s="14" t="s">
        <v>7802</v>
      </c>
      <c r="E4071" s="9" t="s">
        <v>11</v>
      </c>
    </row>
    <row r="4072" spans="1:5" ht="15" customHeight="1" outlineLevel="2" x14ac:dyDescent="0.25">
      <c r="A4072" s="3" t="str">
        <f>HYPERLINK("http://mystore1.ru/price_items/search?utf8=%E2%9C%93&amp;oem=7022RGNR3FD","7022RGNR3FD")</f>
        <v>7022RGNR3FD</v>
      </c>
      <c r="B4072" s="1" t="s">
        <v>7803</v>
      </c>
      <c r="C4072" s="9" t="s">
        <v>623</v>
      </c>
      <c r="D4072" s="14" t="s">
        <v>7804</v>
      </c>
      <c r="E4072" s="9" t="s">
        <v>11</v>
      </c>
    </row>
    <row r="4073" spans="1:5" outlineLevel="1" x14ac:dyDescent="0.25">
      <c r="A4073" s="2"/>
      <c r="B4073" s="6" t="s">
        <v>7805</v>
      </c>
      <c r="C4073" s="8"/>
      <c r="D4073" s="8"/>
      <c r="E4073" s="8"/>
    </row>
    <row r="4074" spans="1:5" ht="15" customHeight="1" outlineLevel="2" x14ac:dyDescent="0.25">
      <c r="A4074" s="3" t="str">
        <f>HYPERLINK("http://mystore1.ru/price_items/search?utf8=%E2%9C%93&amp;oem=7029AGS","7029AGS")</f>
        <v>7029AGS</v>
      </c>
      <c r="B4074" s="1" t="s">
        <v>7806</v>
      </c>
      <c r="C4074" s="9" t="s">
        <v>564</v>
      </c>
      <c r="D4074" s="14" t="s">
        <v>7807</v>
      </c>
      <c r="E4074" s="9" t="s">
        <v>8</v>
      </c>
    </row>
    <row r="4075" spans="1:5" ht="15" customHeight="1" outlineLevel="2" x14ac:dyDescent="0.25">
      <c r="A4075" s="3" t="str">
        <f>HYPERLINK("http://mystore1.ru/price_items/search?utf8=%E2%9C%93&amp;oem=7029AGSH","7029AGSH")</f>
        <v>7029AGSH</v>
      </c>
      <c r="B4075" s="1" t="s">
        <v>7808</v>
      </c>
      <c r="C4075" s="9" t="s">
        <v>564</v>
      </c>
      <c r="D4075" s="14" t="s">
        <v>7809</v>
      </c>
      <c r="E4075" s="9" t="s">
        <v>8</v>
      </c>
    </row>
    <row r="4076" spans="1:5" ht="15" customHeight="1" outlineLevel="2" x14ac:dyDescent="0.25">
      <c r="A4076" s="3" t="str">
        <f>HYPERLINK("http://mystore1.ru/price_items/search?utf8=%E2%9C%93&amp;oem=7029AGSHV","7029AGSHV")</f>
        <v>7029AGSHV</v>
      </c>
      <c r="B4076" s="1" t="s">
        <v>7810</v>
      </c>
      <c r="C4076" s="9" t="s">
        <v>564</v>
      </c>
      <c r="D4076" s="14" t="s">
        <v>7811</v>
      </c>
      <c r="E4076" s="9" t="s">
        <v>8</v>
      </c>
    </row>
    <row r="4077" spans="1:5" ht="15" customHeight="1" outlineLevel="2" x14ac:dyDescent="0.25">
      <c r="A4077" s="3" t="str">
        <f>HYPERLINK("http://mystore1.ru/price_items/search?utf8=%E2%9C%93&amp;oem=7029BGSRBW","7029BGSRBW")</f>
        <v>7029BGSRBW</v>
      </c>
      <c r="B4077" s="1" t="s">
        <v>7812</v>
      </c>
      <c r="C4077" s="9" t="s">
        <v>564</v>
      </c>
      <c r="D4077" s="14" t="s">
        <v>7813</v>
      </c>
      <c r="E4077" s="9" t="s">
        <v>30</v>
      </c>
    </row>
    <row r="4078" spans="1:5" ht="15" customHeight="1" outlineLevel="2" x14ac:dyDescent="0.25">
      <c r="A4078" s="3" t="str">
        <f>HYPERLINK("http://mystore1.ru/price_items/search?utf8=%E2%9C%93&amp;oem=7029LGSR5FD","7029LGSR5FD")</f>
        <v>7029LGSR5FD</v>
      </c>
      <c r="B4078" s="1" t="s">
        <v>7814</v>
      </c>
      <c r="C4078" s="9" t="s">
        <v>564</v>
      </c>
      <c r="D4078" s="14" t="s">
        <v>7815</v>
      </c>
      <c r="E4078" s="9" t="s">
        <v>11</v>
      </c>
    </row>
    <row r="4079" spans="1:5" ht="15" customHeight="1" outlineLevel="2" x14ac:dyDescent="0.25">
      <c r="A4079" s="3" t="str">
        <f>HYPERLINK("http://mystore1.ru/price_items/search?utf8=%E2%9C%93&amp;oem=7029LGSR5RD","7029LGSR5RD")</f>
        <v>7029LGSR5RD</v>
      </c>
      <c r="B4079" s="1" t="s">
        <v>7816</v>
      </c>
      <c r="C4079" s="9" t="s">
        <v>564</v>
      </c>
      <c r="D4079" s="14" t="s">
        <v>7817</v>
      </c>
      <c r="E4079" s="9" t="s">
        <v>11</v>
      </c>
    </row>
    <row r="4080" spans="1:5" ht="15" customHeight="1" outlineLevel="2" x14ac:dyDescent="0.25">
      <c r="A4080" s="3" t="str">
        <f>HYPERLINK("http://mystore1.ru/price_items/search?utf8=%E2%9C%93&amp;oem=7029RGSR5FD","7029RGSR5FD")</f>
        <v>7029RGSR5FD</v>
      </c>
      <c r="B4080" s="1" t="s">
        <v>7818</v>
      </c>
      <c r="C4080" s="9" t="s">
        <v>564</v>
      </c>
      <c r="D4080" s="14" t="s">
        <v>7819</v>
      </c>
      <c r="E4080" s="9" t="s">
        <v>11</v>
      </c>
    </row>
    <row r="4081" spans="1:5" ht="15" customHeight="1" outlineLevel="2" x14ac:dyDescent="0.25">
      <c r="A4081" s="3" t="str">
        <f>HYPERLINK("http://mystore1.ru/price_items/search?utf8=%E2%9C%93&amp;oem=7029RGSR5RD","7029RGSR5RD")</f>
        <v>7029RGSR5RD</v>
      </c>
      <c r="B4081" s="1" t="s">
        <v>7820</v>
      </c>
      <c r="C4081" s="9" t="s">
        <v>564</v>
      </c>
      <c r="D4081" s="14" t="s">
        <v>7821</v>
      </c>
      <c r="E4081" s="9" t="s">
        <v>11</v>
      </c>
    </row>
    <row r="4082" spans="1:5" ht="15" customHeight="1" outlineLevel="2" x14ac:dyDescent="0.25">
      <c r="A4082" s="3" t="str">
        <f>HYPERLINK("http://mystore1.ru/price_items/search?utf8=%E2%9C%93&amp;oem=7029RGSR5RV","7029RGSR5RV")</f>
        <v>7029RGSR5RV</v>
      </c>
      <c r="B4082" s="1" t="s">
        <v>7822</v>
      </c>
      <c r="C4082" s="9" t="s">
        <v>564</v>
      </c>
      <c r="D4082" s="14" t="s">
        <v>7823</v>
      </c>
      <c r="E4082" s="9" t="s">
        <v>11</v>
      </c>
    </row>
    <row r="4083" spans="1:5" outlineLevel="1" x14ac:dyDescent="0.25">
      <c r="A4083" s="2"/>
      <c r="B4083" s="6" t="s">
        <v>7824</v>
      </c>
      <c r="C4083" s="8"/>
      <c r="D4083" s="8"/>
      <c r="E4083" s="8"/>
    </row>
    <row r="4084" spans="1:5" ht="15" customHeight="1" outlineLevel="2" x14ac:dyDescent="0.25">
      <c r="A4084" s="3" t="str">
        <f>HYPERLINK("http://mystore1.ru/price_items/search?utf8=%E2%9C%93&amp;oem=7032AGSHMVW1P","7032AGSHMVW1P")</f>
        <v>7032AGSHMVW1P</v>
      </c>
      <c r="B4084" s="1" t="s">
        <v>7825</v>
      </c>
      <c r="C4084" s="9" t="s">
        <v>6238</v>
      </c>
      <c r="D4084" s="14" t="s">
        <v>7826</v>
      </c>
      <c r="E4084" s="9" t="s">
        <v>8</v>
      </c>
    </row>
    <row r="4085" spans="1:5" ht="15" customHeight="1" outlineLevel="2" x14ac:dyDescent="0.25">
      <c r="A4085" s="3" t="str">
        <f>HYPERLINK("http://mystore1.ru/price_items/search?utf8=%E2%9C%93&amp;oem=7032AGSHMVW6T","7032AGSHMVW6T")</f>
        <v>7032AGSHMVW6T</v>
      </c>
      <c r="B4085" s="1" t="s">
        <v>7827</v>
      </c>
      <c r="C4085" s="9" t="s">
        <v>6238</v>
      </c>
      <c r="D4085" s="14" t="s">
        <v>7828</v>
      </c>
      <c r="E4085" s="9" t="s">
        <v>8</v>
      </c>
    </row>
    <row r="4086" spans="1:5" ht="15" customHeight="1" outlineLevel="2" x14ac:dyDescent="0.25">
      <c r="A4086" s="3" t="str">
        <f>HYPERLINK("http://mystore1.ru/price_items/search?utf8=%E2%9C%93&amp;oem=7032AGSHVW","7032AGSHVW")</f>
        <v>7032AGSHVW</v>
      </c>
      <c r="B4086" s="1" t="s">
        <v>7829</v>
      </c>
      <c r="C4086" s="9" t="s">
        <v>6238</v>
      </c>
      <c r="D4086" s="14" t="s">
        <v>7830</v>
      </c>
      <c r="E4086" s="9" t="s">
        <v>8</v>
      </c>
    </row>
    <row r="4087" spans="1:5" ht="15" customHeight="1" outlineLevel="2" x14ac:dyDescent="0.25">
      <c r="A4087" s="3" t="str">
        <f>HYPERLINK("http://mystore1.ru/price_items/search?utf8=%E2%9C%93&amp;oem=7032AGSMVW1P","7032AGSMVW1P")</f>
        <v>7032AGSMVW1P</v>
      </c>
      <c r="B4087" s="1" t="s">
        <v>7831</v>
      </c>
      <c r="C4087" s="9" t="s">
        <v>6238</v>
      </c>
      <c r="D4087" s="14" t="s">
        <v>7832</v>
      </c>
      <c r="E4087" s="9" t="s">
        <v>8</v>
      </c>
    </row>
    <row r="4088" spans="1:5" ht="15" customHeight="1" outlineLevel="2" x14ac:dyDescent="0.25">
      <c r="A4088" s="3" t="str">
        <f>HYPERLINK("http://mystore1.ru/price_items/search?utf8=%E2%9C%93&amp;oem=7032AGSVW","7032AGSVW")</f>
        <v>7032AGSVW</v>
      </c>
      <c r="B4088" s="1" t="s">
        <v>7833</v>
      </c>
      <c r="C4088" s="9" t="s">
        <v>6238</v>
      </c>
      <c r="D4088" s="14" t="s">
        <v>7834</v>
      </c>
      <c r="E4088" s="9" t="s">
        <v>8</v>
      </c>
    </row>
    <row r="4089" spans="1:5" ht="15" customHeight="1" outlineLevel="2" x14ac:dyDescent="0.25">
      <c r="A4089" s="3" t="str">
        <f>HYPERLINK("http://mystore1.ru/price_items/search?utf8=%E2%9C%93&amp;oem=7032BGSRAW","7032BGSRAW")</f>
        <v>7032BGSRAW</v>
      </c>
      <c r="B4089" s="1" t="s">
        <v>7835</v>
      </c>
      <c r="C4089" s="9" t="s">
        <v>25</v>
      </c>
      <c r="D4089" s="14" t="s">
        <v>7836</v>
      </c>
      <c r="E4089" s="9" t="s">
        <v>30</v>
      </c>
    </row>
    <row r="4090" spans="1:5" ht="15" customHeight="1" outlineLevel="2" x14ac:dyDescent="0.25">
      <c r="A4090" s="3" t="str">
        <f>HYPERLINK("http://mystore1.ru/price_items/search?utf8=%E2%9C%93&amp;oem=7032LGPR5RDW","7032LGPR5RDW")</f>
        <v>7032LGPR5RDW</v>
      </c>
      <c r="B4090" s="1" t="s">
        <v>7837</v>
      </c>
      <c r="C4090" s="9" t="s">
        <v>6238</v>
      </c>
      <c r="D4090" s="14" t="s">
        <v>7838</v>
      </c>
      <c r="E4090" s="9" t="s">
        <v>11</v>
      </c>
    </row>
    <row r="4091" spans="1:5" ht="15" customHeight="1" outlineLevel="2" x14ac:dyDescent="0.25">
      <c r="A4091" s="3" t="str">
        <f>HYPERLINK("http://mystore1.ru/price_items/search?utf8=%E2%9C%93&amp;oem=7032LGPR5RQAJ","7032LGPR5RQAJ")</f>
        <v>7032LGPR5RQAJ</v>
      </c>
      <c r="B4091" s="1" t="s">
        <v>7839</v>
      </c>
      <c r="C4091" s="9" t="s">
        <v>6238</v>
      </c>
      <c r="D4091" s="14" t="s">
        <v>7840</v>
      </c>
      <c r="E4091" s="9" t="s">
        <v>11</v>
      </c>
    </row>
    <row r="4092" spans="1:5" ht="15" customHeight="1" outlineLevel="2" x14ac:dyDescent="0.25">
      <c r="A4092" s="3" t="str">
        <f>HYPERLINK("http://mystore1.ru/price_items/search?utf8=%E2%9C%93&amp;oem=7032LGSR5FDW1K","7032LGSR5FDW1K")</f>
        <v>7032LGSR5FDW1K</v>
      </c>
      <c r="B4092" s="1" t="s">
        <v>7841</v>
      </c>
      <c r="C4092" s="9" t="s">
        <v>6238</v>
      </c>
      <c r="D4092" s="14" t="s">
        <v>7842</v>
      </c>
      <c r="E4092" s="9" t="s">
        <v>11</v>
      </c>
    </row>
    <row r="4093" spans="1:5" ht="15" customHeight="1" outlineLevel="2" x14ac:dyDescent="0.25">
      <c r="A4093" s="3" t="str">
        <f>HYPERLINK("http://mystore1.ru/price_items/search?utf8=%E2%9C%93&amp;oem=7032LGSR5RDW","7032LGSR5RDW")</f>
        <v>7032LGSR5RDW</v>
      </c>
      <c r="B4093" s="1" t="s">
        <v>7843</v>
      </c>
      <c r="C4093" s="9" t="s">
        <v>6238</v>
      </c>
      <c r="D4093" s="14" t="s">
        <v>7844</v>
      </c>
      <c r="E4093" s="9" t="s">
        <v>11</v>
      </c>
    </row>
    <row r="4094" spans="1:5" ht="15" customHeight="1" outlineLevel="2" x14ac:dyDescent="0.25">
      <c r="A4094" s="3" t="str">
        <f>HYPERLINK("http://mystore1.ru/price_items/search?utf8=%E2%9C%93&amp;oem=7032LGSR5RQ","7032LGSR5RQ")</f>
        <v>7032LGSR5RQ</v>
      </c>
      <c r="B4094" s="1" t="s">
        <v>7845</v>
      </c>
      <c r="C4094" s="9" t="s">
        <v>6238</v>
      </c>
      <c r="D4094" s="14" t="s">
        <v>7846</v>
      </c>
      <c r="E4094" s="9" t="s">
        <v>11</v>
      </c>
    </row>
    <row r="4095" spans="1:5" ht="15" customHeight="1" outlineLevel="2" x14ac:dyDescent="0.25">
      <c r="A4095" s="3" t="str">
        <f>HYPERLINK("http://mystore1.ru/price_items/search?utf8=%E2%9C%93&amp;oem=7032LGSR5RQAJ","7032LGSR5RQAJ")</f>
        <v>7032LGSR5RQAJ</v>
      </c>
      <c r="B4095" s="1" t="s">
        <v>7847</v>
      </c>
      <c r="C4095" s="9" t="s">
        <v>6238</v>
      </c>
      <c r="D4095" s="14" t="s">
        <v>7848</v>
      </c>
      <c r="E4095" s="9" t="s">
        <v>11</v>
      </c>
    </row>
    <row r="4096" spans="1:5" ht="15" customHeight="1" outlineLevel="2" x14ac:dyDescent="0.25">
      <c r="A4096" s="3" t="str">
        <f>HYPERLINK("http://mystore1.ru/price_items/search?utf8=%E2%9C%93&amp;oem=7032RGPR5RQAJ1F","7032RGPR5RQAJ1F")</f>
        <v>7032RGPR5RQAJ1F</v>
      </c>
      <c r="B4096" s="1" t="s">
        <v>7849</v>
      </c>
      <c r="C4096" s="9" t="s">
        <v>6238</v>
      </c>
      <c r="D4096" s="14" t="s">
        <v>7850</v>
      </c>
      <c r="E4096" s="9" t="s">
        <v>11</v>
      </c>
    </row>
    <row r="4097" spans="1:5" ht="15" customHeight="1" outlineLevel="2" x14ac:dyDescent="0.25">
      <c r="A4097" s="3" t="str">
        <f>HYPERLINK("http://mystore1.ru/price_items/search?utf8=%E2%9C%93&amp;oem=7032RGSR5FDW1K","7032RGSR5FDW1K")</f>
        <v>7032RGSR5FDW1K</v>
      </c>
      <c r="B4097" s="1" t="s">
        <v>7851</v>
      </c>
      <c r="C4097" s="9" t="s">
        <v>6238</v>
      </c>
      <c r="D4097" s="14" t="s">
        <v>7852</v>
      </c>
      <c r="E4097" s="9" t="s">
        <v>11</v>
      </c>
    </row>
    <row r="4098" spans="1:5" ht="15" customHeight="1" outlineLevel="2" x14ac:dyDescent="0.25">
      <c r="A4098" s="3" t="str">
        <f>HYPERLINK("http://mystore1.ru/price_items/search?utf8=%E2%9C%93&amp;oem=7032RGSR5RDW","7032RGSR5RDW")</f>
        <v>7032RGSR5RDW</v>
      </c>
      <c r="B4098" s="1" t="s">
        <v>7853</v>
      </c>
      <c r="C4098" s="9" t="s">
        <v>6238</v>
      </c>
      <c r="D4098" s="14" t="s">
        <v>7854</v>
      </c>
      <c r="E4098" s="9" t="s">
        <v>11</v>
      </c>
    </row>
    <row r="4099" spans="1:5" ht="15" customHeight="1" outlineLevel="2" x14ac:dyDescent="0.25">
      <c r="A4099" s="3" t="str">
        <f>HYPERLINK("http://mystore1.ru/price_items/search?utf8=%E2%9C%93&amp;oem=7032RGSR5RQA","7032RGSR5RQA")</f>
        <v>7032RGSR5RQA</v>
      </c>
      <c r="B4099" s="1" t="s">
        <v>7855</v>
      </c>
      <c r="C4099" s="9" t="s">
        <v>6238</v>
      </c>
      <c r="D4099" s="14" t="s">
        <v>7856</v>
      </c>
      <c r="E4099" s="9" t="s">
        <v>11</v>
      </c>
    </row>
    <row r="4100" spans="1:5" ht="15" customHeight="1" outlineLevel="2" x14ac:dyDescent="0.25">
      <c r="A4100" s="3" t="str">
        <f>HYPERLINK("http://mystore1.ru/price_items/search?utf8=%E2%9C%93&amp;oem=7032RGSR5RQAJ1F","7032RGSR5RQAJ1F")</f>
        <v>7032RGSR5RQAJ1F</v>
      </c>
      <c r="B4100" s="1" t="s">
        <v>7857</v>
      </c>
      <c r="C4100" s="9" t="s">
        <v>6238</v>
      </c>
      <c r="D4100" s="14" t="s">
        <v>7858</v>
      </c>
      <c r="E4100" s="9" t="s">
        <v>11</v>
      </c>
    </row>
    <row r="4101" spans="1:5" outlineLevel="1" x14ac:dyDescent="0.25">
      <c r="A4101" s="2"/>
      <c r="B4101" s="6" t="s">
        <v>7859</v>
      </c>
      <c r="C4101" s="8"/>
      <c r="D4101" s="8"/>
      <c r="E4101" s="8"/>
    </row>
    <row r="4102" spans="1:5" ht="15" customHeight="1" outlineLevel="2" x14ac:dyDescent="0.25">
      <c r="A4102" s="3" t="str">
        <f>HYPERLINK("http://mystore1.ru/price_items/search?utf8=%E2%9C%93&amp;oem=7028AGSHVW","7028AGSHVW")</f>
        <v>7028AGSHVW</v>
      </c>
      <c r="B4102" s="1" t="s">
        <v>7860</v>
      </c>
      <c r="C4102" s="9" t="s">
        <v>3575</v>
      </c>
      <c r="D4102" s="14" t="s">
        <v>7861</v>
      </c>
      <c r="E4102" s="9" t="s">
        <v>8</v>
      </c>
    </row>
    <row r="4103" spans="1:5" ht="15" customHeight="1" outlineLevel="2" x14ac:dyDescent="0.25">
      <c r="A4103" s="3" t="str">
        <f>HYPERLINK("http://mystore1.ru/price_items/search?utf8=%E2%9C%93&amp;oem=7028AGSVW","7028AGSVW")</f>
        <v>7028AGSVW</v>
      </c>
      <c r="B4103" s="1" t="s">
        <v>7862</v>
      </c>
      <c r="C4103" s="9" t="s">
        <v>3575</v>
      </c>
      <c r="D4103" s="14" t="s">
        <v>7863</v>
      </c>
      <c r="E4103" s="9" t="s">
        <v>8</v>
      </c>
    </row>
    <row r="4104" spans="1:5" ht="15" customHeight="1" outlineLevel="2" x14ac:dyDescent="0.25">
      <c r="A4104" s="3" t="str">
        <f>HYPERLINK("http://mystore1.ru/price_items/search?utf8=%E2%9C%93&amp;oem=7028ASMR","7028ASMR")</f>
        <v>7028ASMR</v>
      </c>
      <c r="B4104" s="1" t="s">
        <v>7864</v>
      </c>
      <c r="C4104" s="9" t="s">
        <v>25</v>
      </c>
      <c r="D4104" s="14" t="s">
        <v>7865</v>
      </c>
      <c r="E4104" s="9" t="s">
        <v>27</v>
      </c>
    </row>
    <row r="4105" spans="1:5" ht="15" customHeight="1" outlineLevel="2" x14ac:dyDescent="0.25">
      <c r="A4105" s="3" t="str">
        <f>HYPERLINK("http://mystore1.ru/price_items/search?utf8=%E2%9C%93&amp;oem=7028BGSR","7028BGSR")</f>
        <v>7028BGSR</v>
      </c>
      <c r="B4105" s="1" t="s">
        <v>7866</v>
      </c>
      <c r="C4105" s="9" t="s">
        <v>3575</v>
      </c>
      <c r="D4105" s="14" t="s">
        <v>7867</v>
      </c>
      <c r="E4105" s="9" t="s">
        <v>30</v>
      </c>
    </row>
    <row r="4106" spans="1:5" ht="15" customHeight="1" outlineLevel="2" x14ac:dyDescent="0.25">
      <c r="A4106" s="3" t="str">
        <f>HYPERLINK("http://mystore1.ru/price_items/search?utf8=%E2%9C%93&amp;oem=7028BGSR1E","7028BGSR1E")</f>
        <v>7028BGSR1E</v>
      </c>
      <c r="B4106" s="1" t="s">
        <v>7868</v>
      </c>
      <c r="C4106" s="9" t="s">
        <v>956</v>
      </c>
      <c r="D4106" s="14" t="s">
        <v>7869</v>
      </c>
      <c r="E4106" s="9" t="s">
        <v>30</v>
      </c>
    </row>
    <row r="4107" spans="1:5" ht="15" customHeight="1" outlineLevel="2" x14ac:dyDescent="0.25">
      <c r="A4107" s="3" t="str">
        <f>HYPERLINK("http://mystore1.ru/price_items/search?utf8=%E2%9C%93&amp;oem=7028LGSR3FD1M","7028LGSR3FD1M")</f>
        <v>7028LGSR3FD1M</v>
      </c>
      <c r="B4107" s="1" t="s">
        <v>7870</v>
      </c>
      <c r="C4107" s="9" t="s">
        <v>3575</v>
      </c>
      <c r="D4107" s="14" t="s">
        <v>7871</v>
      </c>
      <c r="E4107" s="9" t="s">
        <v>11</v>
      </c>
    </row>
    <row r="4108" spans="1:5" ht="15" customHeight="1" outlineLevel="2" x14ac:dyDescent="0.25">
      <c r="A4108" s="3" t="str">
        <f>HYPERLINK("http://mystore1.ru/price_items/search?utf8=%E2%9C%93&amp;oem=7028LGSR3RQO","7028LGSR3RQO")</f>
        <v>7028LGSR3RQO</v>
      </c>
      <c r="B4108" s="1" t="s">
        <v>7872</v>
      </c>
      <c r="C4108" s="9" t="s">
        <v>1496</v>
      </c>
      <c r="D4108" s="14" t="s">
        <v>7873</v>
      </c>
      <c r="E4108" s="9" t="s">
        <v>11</v>
      </c>
    </row>
    <row r="4109" spans="1:5" ht="15" customHeight="1" outlineLevel="2" x14ac:dyDescent="0.25">
      <c r="A4109" s="3" t="str">
        <f>HYPERLINK("http://mystore1.ru/price_items/search?utf8=%E2%9C%93&amp;oem=7028LGSR5FD1M","7028LGSR5FD1M")</f>
        <v>7028LGSR5FD1M</v>
      </c>
      <c r="B4109" s="1" t="s">
        <v>7874</v>
      </c>
      <c r="C4109" s="9" t="s">
        <v>3575</v>
      </c>
      <c r="D4109" s="14" t="s">
        <v>7871</v>
      </c>
      <c r="E4109" s="9" t="s">
        <v>11</v>
      </c>
    </row>
    <row r="4110" spans="1:5" ht="15" customHeight="1" outlineLevel="2" x14ac:dyDescent="0.25">
      <c r="A4110" s="3" t="str">
        <f>HYPERLINK("http://mystore1.ru/price_items/search?utf8=%E2%9C%93&amp;oem=7028LGSR5RD","7028LGSR5RD")</f>
        <v>7028LGSR5RD</v>
      </c>
      <c r="B4110" s="1" t="s">
        <v>7875</v>
      </c>
      <c r="C4110" s="9" t="s">
        <v>3575</v>
      </c>
      <c r="D4110" s="14" t="s">
        <v>7876</v>
      </c>
      <c r="E4110" s="9" t="s">
        <v>11</v>
      </c>
    </row>
    <row r="4111" spans="1:5" ht="15" customHeight="1" outlineLevel="2" x14ac:dyDescent="0.25">
      <c r="A4111" s="3" t="str">
        <f>HYPERLINK("http://mystore1.ru/price_items/search?utf8=%E2%9C%93&amp;oem=7028LGSR5RQ","7028LGSR5RQ")</f>
        <v>7028LGSR5RQ</v>
      </c>
      <c r="B4111" s="1" t="s">
        <v>7877</v>
      </c>
      <c r="C4111" s="9" t="s">
        <v>3575</v>
      </c>
      <c r="D4111" s="14" t="s">
        <v>7878</v>
      </c>
      <c r="E4111" s="9" t="s">
        <v>11</v>
      </c>
    </row>
    <row r="4112" spans="1:5" ht="15" customHeight="1" outlineLevel="2" x14ac:dyDescent="0.25">
      <c r="A4112" s="3" t="str">
        <f>HYPERLINK("http://mystore1.ru/price_items/search?utf8=%E2%9C%93&amp;oem=7028RGSR3FD1M","7028RGSR3FD1M")</f>
        <v>7028RGSR3FD1M</v>
      </c>
      <c r="B4112" s="1" t="s">
        <v>7879</v>
      </c>
      <c r="C4112" s="9" t="s">
        <v>3575</v>
      </c>
      <c r="D4112" s="14" t="s">
        <v>7880</v>
      </c>
      <c r="E4112" s="9" t="s">
        <v>11</v>
      </c>
    </row>
    <row r="4113" spans="1:5" ht="15" customHeight="1" outlineLevel="2" x14ac:dyDescent="0.25">
      <c r="A4113" s="3" t="str">
        <f>HYPERLINK("http://mystore1.ru/price_items/search?utf8=%E2%9C%93&amp;oem=7028RGSR3RQ","7028RGSR3RQ")</f>
        <v>7028RGSR3RQ</v>
      </c>
      <c r="B4113" s="1" t="s">
        <v>7881</v>
      </c>
      <c r="C4113" s="9" t="s">
        <v>3575</v>
      </c>
      <c r="D4113" s="14" t="s">
        <v>7882</v>
      </c>
      <c r="E4113" s="9" t="s">
        <v>11</v>
      </c>
    </row>
    <row r="4114" spans="1:5" ht="15" customHeight="1" outlineLevel="2" x14ac:dyDescent="0.25">
      <c r="A4114" s="3" t="str">
        <f>HYPERLINK("http://mystore1.ru/price_items/search?utf8=%E2%9C%93&amp;oem=7028RGSR3RQO","7028RGSR3RQO")</f>
        <v>7028RGSR3RQO</v>
      </c>
      <c r="B4114" s="1" t="s">
        <v>7883</v>
      </c>
      <c r="C4114" s="9" t="s">
        <v>1496</v>
      </c>
      <c r="D4114" s="14" t="s">
        <v>7884</v>
      </c>
      <c r="E4114" s="9" t="s">
        <v>11</v>
      </c>
    </row>
    <row r="4115" spans="1:5" ht="15" customHeight="1" outlineLevel="2" x14ac:dyDescent="0.25">
      <c r="A4115" s="3" t="str">
        <f>HYPERLINK("http://mystore1.ru/price_items/search?utf8=%E2%9C%93&amp;oem=7028RGSR5FD1M","7028RGSR5FD1M")</f>
        <v>7028RGSR5FD1M</v>
      </c>
      <c r="B4115" s="1" t="s">
        <v>7885</v>
      </c>
      <c r="C4115" s="9" t="s">
        <v>3575</v>
      </c>
      <c r="D4115" s="14" t="s">
        <v>7880</v>
      </c>
      <c r="E4115" s="9" t="s">
        <v>11</v>
      </c>
    </row>
    <row r="4116" spans="1:5" ht="15" customHeight="1" outlineLevel="2" x14ac:dyDescent="0.25">
      <c r="A4116" s="3" t="str">
        <f>HYPERLINK("http://mystore1.ru/price_items/search?utf8=%E2%9C%93&amp;oem=7028RGSR5RD","7028RGSR5RD")</f>
        <v>7028RGSR5RD</v>
      </c>
      <c r="B4116" s="1" t="s">
        <v>7886</v>
      </c>
      <c r="C4116" s="9" t="s">
        <v>3575</v>
      </c>
      <c r="D4116" s="14" t="s">
        <v>7887</v>
      </c>
      <c r="E4116" s="9" t="s">
        <v>11</v>
      </c>
    </row>
    <row r="4117" spans="1:5" ht="15" customHeight="1" outlineLevel="2" x14ac:dyDescent="0.25">
      <c r="A4117" s="3" t="str">
        <f>HYPERLINK("http://mystore1.ru/price_items/search?utf8=%E2%9C%93&amp;oem=7028RGSR5RQ","7028RGSR5RQ")</f>
        <v>7028RGSR5RQ</v>
      </c>
      <c r="B4117" s="1" t="s">
        <v>7888</v>
      </c>
      <c r="C4117" s="9" t="s">
        <v>3575</v>
      </c>
      <c r="D4117" s="14" t="s">
        <v>7889</v>
      </c>
      <c r="E4117" s="9" t="s">
        <v>11</v>
      </c>
    </row>
    <row r="4118" spans="1:5" outlineLevel="1" x14ac:dyDescent="0.25">
      <c r="A4118" s="2"/>
      <c r="B4118" s="6" t="s">
        <v>7890</v>
      </c>
      <c r="C4118" s="8"/>
      <c r="D4118" s="8"/>
      <c r="E4118" s="8"/>
    </row>
    <row r="4119" spans="1:5" outlineLevel="2" x14ac:dyDescent="0.25">
      <c r="A4119" s="3" t="str">
        <f>HYPERLINK("http://mystore1.ru/price_items/search?utf8=%E2%9C%93&amp;oem=7038AGSHMVW","7038AGSHMVW")</f>
        <v>7038AGSHMVW</v>
      </c>
      <c r="B4119" s="1" t="s">
        <v>7891</v>
      </c>
      <c r="C4119" s="9" t="s">
        <v>687</v>
      </c>
      <c r="D4119" s="14" t="s">
        <v>7892</v>
      </c>
      <c r="E4119" s="9" t="s">
        <v>8</v>
      </c>
    </row>
    <row r="4120" spans="1:5" outlineLevel="2" x14ac:dyDescent="0.25">
      <c r="A4120" s="3" t="str">
        <f>HYPERLINK("http://mystore1.ru/price_items/search?utf8=%E2%9C%93&amp;oem=7038AGSMVW","7038AGSMVW")</f>
        <v>7038AGSMVW</v>
      </c>
      <c r="B4120" s="1" t="s">
        <v>7893</v>
      </c>
      <c r="C4120" s="9" t="s">
        <v>687</v>
      </c>
      <c r="D4120" s="14" t="s">
        <v>7894</v>
      </c>
      <c r="E4120" s="9" t="s">
        <v>8</v>
      </c>
    </row>
    <row r="4121" spans="1:5" outlineLevel="2" x14ac:dyDescent="0.25">
      <c r="A4121" s="3" t="str">
        <f>HYPERLINK("http://mystore1.ru/price_items/search?utf8=%E2%9C%93&amp;oem=7038LGSR5FD","7038LGSR5FD")</f>
        <v>7038LGSR5FD</v>
      </c>
      <c r="B4121" s="1" t="s">
        <v>7895</v>
      </c>
      <c r="C4121" s="9" t="s">
        <v>687</v>
      </c>
      <c r="D4121" s="14" t="s">
        <v>7896</v>
      </c>
      <c r="E4121" s="9" t="s">
        <v>11</v>
      </c>
    </row>
    <row r="4122" spans="1:5" outlineLevel="2" x14ac:dyDescent="0.25">
      <c r="A4122" s="3" t="str">
        <f>HYPERLINK("http://mystore1.ru/price_items/search?utf8=%E2%9C%93&amp;oem=7038LGSR5RD","7038LGSR5RD")</f>
        <v>7038LGSR5RD</v>
      </c>
      <c r="B4122" s="1" t="s">
        <v>7897</v>
      </c>
      <c r="C4122" s="9" t="s">
        <v>687</v>
      </c>
      <c r="D4122" s="14" t="s">
        <v>7898</v>
      </c>
      <c r="E4122" s="9" t="s">
        <v>11</v>
      </c>
    </row>
    <row r="4123" spans="1:5" outlineLevel="2" x14ac:dyDescent="0.25">
      <c r="A4123" s="3" t="str">
        <f>HYPERLINK("http://mystore1.ru/price_items/search?utf8=%E2%9C%93&amp;oem=7038RGSR5FD","7038RGSR5FD")</f>
        <v>7038RGSR5FD</v>
      </c>
      <c r="B4123" s="1" t="s">
        <v>7899</v>
      </c>
      <c r="C4123" s="9" t="s">
        <v>687</v>
      </c>
      <c r="D4123" s="14" t="s">
        <v>7900</v>
      </c>
      <c r="E4123" s="9" t="s">
        <v>11</v>
      </c>
    </row>
    <row r="4124" spans="1:5" outlineLevel="2" x14ac:dyDescent="0.25">
      <c r="A4124" s="3" t="str">
        <f>HYPERLINK("http://mystore1.ru/price_items/search?utf8=%E2%9C%93&amp;oem=7038RGSR5RD","7038RGSR5RD")</f>
        <v>7038RGSR5RD</v>
      </c>
      <c r="B4124" s="1" t="s">
        <v>7901</v>
      </c>
      <c r="C4124" s="9" t="s">
        <v>687</v>
      </c>
      <c r="D4124" s="14" t="s">
        <v>7902</v>
      </c>
      <c r="E4124" s="9" t="s">
        <v>11</v>
      </c>
    </row>
    <row r="4125" spans="1:5" x14ac:dyDescent="0.25">
      <c r="A4125" s="61" t="s">
        <v>7903</v>
      </c>
      <c r="B4125" s="61"/>
      <c r="C4125" s="61"/>
      <c r="D4125" s="61"/>
      <c r="E4125" s="61"/>
    </row>
    <row r="4126" spans="1:5" outlineLevel="1" x14ac:dyDescent="0.25">
      <c r="A4126" s="2"/>
      <c r="B4126" s="6" t="s">
        <v>7904</v>
      </c>
      <c r="C4126" s="8"/>
      <c r="D4126" s="8"/>
      <c r="E4126" s="8"/>
    </row>
    <row r="4127" spans="1:5" ht="15" customHeight="1" outlineLevel="2" x14ac:dyDescent="0.25">
      <c r="A4127" s="3" t="str">
        <f>HYPERLINK("http://mystore1.ru/price_items/search?utf8=%E2%9C%93&amp;oem=7036AGSHMVW1B","7036AGSHMVW1B")</f>
        <v>7036AGSHMVW1B</v>
      </c>
      <c r="B4127" s="1" t="s">
        <v>7905</v>
      </c>
      <c r="C4127" s="9" t="s">
        <v>7906</v>
      </c>
      <c r="D4127" s="14" t="s">
        <v>7907</v>
      </c>
      <c r="E4127" s="9" t="s">
        <v>8</v>
      </c>
    </row>
    <row r="4128" spans="1:5" ht="15" customHeight="1" outlineLevel="2" x14ac:dyDescent="0.25">
      <c r="A4128" s="3" t="str">
        <f>HYPERLINK("http://mystore1.ru/price_items/search?utf8=%E2%9C%93&amp;oem=7036AGSHVW","7036AGSHVW")</f>
        <v>7036AGSHVW</v>
      </c>
      <c r="B4128" s="1" t="s">
        <v>7908</v>
      </c>
      <c r="C4128" s="9" t="s">
        <v>7906</v>
      </c>
      <c r="D4128" s="14" t="s">
        <v>7909</v>
      </c>
      <c r="E4128" s="9" t="s">
        <v>8</v>
      </c>
    </row>
    <row r="4129" spans="1:5" ht="15" customHeight="1" outlineLevel="2" x14ac:dyDescent="0.25">
      <c r="A4129" s="3" t="str">
        <f>HYPERLINK("http://mystore1.ru/price_items/search?utf8=%E2%9C%93&amp;oem=7036AGSMVW1B","7036AGSMVW1B")</f>
        <v>7036AGSMVW1B</v>
      </c>
      <c r="B4129" s="1" t="s">
        <v>7910</v>
      </c>
      <c r="C4129" s="9" t="s">
        <v>7906</v>
      </c>
      <c r="D4129" s="14" t="s">
        <v>7911</v>
      </c>
      <c r="E4129" s="9" t="s">
        <v>8</v>
      </c>
    </row>
    <row r="4130" spans="1:5" ht="15" customHeight="1" outlineLevel="2" x14ac:dyDescent="0.25">
      <c r="A4130" s="3" t="str">
        <f>HYPERLINK("http://mystore1.ru/price_items/search?utf8=%E2%9C%93&amp;oem=7036AGSVW","7036AGSVW")</f>
        <v>7036AGSVW</v>
      </c>
      <c r="B4130" s="1" t="s">
        <v>7912</v>
      </c>
      <c r="C4130" s="9" t="s">
        <v>7906</v>
      </c>
      <c r="D4130" s="14" t="s">
        <v>7913</v>
      </c>
      <c r="E4130" s="9" t="s">
        <v>8</v>
      </c>
    </row>
    <row r="4131" spans="1:5" ht="15" customHeight="1" outlineLevel="2" x14ac:dyDescent="0.25">
      <c r="A4131" s="3" t="str">
        <f>HYPERLINK("http://mystore1.ru/price_items/search?utf8=%E2%9C%93&amp;oem=7036LGPR5RDW","7036LGPR5RDW")</f>
        <v>7036LGPR5RDW</v>
      </c>
      <c r="B4131" s="1" t="s">
        <v>7914</v>
      </c>
      <c r="C4131" s="9" t="s">
        <v>7906</v>
      </c>
      <c r="D4131" s="14" t="s">
        <v>7915</v>
      </c>
      <c r="E4131" s="9" t="s">
        <v>11</v>
      </c>
    </row>
    <row r="4132" spans="1:5" ht="15" customHeight="1" outlineLevel="2" x14ac:dyDescent="0.25">
      <c r="A4132" s="3" t="str">
        <f>HYPERLINK("http://mystore1.ru/price_items/search?utf8=%E2%9C%93&amp;oem=7036LGSR5FDW","7036LGSR5FDW")</f>
        <v>7036LGSR5FDW</v>
      </c>
      <c r="B4132" s="1" t="s">
        <v>7916</v>
      </c>
      <c r="C4132" s="9" t="s">
        <v>7906</v>
      </c>
      <c r="D4132" s="14" t="s">
        <v>7917</v>
      </c>
      <c r="E4132" s="9" t="s">
        <v>11</v>
      </c>
    </row>
    <row r="4133" spans="1:5" ht="15" customHeight="1" outlineLevel="2" x14ac:dyDescent="0.25">
      <c r="A4133" s="3" t="str">
        <f>HYPERLINK("http://mystore1.ru/price_items/search?utf8=%E2%9C%93&amp;oem=7036LGSR5RDW","7036LGSR5RDW")</f>
        <v>7036LGSR5RDW</v>
      </c>
      <c r="B4133" s="1" t="s">
        <v>7918</v>
      </c>
      <c r="C4133" s="9" t="s">
        <v>7906</v>
      </c>
      <c r="D4133" s="14" t="s">
        <v>7915</v>
      </c>
      <c r="E4133" s="9" t="s">
        <v>11</v>
      </c>
    </row>
    <row r="4134" spans="1:5" ht="15" customHeight="1" outlineLevel="2" x14ac:dyDescent="0.25">
      <c r="A4134" s="3" t="str">
        <f>HYPERLINK("http://mystore1.ru/price_items/search?utf8=%E2%9C%93&amp;oem=7036RGPR5RDW","7036RGPR5RDW")</f>
        <v>7036RGPR5RDW</v>
      </c>
      <c r="B4134" s="1" t="s">
        <v>7919</v>
      </c>
      <c r="C4134" s="9" t="s">
        <v>7906</v>
      </c>
      <c r="D4134" s="14" t="s">
        <v>7920</v>
      </c>
      <c r="E4134" s="9" t="s">
        <v>11</v>
      </c>
    </row>
    <row r="4135" spans="1:5" ht="15" customHeight="1" outlineLevel="2" x14ac:dyDescent="0.25">
      <c r="A4135" s="3" t="str">
        <f>HYPERLINK("http://mystore1.ru/price_items/search?utf8=%E2%9C%93&amp;oem=7036RGSR5FDW","7036RGSR5FDW")</f>
        <v>7036RGSR5FDW</v>
      </c>
      <c r="B4135" s="1" t="s">
        <v>7921</v>
      </c>
      <c r="C4135" s="9" t="s">
        <v>7906</v>
      </c>
      <c r="D4135" s="14" t="s">
        <v>7922</v>
      </c>
      <c r="E4135" s="9" t="s">
        <v>11</v>
      </c>
    </row>
    <row r="4136" spans="1:5" ht="15" customHeight="1" outlineLevel="2" x14ac:dyDescent="0.25">
      <c r="A4136" s="3" t="str">
        <f>HYPERLINK("http://mystore1.ru/price_items/search?utf8=%E2%9C%93&amp;oem=7036RGSR5RDW","7036RGSR5RDW")</f>
        <v>7036RGSR5RDW</v>
      </c>
      <c r="B4136" s="1" t="s">
        <v>7923</v>
      </c>
      <c r="C4136" s="9" t="s">
        <v>7906</v>
      </c>
      <c r="D4136" s="14" t="s">
        <v>7924</v>
      </c>
      <c r="E4136" s="9" t="s">
        <v>11</v>
      </c>
    </row>
    <row r="4137" spans="1:5" outlineLevel="1" x14ac:dyDescent="0.25">
      <c r="A4137" s="2"/>
      <c r="B4137" s="6" t="s">
        <v>7925</v>
      </c>
      <c r="C4137" s="8"/>
      <c r="D4137" s="8"/>
      <c r="E4137" s="8"/>
    </row>
    <row r="4138" spans="1:5" ht="15" customHeight="1" outlineLevel="2" x14ac:dyDescent="0.25">
      <c r="A4138" s="3" t="str">
        <f>HYPERLINK("http://mystore1.ru/price_items/search?utf8=%E2%9C%93&amp;oem=7008AGN","7008AGN")</f>
        <v>7008AGN</v>
      </c>
      <c r="B4138" s="1" t="s">
        <v>7926</v>
      </c>
      <c r="C4138" s="9" t="s">
        <v>7927</v>
      </c>
      <c r="D4138" s="14" t="s">
        <v>7928</v>
      </c>
      <c r="E4138" s="9" t="s">
        <v>8</v>
      </c>
    </row>
    <row r="4139" spans="1:5" ht="15" customHeight="1" outlineLevel="2" x14ac:dyDescent="0.25">
      <c r="A4139" s="3" t="str">
        <f>HYPERLINK("http://mystore1.ru/price_items/search?utf8=%E2%9C%93&amp;oem=7008LGNR5FD1J","7008LGNR5FD1J")</f>
        <v>7008LGNR5FD1J</v>
      </c>
      <c r="B4139" s="1" t="s">
        <v>7929</v>
      </c>
      <c r="C4139" s="9" t="s">
        <v>7930</v>
      </c>
      <c r="D4139" s="14" t="s">
        <v>7931</v>
      </c>
      <c r="E4139" s="9" t="s">
        <v>11</v>
      </c>
    </row>
    <row r="4140" spans="1:5" ht="15" customHeight="1" outlineLevel="2" x14ac:dyDescent="0.25">
      <c r="A4140" s="3" t="str">
        <f>HYPERLINK("http://mystore1.ru/price_items/search?utf8=%E2%9C%93&amp;oem=7008RGNR5FD1J","7008RGNR5FD1J")</f>
        <v>7008RGNR5FD1J</v>
      </c>
      <c r="B4140" s="1" t="s">
        <v>7932</v>
      </c>
      <c r="C4140" s="9" t="s">
        <v>7930</v>
      </c>
      <c r="D4140" s="14" t="s">
        <v>7933</v>
      </c>
      <c r="E4140" s="9" t="s">
        <v>11</v>
      </c>
    </row>
    <row r="4141" spans="1:5" outlineLevel="1" x14ac:dyDescent="0.25">
      <c r="A4141" s="2"/>
      <c r="B4141" s="6" t="s">
        <v>7934</v>
      </c>
      <c r="C4141" s="8"/>
      <c r="D4141" s="8"/>
      <c r="E4141" s="8"/>
    </row>
    <row r="4142" spans="1:5" ht="15" customHeight="1" outlineLevel="2" x14ac:dyDescent="0.25">
      <c r="A4142" s="3" t="str">
        <f>HYPERLINK("http://mystore1.ru/price_items/search?utf8=%E2%9C%93&amp;oem=7024AGNHV","7024AGNHV")</f>
        <v>7024AGNHV</v>
      </c>
      <c r="B4142" s="1" t="s">
        <v>7935</v>
      </c>
      <c r="C4142" s="9" t="s">
        <v>4362</v>
      </c>
      <c r="D4142" s="14" t="s">
        <v>7936</v>
      </c>
      <c r="E4142" s="9" t="s">
        <v>8</v>
      </c>
    </row>
    <row r="4143" spans="1:5" ht="15" customHeight="1" outlineLevel="2" x14ac:dyDescent="0.25">
      <c r="A4143" s="3" t="str">
        <f>HYPERLINK("http://mystore1.ru/price_items/search?utf8=%E2%9C%93&amp;oem=7024AGNV","7024AGNV")</f>
        <v>7024AGNV</v>
      </c>
      <c r="B4143" s="1" t="s">
        <v>7937</v>
      </c>
      <c r="C4143" s="9" t="s">
        <v>4362</v>
      </c>
      <c r="D4143" s="14" t="s">
        <v>7938</v>
      </c>
      <c r="E4143" s="9" t="s">
        <v>8</v>
      </c>
    </row>
    <row r="4144" spans="1:5" ht="15" customHeight="1" outlineLevel="2" x14ac:dyDescent="0.25">
      <c r="A4144" s="3" t="str">
        <f>HYPERLINK("http://mystore1.ru/price_items/search?utf8=%E2%9C%93&amp;oem=7024AGSHV1P","7024AGSHV1P")</f>
        <v>7024AGSHV1P</v>
      </c>
      <c r="B4144" s="1" t="s">
        <v>7939</v>
      </c>
      <c r="C4144" s="9" t="s">
        <v>4362</v>
      </c>
      <c r="D4144" s="14" t="s">
        <v>7940</v>
      </c>
      <c r="E4144" s="9" t="s">
        <v>8</v>
      </c>
    </row>
    <row r="4145" spans="1:5" ht="15" customHeight="1" outlineLevel="2" x14ac:dyDescent="0.25">
      <c r="A4145" s="3" t="str">
        <f>HYPERLINK("http://mystore1.ru/price_items/search?utf8=%E2%9C%93&amp;oem=7024AGSV1P","7024AGSV1P")</f>
        <v>7024AGSV1P</v>
      </c>
      <c r="B4145" s="1" t="s">
        <v>7941</v>
      </c>
      <c r="C4145" s="9" t="s">
        <v>4362</v>
      </c>
      <c r="D4145" s="14" t="s">
        <v>7942</v>
      </c>
      <c r="E4145" s="9" t="s">
        <v>8</v>
      </c>
    </row>
    <row r="4146" spans="1:5" ht="15" customHeight="1" outlineLevel="2" x14ac:dyDescent="0.25">
      <c r="A4146" s="3" t="str">
        <f>HYPERLINK("http://mystore1.ru/price_items/search?utf8=%E2%9C%93&amp;oem=7024AKCR","7024AKCR")</f>
        <v>7024AKCR</v>
      </c>
      <c r="B4146" s="1" t="s">
        <v>7943</v>
      </c>
      <c r="C4146" s="9" t="s">
        <v>25</v>
      </c>
      <c r="D4146" s="14" t="s">
        <v>7944</v>
      </c>
      <c r="E4146" s="9" t="s">
        <v>27</v>
      </c>
    </row>
    <row r="4147" spans="1:5" ht="15" customHeight="1" outlineLevel="2" x14ac:dyDescent="0.25">
      <c r="A4147" s="3" t="str">
        <f>HYPERLINK("http://mystore1.ru/price_items/search?utf8=%E2%9C%93&amp;oem=7024ASMRT","7024ASMRT")</f>
        <v>7024ASMRT</v>
      </c>
      <c r="B4147" s="1" t="s">
        <v>7945</v>
      </c>
      <c r="C4147" s="9" t="s">
        <v>25</v>
      </c>
      <c r="D4147" s="14" t="s">
        <v>7946</v>
      </c>
      <c r="E4147" s="9" t="s">
        <v>27</v>
      </c>
    </row>
    <row r="4148" spans="1:5" ht="15" customHeight="1" outlineLevel="2" x14ac:dyDescent="0.25">
      <c r="A4148" s="3" t="str">
        <f>HYPERLINK("http://mystore1.ru/price_items/search?utf8=%E2%9C%93&amp;oem=7024BGNRW","7024BGNRW")</f>
        <v>7024BGNRW</v>
      </c>
      <c r="B4148" s="1" t="s">
        <v>7947</v>
      </c>
      <c r="C4148" s="9" t="s">
        <v>4362</v>
      </c>
      <c r="D4148" s="14" t="s">
        <v>7948</v>
      </c>
      <c r="E4148" s="9" t="s">
        <v>30</v>
      </c>
    </row>
    <row r="4149" spans="1:5" ht="15" customHeight="1" outlineLevel="2" x14ac:dyDescent="0.25">
      <c r="A4149" s="3" t="str">
        <f>HYPERLINK("http://mystore1.ru/price_items/search?utf8=%E2%9C%93&amp;oem=7024LGNR5FDW","7024LGNR5FDW")</f>
        <v>7024LGNR5FDW</v>
      </c>
      <c r="B4149" s="1" t="s">
        <v>7949</v>
      </c>
      <c r="C4149" s="9" t="s">
        <v>4362</v>
      </c>
      <c r="D4149" s="14" t="s">
        <v>7950</v>
      </c>
      <c r="E4149" s="9" t="s">
        <v>11</v>
      </c>
    </row>
    <row r="4150" spans="1:5" ht="15" customHeight="1" outlineLevel="2" x14ac:dyDescent="0.25">
      <c r="A4150" s="3" t="str">
        <f>HYPERLINK("http://mystore1.ru/price_items/search?utf8=%E2%9C%93&amp;oem=7024LGNR5RDW","7024LGNR5RDW")</f>
        <v>7024LGNR5RDW</v>
      </c>
      <c r="B4150" s="1" t="s">
        <v>7951</v>
      </c>
      <c r="C4150" s="9" t="s">
        <v>4362</v>
      </c>
      <c r="D4150" s="14" t="s">
        <v>7952</v>
      </c>
      <c r="E4150" s="9" t="s">
        <v>11</v>
      </c>
    </row>
    <row r="4151" spans="1:5" ht="15" customHeight="1" outlineLevel="2" x14ac:dyDescent="0.25">
      <c r="A4151" s="3" t="str">
        <f>HYPERLINK("http://mystore1.ru/price_items/search?utf8=%E2%9C%93&amp;oem=7024LGNR5RV","7024LGNR5RV")</f>
        <v>7024LGNR5RV</v>
      </c>
      <c r="B4151" s="1" t="s">
        <v>7953</v>
      </c>
      <c r="C4151" s="9" t="s">
        <v>4362</v>
      </c>
      <c r="D4151" s="14" t="s">
        <v>7954</v>
      </c>
      <c r="E4151" s="9" t="s">
        <v>11</v>
      </c>
    </row>
    <row r="4152" spans="1:5" ht="15" customHeight="1" outlineLevel="2" x14ac:dyDescent="0.25">
      <c r="A4152" s="3" t="str">
        <f>HYPERLINK("http://mystore1.ru/price_items/search?utf8=%E2%9C%93&amp;oem=7024RGNR5FDW","7024RGNR5FDW")</f>
        <v>7024RGNR5FDW</v>
      </c>
      <c r="B4152" s="1" t="s">
        <v>7955</v>
      </c>
      <c r="C4152" s="9" t="s">
        <v>4362</v>
      </c>
      <c r="D4152" s="14" t="s">
        <v>7956</v>
      </c>
      <c r="E4152" s="9" t="s">
        <v>11</v>
      </c>
    </row>
    <row r="4153" spans="1:5" ht="15" customHeight="1" outlineLevel="2" x14ac:dyDescent="0.25">
      <c r="A4153" s="3" t="str">
        <f>HYPERLINK("http://mystore1.ru/price_items/search?utf8=%E2%9C%93&amp;oem=7024RGNR5RDW","7024RGNR5RDW")</f>
        <v>7024RGNR5RDW</v>
      </c>
      <c r="B4153" s="1" t="s">
        <v>7957</v>
      </c>
      <c r="C4153" s="9" t="s">
        <v>4362</v>
      </c>
      <c r="D4153" s="14" t="s">
        <v>7958</v>
      </c>
      <c r="E4153" s="9" t="s">
        <v>11</v>
      </c>
    </row>
    <row r="4154" spans="1:5" ht="15" customHeight="1" outlineLevel="2" x14ac:dyDescent="0.25">
      <c r="A4154" s="3" t="str">
        <f>HYPERLINK("http://mystore1.ru/price_items/search?utf8=%E2%9C%93&amp;oem=7024RGNR5RV","7024RGNR5RV")</f>
        <v>7024RGNR5RV</v>
      </c>
      <c r="B4154" s="1" t="s">
        <v>7959</v>
      </c>
      <c r="C4154" s="9" t="s">
        <v>4362</v>
      </c>
      <c r="D4154" s="14" t="s">
        <v>7960</v>
      </c>
      <c r="E4154" s="9" t="s">
        <v>11</v>
      </c>
    </row>
    <row r="4155" spans="1:5" outlineLevel="1" x14ac:dyDescent="0.25">
      <c r="A4155" s="2"/>
      <c r="B4155" s="6" t="s">
        <v>7961</v>
      </c>
      <c r="C4155" s="8"/>
      <c r="D4155" s="8"/>
      <c r="E4155" s="8"/>
    </row>
    <row r="4156" spans="1:5" ht="15" customHeight="1" outlineLevel="2" x14ac:dyDescent="0.25">
      <c r="A4156" s="3" t="str">
        <f>HYPERLINK("http://mystore1.ru/price_items/search?utf8=%E2%9C%93&amp;oem=7033AGAGNHMV6T","7033AGAGNHMV6T")</f>
        <v>7033AGAGNHMV6T</v>
      </c>
      <c r="B4156" s="1" t="s">
        <v>7962</v>
      </c>
      <c r="C4156" s="9" t="s">
        <v>1786</v>
      </c>
      <c r="D4156" s="14" t="s">
        <v>7963</v>
      </c>
      <c r="E4156" s="9" t="s">
        <v>8</v>
      </c>
    </row>
    <row r="4157" spans="1:5" ht="15" customHeight="1" outlineLevel="2" x14ac:dyDescent="0.25">
      <c r="A4157" s="3" t="str">
        <f>HYPERLINK("http://mystore1.ru/price_items/search?utf8=%E2%9C%93&amp;oem=7033AGAGNHMV2U","7033AGAGNHMV2U")</f>
        <v>7033AGAGNHMV2U</v>
      </c>
      <c r="B4157" s="1" t="s">
        <v>7964</v>
      </c>
      <c r="C4157" s="9" t="s">
        <v>6175</v>
      </c>
      <c r="D4157" s="14" t="s">
        <v>7965</v>
      </c>
      <c r="E4157" s="9" t="s">
        <v>8</v>
      </c>
    </row>
    <row r="4158" spans="1:5" ht="15" customHeight="1" outlineLevel="2" x14ac:dyDescent="0.25">
      <c r="A4158" s="3" t="str">
        <f>HYPERLINK("http://mystore1.ru/price_items/search?utf8=%E2%9C%93&amp;oem=7033AGSGNHMV1B","7033AGSGNHMV1B")</f>
        <v>7033AGSGNHMV1B</v>
      </c>
      <c r="B4158" s="1" t="s">
        <v>7966</v>
      </c>
      <c r="C4158" s="9" t="s">
        <v>567</v>
      </c>
      <c r="D4158" s="14" t="s">
        <v>7967</v>
      </c>
      <c r="E4158" s="9" t="s">
        <v>8</v>
      </c>
    </row>
    <row r="4159" spans="1:5" ht="15" customHeight="1" outlineLevel="2" x14ac:dyDescent="0.25">
      <c r="A4159" s="3" t="str">
        <f>HYPERLINK("http://mystore1.ru/price_items/search?utf8=%E2%9C%93&amp;oem=7033AGSGNHMV6T","7033AGSGNHMV6T")</f>
        <v>7033AGSGNHMV6T</v>
      </c>
      <c r="B4159" s="1" t="s">
        <v>7968</v>
      </c>
      <c r="C4159" s="9" t="s">
        <v>1786</v>
      </c>
      <c r="D4159" s="14" t="s">
        <v>7969</v>
      </c>
      <c r="E4159" s="9" t="s">
        <v>8</v>
      </c>
    </row>
    <row r="4160" spans="1:5" ht="15" customHeight="1" outlineLevel="2" x14ac:dyDescent="0.25">
      <c r="A4160" s="3" t="str">
        <f>HYPERLINK("http://mystore1.ru/price_items/search?utf8=%E2%9C%93&amp;oem=7033AGSGNHV","7033AGSGNHV")</f>
        <v>7033AGSGNHV</v>
      </c>
      <c r="B4160" s="1" t="s">
        <v>7970</v>
      </c>
      <c r="C4160" s="9" t="s">
        <v>5018</v>
      </c>
      <c r="D4160" s="14" t="s">
        <v>7971</v>
      </c>
      <c r="E4160" s="9" t="s">
        <v>8</v>
      </c>
    </row>
    <row r="4161" spans="1:5" ht="15" customHeight="1" outlineLevel="2" x14ac:dyDescent="0.25">
      <c r="A4161" s="3" t="str">
        <f>HYPERLINK("http://mystore1.ru/price_items/search?utf8=%E2%9C%93&amp;oem=7033ASMRT","7033ASMRT")</f>
        <v>7033ASMRT</v>
      </c>
      <c r="B4161" s="1" t="s">
        <v>7972</v>
      </c>
      <c r="C4161" s="9" t="s">
        <v>25</v>
      </c>
      <c r="D4161" s="14" t="s">
        <v>7973</v>
      </c>
      <c r="E4161" s="9" t="s">
        <v>27</v>
      </c>
    </row>
    <row r="4162" spans="1:5" ht="15" customHeight="1" outlineLevel="2" x14ac:dyDescent="0.25">
      <c r="A4162" s="3" t="str">
        <f>HYPERLINK("http://mystore1.ru/price_items/search?utf8=%E2%9C%93&amp;oem=7033BGSRA","7033BGSRA")</f>
        <v>7033BGSRA</v>
      </c>
      <c r="B4162" s="1" t="s">
        <v>7974</v>
      </c>
      <c r="C4162" s="9" t="s">
        <v>5018</v>
      </c>
      <c r="D4162" s="14" t="s">
        <v>7975</v>
      </c>
      <c r="E4162" s="9" t="s">
        <v>30</v>
      </c>
    </row>
    <row r="4163" spans="1:5" ht="15" customHeight="1" outlineLevel="2" x14ac:dyDescent="0.25">
      <c r="A4163" s="3" t="str">
        <f>HYPERLINK("http://mystore1.ru/price_items/search?utf8=%E2%9C%93&amp;oem=7033BGSRA1F","7033BGSRA1F")</f>
        <v>7033BGSRA1F</v>
      </c>
      <c r="B4163" s="1" t="s">
        <v>7976</v>
      </c>
      <c r="C4163" s="9" t="s">
        <v>5018</v>
      </c>
      <c r="D4163" s="14" t="s">
        <v>7977</v>
      </c>
      <c r="E4163" s="9" t="s">
        <v>30</v>
      </c>
    </row>
    <row r="4164" spans="1:5" ht="15" customHeight="1" outlineLevel="2" x14ac:dyDescent="0.25">
      <c r="A4164" s="3" t="str">
        <f>HYPERLINK("http://mystore1.ru/price_items/search?utf8=%E2%9C%93&amp;oem=7033LGSR5FD","7033LGSR5FD")</f>
        <v>7033LGSR5FD</v>
      </c>
      <c r="B4164" s="1" t="s">
        <v>7978</v>
      </c>
      <c r="C4164" s="9" t="s">
        <v>5018</v>
      </c>
      <c r="D4164" s="14" t="s">
        <v>7979</v>
      </c>
      <c r="E4164" s="9" t="s">
        <v>11</v>
      </c>
    </row>
    <row r="4165" spans="1:5" ht="15" customHeight="1" outlineLevel="2" x14ac:dyDescent="0.25">
      <c r="A4165" s="3" t="str">
        <f>HYPERLINK("http://mystore1.ru/price_items/search?utf8=%E2%9C%93&amp;oem=7033LGSR5RD","7033LGSR5RD")</f>
        <v>7033LGSR5RD</v>
      </c>
      <c r="B4165" s="1" t="s">
        <v>7980</v>
      </c>
      <c r="C4165" s="9" t="s">
        <v>5018</v>
      </c>
      <c r="D4165" s="14" t="s">
        <v>7981</v>
      </c>
      <c r="E4165" s="9" t="s">
        <v>11</v>
      </c>
    </row>
    <row r="4166" spans="1:5" ht="15" customHeight="1" outlineLevel="2" x14ac:dyDescent="0.25">
      <c r="A4166" s="3" t="str">
        <f>HYPERLINK("http://mystore1.ru/price_items/search?utf8=%E2%9C%93&amp;oem=7033LGSR5RV","7033LGSR5RV")</f>
        <v>7033LGSR5RV</v>
      </c>
      <c r="B4166" s="1" t="s">
        <v>7982</v>
      </c>
      <c r="C4166" s="9" t="s">
        <v>5018</v>
      </c>
      <c r="D4166" s="14" t="s">
        <v>7983</v>
      </c>
      <c r="E4166" s="9" t="s">
        <v>11</v>
      </c>
    </row>
    <row r="4167" spans="1:5" ht="15" customHeight="1" outlineLevel="2" x14ac:dyDescent="0.25">
      <c r="A4167" s="3" t="str">
        <f>HYPERLINK("http://mystore1.ru/price_items/search?utf8=%E2%9C%93&amp;oem=7033RGSR5FD","7033RGSR5FD")</f>
        <v>7033RGSR5FD</v>
      </c>
      <c r="B4167" s="1" t="s">
        <v>7984</v>
      </c>
      <c r="C4167" s="9" t="s">
        <v>5018</v>
      </c>
      <c r="D4167" s="14" t="s">
        <v>7985</v>
      </c>
      <c r="E4167" s="9" t="s">
        <v>11</v>
      </c>
    </row>
    <row r="4168" spans="1:5" ht="15" customHeight="1" outlineLevel="2" x14ac:dyDescent="0.25">
      <c r="A4168" s="3" t="str">
        <f>HYPERLINK("http://mystore1.ru/price_items/search?utf8=%E2%9C%93&amp;oem=7033RGSR5RD","7033RGSR5RD")</f>
        <v>7033RGSR5RD</v>
      </c>
      <c r="B4168" s="1" t="s">
        <v>7986</v>
      </c>
      <c r="C4168" s="9" t="s">
        <v>5018</v>
      </c>
      <c r="D4168" s="14" t="s">
        <v>7987</v>
      </c>
      <c r="E4168" s="9" t="s">
        <v>11</v>
      </c>
    </row>
    <row r="4169" spans="1:5" ht="15" customHeight="1" outlineLevel="2" x14ac:dyDescent="0.25">
      <c r="A4169" s="3" t="str">
        <f>HYPERLINK("http://mystore1.ru/price_items/search?utf8=%E2%9C%93&amp;oem=7033RGSR5RV","7033RGSR5RV")</f>
        <v>7033RGSR5RV</v>
      </c>
      <c r="B4169" s="1" t="s">
        <v>7988</v>
      </c>
      <c r="C4169" s="9" t="s">
        <v>5018</v>
      </c>
      <c r="D4169" s="14" t="s">
        <v>7989</v>
      </c>
      <c r="E4169" s="9" t="s">
        <v>11</v>
      </c>
    </row>
    <row r="4170" spans="1:5" outlineLevel="1" x14ac:dyDescent="0.25">
      <c r="A4170" s="2"/>
      <c r="B4170" s="6" t="s">
        <v>7990</v>
      </c>
      <c r="C4170" s="8"/>
      <c r="D4170" s="8"/>
      <c r="E4170" s="8"/>
    </row>
    <row r="4171" spans="1:5" outlineLevel="2" x14ac:dyDescent="0.25">
      <c r="A4171" s="3" t="str">
        <f>HYPERLINK("http://mystore1.ru/price_items/search?utf8=%E2%9C%93&amp;oem=7043ACDMVZ","7043ACDMVZ")</f>
        <v>7043ACDMVZ</v>
      </c>
      <c r="B4171" s="1" t="s">
        <v>7991</v>
      </c>
      <c r="C4171" s="9" t="s">
        <v>1738</v>
      </c>
      <c r="D4171" s="14" t="s">
        <v>7992</v>
      </c>
      <c r="E4171" s="9" t="s">
        <v>8</v>
      </c>
    </row>
    <row r="4172" spans="1:5" x14ac:dyDescent="0.25">
      <c r="A4172" s="61" t="s">
        <v>7993</v>
      </c>
      <c r="B4172" s="61"/>
      <c r="C4172" s="61"/>
      <c r="D4172" s="61"/>
      <c r="E4172" s="61"/>
    </row>
    <row r="4173" spans="1:5" outlineLevel="1" x14ac:dyDescent="0.25">
      <c r="A4173" s="2"/>
      <c r="B4173" s="6" t="s">
        <v>7994</v>
      </c>
      <c r="C4173" s="8"/>
      <c r="D4173" s="8"/>
      <c r="E4173" s="8"/>
    </row>
    <row r="4174" spans="1:5" ht="15" customHeight="1" outlineLevel="2" x14ac:dyDescent="0.25">
      <c r="A4174" s="3" t="str">
        <f>HYPERLINK("http://mystore1.ru/price_items/search?utf8=%E2%9C%93&amp;oem=8322AGNBLV","8322AGNBLV")</f>
        <v>8322AGNBLV</v>
      </c>
      <c r="B4174" s="1" t="s">
        <v>7995</v>
      </c>
      <c r="C4174" s="9" t="s">
        <v>1171</v>
      </c>
      <c r="D4174" s="14" t="s">
        <v>7996</v>
      </c>
      <c r="E4174" s="9" t="s">
        <v>8</v>
      </c>
    </row>
    <row r="4175" spans="1:5" ht="15" customHeight="1" outlineLevel="2" x14ac:dyDescent="0.25">
      <c r="A4175" s="3" t="str">
        <f>HYPERLINK("http://mystore1.ru/price_items/search?utf8=%E2%9C%93&amp;oem=8322ASMRT","8322ASMRT")</f>
        <v>8322ASMRT</v>
      </c>
      <c r="B4175" s="1" t="s">
        <v>7997</v>
      </c>
      <c r="C4175" s="9" t="s">
        <v>25</v>
      </c>
      <c r="D4175" s="14" t="s">
        <v>7998</v>
      </c>
      <c r="E4175" s="9" t="s">
        <v>27</v>
      </c>
    </row>
    <row r="4176" spans="1:5" outlineLevel="1" x14ac:dyDescent="0.25">
      <c r="A4176" s="2"/>
      <c r="B4176" s="6" t="s">
        <v>7999</v>
      </c>
      <c r="C4176" s="8"/>
      <c r="D4176" s="8"/>
      <c r="E4176" s="8"/>
    </row>
    <row r="4177" spans="1:5" outlineLevel="2" x14ac:dyDescent="0.25">
      <c r="A4177" s="3" t="str">
        <f>HYPERLINK("http://mystore1.ru/price_items/search?utf8=%E2%9C%93&amp;oem=8354AGNGNHMV1B","8354AGNGNHMV1B")</f>
        <v>8354AGNGNHMV1B</v>
      </c>
      <c r="B4177" s="1" t="s">
        <v>8000</v>
      </c>
      <c r="C4177" s="9" t="s">
        <v>1362</v>
      </c>
      <c r="D4177" s="14" t="s">
        <v>8001</v>
      </c>
      <c r="E4177" s="9" t="s">
        <v>8</v>
      </c>
    </row>
    <row r="4178" spans="1:5" outlineLevel="2" x14ac:dyDescent="0.25">
      <c r="A4178" s="3" t="str">
        <f>HYPERLINK("http://mystore1.ru/price_items/search?utf8=%E2%9C%93&amp;oem=8354AGNGNV","8354AGNGNV")</f>
        <v>8354AGNGNV</v>
      </c>
      <c r="B4178" s="1" t="s">
        <v>8002</v>
      </c>
      <c r="C4178" s="9" t="s">
        <v>1362</v>
      </c>
      <c r="D4178" s="14" t="s">
        <v>8003</v>
      </c>
      <c r="E4178" s="9" t="s">
        <v>8</v>
      </c>
    </row>
    <row r="4179" spans="1:5" outlineLevel="2" x14ac:dyDescent="0.25">
      <c r="A4179" s="3" t="str">
        <f>HYPERLINK("http://mystore1.ru/price_items/search?utf8=%E2%9C%93&amp;oem=8354ASMR","8354ASMR")</f>
        <v>8354ASMR</v>
      </c>
      <c r="B4179" s="1" t="s">
        <v>8004</v>
      </c>
      <c r="C4179" s="9" t="s">
        <v>25</v>
      </c>
      <c r="D4179" s="14" t="s">
        <v>8005</v>
      </c>
      <c r="E4179" s="9" t="s">
        <v>27</v>
      </c>
    </row>
    <row r="4180" spans="1:5" x14ac:dyDescent="0.25">
      <c r="A4180" s="61" t="s">
        <v>8006</v>
      </c>
      <c r="B4180" s="61"/>
      <c r="C4180" s="61"/>
      <c r="D4180" s="61"/>
      <c r="E4180" s="61"/>
    </row>
    <row r="4181" spans="1:5" outlineLevel="1" x14ac:dyDescent="0.25">
      <c r="A4181" s="2"/>
      <c r="B4181" s="6" t="s">
        <v>8007</v>
      </c>
      <c r="C4181" s="8"/>
      <c r="D4181" s="8"/>
      <c r="E4181" s="8"/>
    </row>
    <row r="4182" spans="1:5" ht="15" customHeight="1" outlineLevel="2" x14ac:dyDescent="0.25">
      <c r="A4182" s="3" t="str">
        <f>HYPERLINK("http://mystore1.ru/price_items/search?utf8=%E2%9C%93&amp;oem=8307AGNBL","8307AGNBL")</f>
        <v>8307AGNBL</v>
      </c>
      <c r="B4182" s="1" t="s">
        <v>8008</v>
      </c>
      <c r="C4182" s="9" t="s">
        <v>6602</v>
      </c>
      <c r="D4182" s="14" t="s">
        <v>8009</v>
      </c>
      <c r="E4182" s="9" t="s">
        <v>8</v>
      </c>
    </row>
    <row r="4183" spans="1:5" outlineLevel="1" x14ac:dyDescent="0.25">
      <c r="A4183" s="2"/>
      <c r="B4183" s="6" t="s">
        <v>8010</v>
      </c>
      <c r="C4183" s="8"/>
      <c r="D4183" s="8"/>
      <c r="E4183" s="8"/>
    </row>
    <row r="4184" spans="1:5" ht="15" customHeight="1" outlineLevel="2" x14ac:dyDescent="0.25">
      <c r="A4184" s="3" t="str">
        <f>HYPERLINK("http://mystore1.ru/price_items/search?utf8=%E2%9C%93&amp;oem=8285AGY","8285AGY")</f>
        <v>8285AGY</v>
      </c>
      <c r="B4184" s="1" t="s">
        <v>8011</v>
      </c>
      <c r="C4184" s="9" t="s">
        <v>2984</v>
      </c>
      <c r="D4184" s="14" t="s">
        <v>8012</v>
      </c>
      <c r="E4184" s="9" t="s">
        <v>8</v>
      </c>
    </row>
    <row r="4185" spans="1:5" ht="15" customHeight="1" outlineLevel="2" x14ac:dyDescent="0.25">
      <c r="A4185" s="3" t="str">
        <f>HYPERLINK("http://mystore1.ru/price_items/search?utf8=%E2%9C%93&amp;oem=8285AGYGY","8285AGYGY")</f>
        <v>8285AGYGY</v>
      </c>
      <c r="B4185" s="1" t="s">
        <v>8013</v>
      </c>
      <c r="C4185" s="9" t="s">
        <v>2984</v>
      </c>
      <c r="D4185" s="14" t="s">
        <v>8014</v>
      </c>
      <c r="E4185" s="9" t="s">
        <v>8</v>
      </c>
    </row>
    <row r="4186" spans="1:5" outlineLevel="1" x14ac:dyDescent="0.25">
      <c r="A4186" s="2"/>
      <c r="B4186" s="6" t="s">
        <v>8015</v>
      </c>
      <c r="C4186" s="8"/>
      <c r="D4186" s="8"/>
      <c r="E4186" s="8"/>
    </row>
    <row r="4187" spans="1:5" ht="15" customHeight="1" outlineLevel="2" x14ac:dyDescent="0.25">
      <c r="A4187" s="3" t="str">
        <f>HYPERLINK("http://mystore1.ru/price_items/search?utf8=%E2%9C%93&amp;oem=8327AGNBL","8327AGNBL")</f>
        <v>8327AGNBL</v>
      </c>
      <c r="B4187" s="1" t="s">
        <v>8016</v>
      </c>
      <c r="C4187" s="9" t="s">
        <v>7279</v>
      </c>
      <c r="D4187" s="14" t="s">
        <v>8017</v>
      </c>
      <c r="E4187" s="9" t="s">
        <v>8</v>
      </c>
    </row>
    <row r="4188" spans="1:5" outlineLevel="1" x14ac:dyDescent="0.25">
      <c r="A4188" s="2"/>
      <c r="B4188" s="6" t="s">
        <v>8018</v>
      </c>
      <c r="C4188" s="8"/>
      <c r="D4188" s="8"/>
      <c r="E4188" s="8"/>
    </row>
    <row r="4189" spans="1:5" ht="15" customHeight="1" outlineLevel="2" x14ac:dyDescent="0.25">
      <c r="A4189" s="3" t="str">
        <f>HYPERLINK("http://mystore1.ru/price_items/search?utf8=%E2%9C%93&amp;oem=8362AGSGNMVW1B","8362AGSGNMVW1B")</f>
        <v>8362AGSGNMVW1B</v>
      </c>
      <c r="B4189" s="1" t="s">
        <v>8019</v>
      </c>
      <c r="C4189" s="9" t="s">
        <v>1607</v>
      </c>
      <c r="D4189" s="14" t="s">
        <v>8020</v>
      </c>
      <c r="E4189" s="9" t="s">
        <v>8</v>
      </c>
    </row>
    <row r="4190" spans="1:5" ht="15" customHeight="1" outlineLevel="2" x14ac:dyDescent="0.25">
      <c r="A4190" s="3" t="str">
        <f>HYPERLINK("http://mystore1.ru/price_items/search?utf8=%E2%9C%93&amp;oem=8362AGSGNVW","8362AGSGNVW")</f>
        <v>8362AGSGNVW</v>
      </c>
      <c r="B4190" s="1" t="s">
        <v>8021</v>
      </c>
      <c r="C4190" s="9" t="s">
        <v>1607</v>
      </c>
      <c r="D4190" s="14" t="s">
        <v>8022</v>
      </c>
      <c r="E4190" s="9" t="s">
        <v>8</v>
      </c>
    </row>
    <row r="4191" spans="1:5" ht="15" customHeight="1" outlineLevel="2" x14ac:dyDescent="0.25">
      <c r="A4191" s="3" t="str">
        <f>HYPERLINK("http://mystore1.ru/price_items/search?utf8=%E2%9C%93&amp;oem=8362ASMST","8362ASMST")</f>
        <v>8362ASMST</v>
      </c>
      <c r="B4191" s="1" t="s">
        <v>8023</v>
      </c>
      <c r="C4191" s="9" t="s">
        <v>25</v>
      </c>
      <c r="D4191" s="14" t="s">
        <v>8024</v>
      </c>
      <c r="E4191" s="9" t="s">
        <v>27</v>
      </c>
    </row>
    <row r="4192" spans="1:5" outlineLevel="1" x14ac:dyDescent="0.25">
      <c r="A4192" s="2"/>
      <c r="B4192" s="6" t="s">
        <v>8025</v>
      </c>
      <c r="C4192" s="8"/>
      <c r="D4192" s="8"/>
      <c r="E4192" s="8"/>
    </row>
    <row r="4193" spans="1:5" ht="15" customHeight="1" outlineLevel="2" x14ac:dyDescent="0.25">
      <c r="A4193" s="3" t="str">
        <f>HYPERLINK("http://mystore1.ru/price_items/search?utf8=%E2%9C%93&amp;oem=8309AGNH1B","8309AGNH1B")</f>
        <v>8309AGNH1B</v>
      </c>
      <c r="B4193" s="1" t="s">
        <v>8026</v>
      </c>
      <c r="C4193" s="9" t="s">
        <v>2031</v>
      </c>
      <c r="D4193" s="14" t="s">
        <v>8027</v>
      </c>
      <c r="E4193" s="9" t="s">
        <v>8</v>
      </c>
    </row>
    <row r="4194" spans="1:5" ht="15" customHeight="1" outlineLevel="2" x14ac:dyDescent="0.25">
      <c r="A4194" s="3" t="str">
        <f>HYPERLINK("http://mystore1.ru/price_items/search?utf8=%E2%9C%93&amp;oem=8309AGNV","8309AGNV")</f>
        <v>8309AGNV</v>
      </c>
      <c r="B4194" s="1" t="s">
        <v>8028</v>
      </c>
      <c r="C4194" s="9" t="s">
        <v>2031</v>
      </c>
      <c r="D4194" s="14" t="s">
        <v>8029</v>
      </c>
      <c r="E4194" s="9" t="s">
        <v>8</v>
      </c>
    </row>
    <row r="4195" spans="1:5" ht="15" customHeight="1" outlineLevel="2" x14ac:dyDescent="0.25">
      <c r="A4195" s="3" t="str">
        <f>HYPERLINK("http://mystore1.ru/price_items/search?utf8=%E2%9C%93&amp;oem=8309ASMS","8309ASMS")</f>
        <v>8309ASMS</v>
      </c>
      <c r="B4195" s="1" t="s">
        <v>8030</v>
      </c>
      <c r="C4195" s="9" t="s">
        <v>25</v>
      </c>
      <c r="D4195" s="14" t="s">
        <v>8031</v>
      </c>
      <c r="E4195" s="9" t="s">
        <v>27</v>
      </c>
    </row>
    <row r="4196" spans="1:5" outlineLevel="1" x14ac:dyDescent="0.25">
      <c r="A4196" s="2"/>
      <c r="B4196" s="6" t="s">
        <v>8032</v>
      </c>
      <c r="C4196" s="8"/>
      <c r="D4196" s="8"/>
      <c r="E4196" s="8"/>
    </row>
    <row r="4197" spans="1:5" ht="15" customHeight="1" outlineLevel="2" x14ac:dyDescent="0.25">
      <c r="A4197" s="3" t="str">
        <f>HYPERLINK("http://mystore1.ru/price_items/search?utf8=%E2%9C%93&amp;oem=8296AGYGY","8296AGYGY")</f>
        <v>8296AGYGY</v>
      </c>
      <c r="B4197" s="1" t="s">
        <v>8033</v>
      </c>
      <c r="C4197" s="9" t="s">
        <v>7065</v>
      </c>
      <c r="D4197" s="14" t="s">
        <v>8034</v>
      </c>
      <c r="E4197" s="9" t="s">
        <v>8</v>
      </c>
    </row>
    <row r="4198" spans="1:5" outlineLevel="1" x14ac:dyDescent="0.25">
      <c r="A4198" s="2"/>
      <c r="B4198" s="6" t="s">
        <v>8035</v>
      </c>
      <c r="C4198" s="8"/>
      <c r="D4198" s="8"/>
      <c r="E4198" s="8"/>
    </row>
    <row r="4199" spans="1:5" ht="15" customHeight="1" outlineLevel="2" x14ac:dyDescent="0.25">
      <c r="A4199" s="3" t="str">
        <f>HYPERLINK("http://mystore1.ru/price_items/search?utf8=%E2%9C%93&amp;oem=8341AGNGNMV","8341AGNGNMV")</f>
        <v>8341AGNGNMV</v>
      </c>
      <c r="B4199" s="1" t="s">
        <v>8036</v>
      </c>
      <c r="C4199" s="9" t="s">
        <v>2351</v>
      </c>
      <c r="D4199" s="14" t="s">
        <v>8037</v>
      </c>
      <c r="E4199" s="9" t="s">
        <v>8</v>
      </c>
    </row>
    <row r="4200" spans="1:5" ht="15" customHeight="1" outlineLevel="2" x14ac:dyDescent="0.25">
      <c r="A4200" s="3" t="str">
        <f>HYPERLINK("http://mystore1.ru/price_items/search?utf8=%E2%9C%93&amp;oem=8341ASMRT","8341ASMRT")</f>
        <v>8341ASMRT</v>
      </c>
      <c r="B4200" s="1" t="s">
        <v>8038</v>
      </c>
      <c r="C4200" s="9" t="s">
        <v>25</v>
      </c>
      <c r="D4200" s="14" t="s">
        <v>8039</v>
      </c>
      <c r="E4200" s="9" t="s">
        <v>27</v>
      </c>
    </row>
    <row r="4201" spans="1:5" ht="15" customHeight="1" outlineLevel="2" x14ac:dyDescent="0.25">
      <c r="A4201" s="3" t="str">
        <f>HYPERLINK("http://mystore1.ru/price_items/search?utf8=%E2%9C%93&amp;oem=8341BGNRW","8341BGNRW")</f>
        <v>8341BGNRW</v>
      </c>
      <c r="B4201" s="1" t="s">
        <v>8040</v>
      </c>
      <c r="C4201" s="9" t="s">
        <v>2351</v>
      </c>
      <c r="D4201" s="14" t="s">
        <v>8041</v>
      </c>
      <c r="E4201" s="9" t="s">
        <v>30</v>
      </c>
    </row>
    <row r="4202" spans="1:5" ht="15" customHeight="1" outlineLevel="2" x14ac:dyDescent="0.25">
      <c r="A4202" s="3" t="str">
        <f>HYPERLINK("http://mystore1.ru/price_items/search?utf8=%E2%9C%93&amp;oem=8341BGNRW1J","8341BGNRW1J")</f>
        <v>8341BGNRW1J</v>
      </c>
      <c r="B4202" s="1" t="s">
        <v>8042</v>
      </c>
      <c r="C4202" s="9" t="s">
        <v>2351</v>
      </c>
      <c r="D4202" s="14" t="s">
        <v>8043</v>
      </c>
      <c r="E4202" s="9" t="s">
        <v>30</v>
      </c>
    </row>
    <row r="4203" spans="1:5" outlineLevel="1" x14ac:dyDescent="0.25">
      <c r="A4203" s="2"/>
      <c r="B4203" s="6" t="s">
        <v>8044</v>
      </c>
      <c r="C4203" s="8"/>
      <c r="D4203" s="8"/>
      <c r="E4203" s="8"/>
    </row>
    <row r="4204" spans="1:5" ht="15" customHeight="1" outlineLevel="2" x14ac:dyDescent="0.25">
      <c r="A4204" s="3" t="str">
        <f>HYPERLINK("http://mystore1.ru/price_items/search?utf8=%E2%9C%93&amp;oem=8371AGAHMV1B","8371AGAHMV1B")</f>
        <v>8371AGAHMV1B</v>
      </c>
      <c r="B4204" s="1" t="s">
        <v>8045</v>
      </c>
      <c r="C4204" s="9" t="s">
        <v>1607</v>
      </c>
      <c r="D4204" s="14" t="s">
        <v>8046</v>
      </c>
      <c r="E4204" s="9" t="s">
        <v>8</v>
      </c>
    </row>
    <row r="4205" spans="1:5" ht="15" customHeight="1" outlineLevel="2" x14ac:dyDescent="0.25">
      <c r="A4205" s="3" t="str">
        <f>HYPERLINK("http://mystore1.ru/price_items/search?utf8=%E2%9C%93&amp;oem=8371AGAHV","8371AGAHV")</f>
        <v>8371AGAHV</v>
      </c>
      <c r="B4205" s="1" t="s">
        <v>8047</v>
      </c>
      <c r="C4205" s="9" t="s">
        <v>1888</v>
      </c>
      <c r="D4205" s="14" t="s">
        <v>8048</v>
      </c>
      <c r="E4205" s="9" t="s">
        <v>8</v>
      </c>
    </row>
    <row r="4206" spans="1:5" outlineLevel="1" x14ac:dyDescent="0.25">
      <c r="A4206" s="2"/>
      <c r="B4206" s="6" t="s">
        <v>8049</v>
      </c>
      <c r="C4206" s="8"/>
      <c r="D4206" s="8"/>
      <c r="E4206" s="8"/>
    </row>
    <row r="4207" spans="1:5" outlineLevel="2" x14ac:dyDescent="0.25">
      <c r="A4207" s="3" t="str">
        <f>HYPERLINK("http://mystore1.ru/price_items/search?utf8=%E2%9C%93&amp;oem=8375AGAHMVZ","8375AGAHMVZ")</f>
        <v>8375AGAHMVZ</v>
      </c>
      <c r="B4207" s="1" t="s">
        <v>8050</v>
      </c>
      <c r="C4207" s="9" t="s">
        <v>511</v>
      </c>
      <c r="D4207" s="14" t="s">
        <v>8051</v>
      </c>
      <c r="E4207" s="9" t="s">
        <v>8</v>
      </c>
    </row>
    <row r="4208" spans="1:5" outlineLevel="2" x14ac:dyDescent="0.25">
      <c r="A4208" s="3" t="str">
        <f>HYPERLINK("http://mystore1.ru/price_items/search?utf8=%E2%9C%93&amp;oem=8375AGNGNHMVZ","8375AGNGNHMVZ")</f>
        <v>8375AGNGNHMVZ</v>
      </c>
      <c r="B4208" s="1" t="s">
        <v>8052</v>
      </c>
      <c r="C4208" s="9" t="s">
        <v>511</v>
      </c>
      <c r="D4208" s="14" t="s">
        <v>8053</v>
      </c>
      <c r="E4208" s="9" t="s">
        <v>8</v>
      </c>
    </row>
    <row r="4209" spans="1:5" x14ac:dyDescent="0.25">
      <c r="A4209" s="61" t="s">
        <v>8054</v>
      </c>
      <c r="B4209" s="61"/>
      <c r="C4209" s="61"/>
      <c r="D4209" s="61"/>
      <c r="E4209" s="61"/>
    </row>
    <row r="4210" spans="1:5" outlineLevel="1" x14ac:dyDescent="0.25">
      <c r="A4210" s="2"/>
      <c r="B4210" s="6" t="s">
        <v>8055</v>
      </c>
      <c r="C4210" s="8"/>
      <c r="D4210" s="8"/>
      <c r="E4210" s="8"/>
    </row>
    <row r="4211" spans="1:5" outlineLevel="2" x14ac:dyDescent="0.25">
      <c r="A4211" s="3" t="str">
        <f>HYPERLINK("http://mystore1.ru/price_items/search?utf8=%E2%9C%93&amp;oem=9263ACL","9263ACL")</f>
        <v>9263ACL</v>
      </c>
      <c r="B4211" s="1" t="s">
        <v>8056</v>
      </c>
      <c r="C4211" s="9" t="s">
        <v>8057</v>
      </c>
      <c r="D4211" s="14" t="s">
        <v>8058</v>
      </c>
      <c r="E4211" s="9" t="s">
        <v>8</v>
      </c>
    </row>
    <row r="4212" spans="1:5" x14ac:dyDescent="0.25">
      <c r="A4212" s="61" t="s">
        <v>8059</v>
      </c>
      <c r="B4212" s="61"/>
      <c r="C4212" s="61"/>
      <c r="D4212" s="61"/>
      <c r="E4212" s="61"/>
    </row>
    <row r="4213" spans="1:5" outlineLevel="1" x14ac:dyDescent="0.25">
      <c r="A4213" s="2"/>
      <c r="B4213" s="6" t="s">
        <v>8060</v>
      </c>
      <c r="C4213" s="8"/>
      <c r="D4213" s="8"/>
      <c r="E4213" s="8"/>
    </row>
    <row r="4214" spans="1:5" ht="15" customHeight="1" outlineLevel="2" x14ac:dyDescent="0.25">
      <c r="A4214" s="3" t="str">
        <f>HYPERLINK("http://mystore1.ru/price_items/search?utf8=%E2%9C%93&amp;oem=4904ACL","4904ACL")</f>
        <v>4904ACL</v>
      </c>
      <c r="B4214" s="1" t="s">
        <v>8061</v>
      </c>
      <c r="C4214" s="9" t="s">
        <v>8062</v>
      </c>
      <c r="D4214" s="14" t="s">
        <v>8063</v>
      </c>
      <c r="E4214" s="9" t="s">
        <v>8</v>
      </c>
    </row>
    <row r="4215" spans="1:5" ht="15" customHeight="1" outlineLevel="2" x14ac:dyDescent="0.25">
      <c r="A4215" s="3" t="str">
        <f>HYPERLINK("http://mystore1.ru/price_items/search?utf8=%E2%9C%93&amp;oem=4904ASRL","4904ASRL")</f>
        <v>4904ASRL</v>
      </c>
      <c r="B4215" s="1" t="s">
        <v>8064</v>
      </c>
      <c r="C4215" s="9" t="s">
        <v>25</v>
      </c>
      <c r="D4215" s="14" t="s">
        <v>8065</v>
      </c>
      <c r="E4215" s="9" t="s">
        <v>27</v>
      </c>
    </row>
    <row r="4216" spans="1:5" ht="15" customHeight="1" outlineLevel="2" x14ac:dyDescent="0.25">
      <c r="A4216" s="3" t="str">
        <f>HYPERLINK("http://mystore1.ru/price_items/search?utf8=%E2%9C%93&amp;oem=4904FCLL2FD","4904FCLL2FD")</f>
        <v>4904FCLL2FD</v>
      </c>
      <c r="B4216" s="1" t="s">
        <v>8066</v>
      </c>
      <c r="C4216" s="9" t="s">
        <v>8062</v>
      </c>
      <c r="D4216" s="14" t="s">
        <v>8067</v>
      </c>
      <c r="E4216" s="9" t="s">
        <v>11</v>
      </c>
    </row>
    <row r="4217" spans="1:5" outlineLevel="1" x14ac:dyDescent="0.25">
      <c r="A4217" s="2"/>
      <c r="B4217" s="6" t="s">
        <v>8068</v>
      </c>
      <c r="C4217" s="8"/>
      <c r="D4217" s="8"/>
      <c r="E4217" s="8"/>
    </row>
    <row r="4218" spans="1:5" ht="15" customHeight="1" outlineLevel="2" x14ac:dyDescent="0.25">
      <c r="A4218" s="3" t="str">
        <f>HYPERLINK("http://mystore1.ru/price_items/search?utf8=%E2%9C%93&amp;oem=4907ACL","4907ACL")</f>
        <v>4907ACL</v>
      </c>
      <c r="B4218" s="1" t="s">
        <v>8069</v>
      </c>
      <c r="C4218" s="9" t="s">
        <v>5519</v>
      </c>
      <c r="D4218" s="14" t="s">
        <v>8070</v>
      </c>
      <c r="E4218" s="9" t="s">
        <v>8</v>
      </c>
    </row>
    <row r="4219" spans="1:5" ht="15" customHeight="1" outlineLevel="2" x14ac:dyDescent="0.25">
      <c r="A4219" s="3" t="str">
        <f>HYPERLINK("http://mystore1.ru/price_items/search?utf8=%E2%9C%93&amp;oem=4907AGN","4907AGN")</f>
        <v>4907AGN</v>
      </c>
      <c r="B4219" s="1" t="s">
        <v>8071</v>
      </c>
      <c r="C4219" s="9" t="s">
        <v>5519</v>
      </c>
      <c r="D4219" s="14" t="s">
        <v>8072</v>
      </c>
      <c r="E4219" s="9" t="s">
        <v>8</v>
      </c>
    </row>
    <row r="4220" spans="1:5" ht="15" customHeight="1" outlineLevel="2" x14ac:dyDescent="0.25">
      <c r="A4220" s="3" t="str">
        <f>HYPERLINK("http://mystore1.ru/price_items/search?utf8=%E2%9C%93&amp;oem=4907AGNGN","4907AGNGN")</f>
        <v>4907AGNGN</v>
      </c>
      <c r="B4220" s="1" t="s">
        <v>8073</v>
      </c>
      <c r="C4220" s="9" t="s">
        <v>5519</v>
      </c>
      <c r="D4220" s="14" t="s">
        <v>8074</v>
      </c>
      <c r="E4220" s="9" t="s">
        <v>8</v>
      </c>
    </row>
    <row r="4221" spans="1:5" ht="15" customHeight="1" outlineLevel="2" x14ac:dyDescent="0.25">
      <c r="A4221" s="3" t="str">
        <f>HYPERLINK("http://mystore1.ru/price_items/search?utf8=%E2%9C%93&amp;oem=4907ASRL","4907ASRL")</f>
        <v>4907ASRL</v>
      </c>
      <c r="B4221" s="1" t="s">
        <v>8075</v>
      </c>
      <c r="C4221" s="9" t="s">
        <v>25</v>
      </c>
      <c r="D4221" s="14" t="s">
        <v>8076</v>
      </c>
      <c r="E4221" s="9" t="s">
        <v>27</v>
      </c>
    </row>
    <row r="4222" spans="1:5" ht="15" customHeight="1" outlineLevel="2" x14ac:dyDescent="0.25">
      <c r="A4222" s="3" t="str">
        <f>HYPERLINK("http://mystore1.ru/price_items/search?utf8=%E2%9C%93&amp;oem=4907ASRL1H","4907ASRL1H")</f>
        <v>4907ASRL1H</v>
      </c>
      <c r="B4222" s="1" t="s">
        <v>8077</v>
      </c>
      <c r="C4222" s="9" t="s">
        <v>25</v>
      </c>
      <c r="D4222" s="14" t="s">
        <v>8078</v>
      </c>
      <c r="E4222" s="9" t="s">
        <v>27</v>
      </c>
    </row>
    <row r="4223" spans="1:5" ht="15" customHeight="1" outlineLevel="2" x14ac:dyDescent="0.25">
      <c r="A4223" s="3" t="str">
        <f>HYPERLINK("http://mystore1.ru/price_items/search?utf8=%E2%9C%93&amp;oem=4907FCLL2FD","4907FCLL2FD")</f>
        <v>4907FCLL2FD</v>
      </c>
      <c r="B4223" s="1" t="s">
        <v>8079</v>
      </c>
      <c r="C4223" s="9" t="s">
        <v>5519</v>
      </c>
      <c r="D4223" s="14" t="s">
        <v>8080</v>
      </c>
      <c r="E4223" s="9" t="s">
        <v>11</v>
      </c>
    </row>
    <row r="4224" spans="1:5" ht="15" customHeight="1" outlineLevel="2" x14ac:dyDescent="0.25">
      <c r="A4224" s="3" t="str">
        <f>HYPERLINK("http://mystore1.ru/price_items/search?utf8=%E2%9C%93&amp;oem=4907FCLL2FV","4907FCLL2FV")</f>
        <v>4907FCLL2FV</v>
      </c>
      <c r="B4224" s="1" t="s">
        <v>8081</v>
      </c>
      <c r="C4224" s="9" t="s">
        <v>5519</v>
      </c>
      <c r="D4224" s="14" t="s">
        <v>8082</v>
      </c>
      <c r="E4224" s="9" t="s">
        <v>11</v>
      </c>
    </row>
    <row r="4225" spans="1:5" outlineLevel="1" x14ac:dyDescent="0.25">
      <c r="A4225" s="2"/>
      <c r="B4225" s="6" t="s">
        <v>8083</v>
      </c>
      <c r="C4225" s="8"/>
      <c r="D4225" s="8"/>
      <c r="E4225" s="8"/>
    </row>
    <row r="4226" spans="1:5" ht="15" customHeight="1" outlineLevel="2" x14ac:dyDescent="0.25">
      <c r="A4226" s="3" t="str">
        <f>HYPERLINK("http://mystore1.ru/price_items/search?utf8=%E2%9C%93&amp;oem=4908ACL","4908ACL")</f>
        <v>4908ACL</v>
      </c>
      <c r="B4226" s="1" t="s">
        <v>8084</v>
      </c>
      <c r="C4226" s="9" t="s">
        <v>5519</v>
      </c>
      <c r="D4226" s="14" t="s">
        <v>8085</v>
      </c>
      <c r="E4226" s="9" t="s">
        <v>8</v>
      </c>
    </row>
    <row r="4227" spans="1:5" ht="15" customHeight="1" outlineLevel="2" x14ac:dyDescent="0.25">
      <c r="A4227" s="3" t="str">
        <f>HYPERLINK("http://mystore1.ru/price_items/search?utf8=%E2%9C%93&amp;oem=4908AGN","4908AGN")</f>
        <v>4908AGN</v>
      </c>
      <c r="B4227" s="1" t="s">
        <v>8086</v>
      </c>
      <c r="C4227" s="9" t="s">
        <v>5519</v>
      </c>
      <c r="D4227" s="14" t="s">
        <v>8087</v>
      </c>
      <c r="E4227" s="9" t="s">
        <v>8</v>
      </c>
    </row>
    <row r="4228" spans="1:5" ht="15" customHeight="1" outlineLevel="2" x14ac:dyDescent="0.25">
      <c r="A4228" s="3" t="str">
        <f>HYPERLINK("http://mystore1.ru/price_items/search?utf8=%E2%9C%93&amp;oem=4908AGNGN","4908AGNGN")</f>
        <v>4908AGNGN</v>
      </c>
      <c r="B4228" s="1" t="s">
        <v>8088</v>
      </c>
      <c r="C4228" s="9" t="s">
        <v>5519</v>
      </c>
      <c r="D4228" s="14" t="s">
        <v>8089</v>
      </c>
      <c r="E4228" s="9" t="s">
        <v>8</v>
      </c>
    </row>
    <row r="4229" spans="1:5" ht="15" customHeight="1" outlineLevel="2" x14ac:dyDescent="0.25">
      <c r="A4229" s="3" t="str">
        <f>HYPERLINK("http://mystore1.ru/price_items/search?utf8=%E2%9C%93&amp;oem=4908ASRL","4908ASRL")</f>
        <v>4908ASRL</v>
      </c>
      <c r="B4229" s="1" t="s">
        <v>8090</v>
      </c>
      <c r="C4229" s="9" t="s">
        <v>25</v>
      </c>
      <c r="D4229" s="14" t="s">
        <v>8076</v>
      </c>
      <c r="E4229" s="9" t="s">
        <v>27</v>
      </c>
    </row>
    <row r="4230" spans="1:5" ht="15" customHeight="1" outlineLevel="2" x14ac:dyDescent="0.25">
      <c r="A4230" s="3" t="str">
        <f>HYPERLINK("http://mystore1.ru/price_items/search?utf8=%E2%9C%93&amp;oem=4908ASRL1H","4908ASRL1H")</f>
        <v>4908ASRL1H</v>
      </c>
      <c r="B4230" s="1" t="s">
        <v>8091</v>
      </c>
      <c r="C4230" s="9" t="s">
        <v>25</v>
      </c>
      <c r="D4230" s="14" t="s">
        <v>8076</v>
      </c>
      <c r="E4230" s="9" t="s">
        <v>27</v>
      </c>
    </row>
    <row r="4231" spans="1:5" ht="15" customHeight="1" outlineLevel="2" x14ac:dyDescent="0.25">
      <c r="A4231" s="3" t="str">
        <f>HYPERLINK("http://mystore1.ru/price_items/search?utf8=%E2%9C%93&amp;oem=4908FCLL2FD","4908FCLL2FD")</f>
        <v>4908FCLL2FD</v>
      </c>
      <c r="B4231" s="1" t="s">
        <v>8092</v>
      </c>
      <c r="C4231" s="9" t="s">
        <v>5519</v>
      </c>
      <c r="D4231" s="14" t="s">
        <v>8080</v>
      </c>
      <c r="E4231" s="9" t="s">
        <v>11</v>
      </c>
    </row>
    <row r="4232" spans="1:5" ht="15" customHeight="1" outlineLevel="2" x14ac:dyDescent="0.25">
      <c r="A4232" s="3" t="str">
        <f>HYPERLINK("http://mystore1.ru/price_items/search?utf8=%E2%9C%93&amp;oem=4908FCLL2FV","4908FCLL2FV")</f>
        <v>4908FCLL2FV</v>
      </c>
      <c r="B4232" s="1" t="s">
        <v>8093</v>
      </c>
      <c r="C4232" s="9" t="s">
        <v>5519</v>
      </c>
      <c r="D4232" s="14" t="s">
        <v>8094</v>
      </c>
      <c r="E4232" s="9" t="s">
        <v>11</v>
      </c>
    </row>
    <row r="4233" spans="1:5" outlineLevel="1" x14ac:dyDescent="0.25">
      <c r="A4233" s="2"/>
      <c r="B4233" s="6" t="s">
        <v>8095</v>
      </c>
      <c r="C4233" s="8"/>
      <c r="D4233" s="8"/>
      <c r="E4233" s="8"/>
    </row>
    <row r="4234" spans="1:5" ht="15" customHeight="1" outlineLevel="2" x14ac:dyDescent="0.25">
      <c r="A4234" s="3" t="str">
        <f>HYPERLINK("http://mystore1.ru/price_items/search?utf8=%E2%9C%93&amp;oem=4906ACL","4906ACL")</f>
        <v>4906ACL</v>
      </c>
      <c r="B4234" s="1" t="s">
        <v>8096</v>
      </c>
      <c r="C4234" s="9" t="s">
        <v>8097</v>
      </c>
      <c r="D4234" s="14" t="s">
        <v>8098</v>
      </c>
      <c r="E4234" s="9" t="s">
        <v>8</v>
      </c>
    </row>
    <row r="4235" spans="1:5" outlineLevel="1" x14ac:dyDescent="0.25">
      <c r="A4235" s="2"/>
      <c r="B4235" s="6" t="s">
        <v>8099</v>
      </c>
      <c r="C4235" s="8"/>
      <c r="D4235" s="8"/>
      <c r="E4235" s="8"/>
    </row>
    <row r="4236" spans="1:5" ht="15" customHeight="1" outlineLevel="2" x14ac:dyDescent="0.25">
      <c r="A4236" s="3" t="str">
        <f>HYPERLINK("http://mystore1.ru/price_items/search?utf8=%E2%9C%93&amp;oem=4910ACL","4910ACL")</f>
        <v>4910ACL</v>
      </c>
      <c r="B4236" s="1" t="s">
        <v>8100</v>
      </c>
      <c r="C4236" s="9" t="s">
        <v>6602</v>
      </c>
      <c r="D4236" s="14" t="s">
        <v>8101</v>
      </c>
      <c r="E4236" s="9" t="s">
        <v>8</v>
      </c>
    </row>
    <row r="4237" spans="1:5" outlineLevel="1" x14ac:dyDescent="0.25">
      <c r="A4237" s="2"/>
      <c r="B4237" s="6" t="s">
        <v>8102</v>
      </c>
      <c r="C4237" s="8"/>
      <c r="D4237" s="8"/>
      <c r="E4237" s="8"/>
    </row>
    <row r="4238" spans="1:5" ht="15" customHeight="1" outlineLevel="2" x14ac:dyDescent="0.25">
      <c r="A4238" s="3" t="str">
        <f>HYPERLINK("http://mystore1.ru/price_items/search?utf8=%E2%9C%93&amp;oem=4909ACL","4909ACL")</f>
        <v>4909ACL</v>
      </c>
      <c r="B4238" s="1" t="s">
        <v>8103</v>
      </c>
      <c r="C4238" s="9" t="s">
        <v>2984</v>
      </c>
      <c r="D4238" s="14" t="s">
        <v>8104</v>
      </c>
      <c r="E4238" s="9" t="s">
        <v>8</v>
      </c>
    </row>
    <row r="4239" spans="1:5" ht="15" customHeight="1" outlineLevel="2" x14ac:dyDescent="0.25">
      <c r="A4239" s="3" t="str">
        <f>HYPERLINK("http://mystore1.ru/price_items/search?utf8=%E2%9C%93&amp;oem=4909AGN","4909AGN")</f>
        <v>4909AGN</v>
      </c>
      <c r="B4239" s="1" t="s">
        <v>8105</v>
      </c>
      <c r="C4239" s="9" t="s">
        <v>2984</v>
      </c>
      <c r="D4239" s="14" t="s">
        <v>8106</v>
      </c>
      <c r="E4239" s="9" t="s">
        <v>8</v>
      </c>
    </row>
    <row r="4240" spans="1:5" ht="15" customHeight="1" outlineLevel="2" x14ac:dyDescent="0.25">
      <c r="A4240" s="3" t="str">
        <f>HYPERLINK("http://mystore1.ru/price_items/search?utf8=%E2%9C%93&amp;oem=4909AGNGN","4909AGNGN")</f>
        <v>4909AGNGN</v>
      </c>
      <c r="B4240" s="1" t="s">
        <v>8107</v>
      </c>
      <c r="C4240" s="9" t="s">
        <v>2984</v>
      </c>
      <c r="D4240" s="14" t="s">
        <v>8108</v>
      </c>
      <c r="E4240" s="9" t="s">
        <v>8</v>
      </c>
    </row>
    <row r="4241" spans="1:5" ht="15" customHeight="1" outlineLevel="2" x14ac:dyDescent="0.25">
      <c r="A4241" s="3" t="str">
        <f>HYPERLINK("http://mystore1.ru/price_items/search?utf8=%E2%9C%93&amp;oem=4909ASRL","4909ASRL")</f>
        <v>4909ASRL</v>
      </c>
      <c r="B4241" s="1" t="s">
        <v>8109</v>
      </c>
      <c r="C4241" s="9" t="s">
        <v>25</v>
      </c>
      <c r="D4241" s="14" t="s">
        <v>8110</v>
      </c>
      <c r="E4241" s="9" t="s">
        <v>27</v>
      </c>
    </row>
    <row r="4242" spans="1:5" ht="15" customHeight="1" outlineLevel="2" x14ac:dyDescent="0.25">
      <c r="A4242" s="3" t="str">
        <f>HYPERLINK("http://mystore1.ru/price_items/search?utf8=%E2%9C%93&amp;oem=4909LCLL2FD","4909LCLL2FD")</f>
        <v>4909LCLL2FD</v>
      </c>
      <c r="B4242" s="1" t="s">
        <v>8111</v>
      </c>
      <c r="C4242" s="9" t="s">
        <v>2984</v>
      </c>
      <c r="D4242" s="14" t="s">
        <v>8112</v>
      </c>
      <c r="E4242" s="9" t="s">
        <v>11</v>
      </c>
    </row>
    <row r="4243" spans="1:5" ht="15" customHeight="1" outlineLevel="2" x14ac:dyDescent="0.25">
      <c r="A4243" s="3" t="str">
        <f>HYPERLINK("http://mystore1.ru/price_items/search?utf8=%E2%9C%93&amp;oem=4909LCLL2FV","4909LCLL2FV")</f>
        <v>4909LCLL2FV</v>
      </c>
      <c r="B4243" s="1" t="s">
        <v>8113</v>
      </c>
      <c r="C4243" s="9" t="s">
        <v>2984</v>
      </c>
      <c r="D4243" s="14" t="s">
        <v>8114</v>
      </c>
      <c r="E4243" s="9" t="s">
        <v>11</v>
      </c>
    </row>
    <row r="4244" spans="1:5" ht="15" customHeight="1" outlineLevel="2" x14ac:dyDescent="0.25">
      <c r="A4244" s="3" t="str">
        <f>HYPERLINK("http://mystore1.ru/price_items/search?utf8=%E2%9C%93&amp;oem=4909RCLL2FD","4909RCLL2FD")</f>
        <v>4909RCLL2FD</v>
      </c>
      <c r="B4244" s="1" t="s">
        <v>8115</v>
      </c>
      <c r="C4244" s="9" t="s">
        <v>2984</v>
      </c>
      <c r="D4244" s="14" t="s">
        <v>8116</v>
      </c>
      <c r="E4244" s="9" t="s">
        <v>11</v>
      </c>
    </row>
    <row r="4245" spans="1:5" ht="15" customHeight="1" outlineLevel="2" x14ac:dyDescent="0.25">
      <c r="A4245" s="3" t="str">
        <f>HYPERLINK("http://mystore1.ru/price_items/search?utf8=%E2%9C%93&amp;oem=4909RCLL2FV","4909RCLL2FV")</f>
        <v>4909RCLL2FV</v>
      </c>
      <c r="B4245" s="1" t="s">
        <v>8117</v>
      </c>
      <c r="C4245" s="9" t="s">
        <v>2984</v>
      </c>
      <c r="D4245" s="14" t="s">
        <v>8118</v>
      </c>
      <c r="E4245" s="9" t="s">
        <v>11</v>
      </c>
    </row>
    <row r="4246" spans="1:5" outlineLevel="1" x14ac:dyDescent="0.25">
      <c r="A4246" s="2"/>
      <c r="B4246" s="6" t="s">
        <v>8119</v>
      </c>
      <c r="C4246" s="8"/>
      <c r="D4246" s="8"/>
      <c r="E4246" s="8"/>
    </row>
    <row r="4247" spans="1:5" ht="15" customHeight="1" outlineLevel="2" x14ac:dyDescent="0.25">
      <c r="A4247" s="3" t="str">
        <f>HYPERLINK("http://mystore1.ru/price_items/search?utf8=%E2%9C%93&amp;oem=4913AGN","4913AGN")</f>
        <v>4913AGN</v>
      </c>
      <c r="B4247" s="1" t="s">
        <v>8120</v>
      </c>
      <c r="C4247" s="9" t="s">
        <v>1403</v>
      </c>
      <c r="D4247" s="14" t="s">
        <v>8121</v>
      </c>
      <c r="E4247" s="9" t="s">
        <v>8</v>
      </c>
    </row>
    <row r="4248" spans="1:5" ht="15" customHeight="1" outlineLevel="2" x14ac:dyDescent="0.25">
      <c r="A4248" s="3" t="str">
        <f>HYPERLINK("http://mystore1.ru/price_items/search?utf8=%E2%9C%93&amp;oem=4913AGNGN","4913AGNGN")</f>
        <v>4913AGNGN</v>
      </c>
      <c r="B4248" s="1" t="s">
        <v>8122</v>
      </c>
      <c r="C4248" s="9" t="s">
        <v>1403</v>
      </c>
      <c r="D4248" s="14" t="s">
        <v>8123</v>
      </c>
      <c r="E4248" s="9" t="s">
        <v>8</v>
      </c>
    </row>
    <row r="4249" spans="1:5" outlineLevel="1" x14ac:dyDescent="0.25">
      <c r="A4249" s="2"/>
      <c r="B4249" s="6" t="s">
        <v>8124</v>
      </c>
      <c r="C4249" s="8"/>
      <c r="D4249" s="8"/>
      <c r="E4249" s="8"/>
    </row>
    <row r="4250" spans="1:5" outlineLevel="2" x14ac:dyDescent="0.25">
      <c r="A4250" s="3" t="str">
        <f>HYPERLINK("http://mystore1.ru/price_items/search?utf8=%E2%9C%93&amp;oem=4911ACL","4911ACL")</f>
        <v>4911ACL</v>
      </c>
      <c r="B4250" s="1" t="s">
        <v>8125</v>
      </c>
      <c r="C4250" s="9" t="s">
        <v>1403</v>
      </c>
      <c r="D4250" s="14" t="s">
        <v>8126</v>
      </c>
      <c r="E4250" s="9" t="s">
        <v>8</v>
      </c>
    </row>
    <row r="4251" spans="1:5" outlineLevel="2" x14ac:dyDescent="0.25">
      <c r="A4251" s="3" t="str">
        <f>HYPERLINK("http://mystore1.ru/price_items/search?utf8=%E2%9C%93&amp;oem=4911AGN","4911AGN")</f>
        <v>4911AGN</v>
      </c>
      <c r="B4251" s="1" t="s">
        <v>8127</v>
      </c>
      <c r="C4251" s="9" t="s">
        <v>1403</v>
      </c>
      <c r="D4251" s="14" t="s">
        <v>8128</v>
      </c>
      <c r="E4251" s="9" t="s">
        <v>8</v>
      </c>
    </row>
    <row r="4252" spans="1:5" outlineLevel="2" x14ac:dyDescent="0.25">
      <c r="A4252" s="3" t="str">
        <f>HYPERLINK("http://mystore1.ru/price_items/search?utf8=%E2%9C%93&amp;oem=4911AGNGN","4911AGNGN")</f>
        <v>4911AGNGN</v>
      </c>
      <c r="B4252" s="1" t="s">
        <v>8129</v>
      </c>
      <c r="C4252" s="9" t="s">
        <v>1403</v>
      </c>
      <c r="D4252" s="14" t="s">
        <v>8130</v>
      </c>
      <c r="E4252" s="9" t="s">
        <v>8</v>
      </c>
    </row>
    <row r="4253" spans="1:5" outlineLevel="2" x14ac:dyDescent="0.25">
      <c r="A4253" s="3" t="str">
        <f>HYPERLINK("http://mystore1.ru/price_items/search?utf8=%E2%9C%93&amp;oem=4911AKMLT","4911AKMLT")</f>
        <v>4911AKMLT</v>
      </c>
      <c r="B4253" s="1" t="s">
        <v>8131</v>
      </c>
      <c r="C4253" s="9" t="s">
        <v>25</v>
      </c>
      <c r="D4253" s="14" t="s">
        <v>8132</v>
      </c>
      <c r="E4253" s="9" t="s">
        <v>27</v>
      </c>
    </row>
    <row r="4254" spans="1:5" outlineLevel="2" x14ac:dyDescent="0.25">
      <c r="A4254" s="3" t="str">
        <f>HYPERLINK("http://mystore1.ru/price_items/search?utf8=%E2%9C%93&amp;oem=4912ACL","4912ACL")</f>
        <v>4912ACL</v>
      </c>
      <c r="B4254" s="1" t="s">
        <v>8133</v>
      </c>
      <c r="C4254" s="9" t="s">
        <v>1403</v>
      </c>
      <c r="D4254" s="14" t="s">
        <v>8134</v>
      </c>
      <c r="E4254" s="9" t="s">
        <v>8</v>
      </c>
    </row>
    <row r="4255" spans="1:5" outlineLevel="2" x14ac:dyDescent="0.25">
      <c r="A4255" s="3" t="str">
        <f>HYPERLINK("http://mystore1.ru/price_items/search?utf8=%E2%9C%93&amp;oem=4912AGN","4912AGN")</f>
        <v>4912AGN</v>
      </c>
      <c r="B4255" s="1" t="s">
        <v>8135</v>
      </c>
      <c r="C4255" s="9" t="s">
        <v>1403</v>
      </c>
      <c r="D4255" s="14" t="s">
        <v>8136</v>
      </c>
      <c r="E4255" s="9" t="s">
        <v>8</v>
      </c>
    </row>
    <row r="4256" spans="1:5" outlineLevel="2" x14ac:dyDescent="0.25">
      <c r="A4256" s="3" t="str">
        <f>HYPERLINK("http://mystore1.ru/price_items/search?utf8=%E2%9C%93&amp;oem=4912AGNGN","4912AGNGN")</f>
        <v>4912AGNGN</v>
      </c>
      <c r="B4256" s="1" t="s">
        <v>8137</v>
      </c>
      <c r="C4256" s="9" t="s">
        <v>1403</v>
      </c>
      <c r="D4256" s="14" t="s">
        <v>8138</v>
      </c>
      <c r="E4256" s="9" t="s">
        <v>8</v>
      </c>
    </row>
    <row r="4257" spans="1:5" outlineLevel="2" x14ac:dyDescent="0.25">
      <c r="A4257" s="3" t="str">
        <f>HYPERLINK("http://mystore1.ru/price_items/search?utf8=%E2%9C%93&amp;oem=4911LCLL2FD","4911LCLL2FD")</f>
        <v>4911LCLL2FD</v>
      </c>
      <c r="B4257" s="1" t="s">
        <v>8139</v>
      </c>
      <c r="C4257" s="9" t="s">
        <v>1403</v>
      </c>
      <c r="D4257" s="14" t="s">
        <v>8140</v>
      </c>
      <c r="E4257" s="9" t="s">
        <v>11</v>
      </c>
    </row>
    <row r="4258" spans="1:5" outlineLevel="2" x14ac:dyDescent="0.25">
      <c r="A4258" s="3" t="str">
        <f>HYPERLINK("http://mystore1.ru/price_items/search?utf8=%E2%9C%93&amp;oem=4911LGNL2FD","4911LGNL2FD")</f>
        <v>4911LGNL2FD</v>
      </c>
      <c r="B4258" s="1" t="s">
        <v>8141</v>
      </c>
      <c r="C4258" s="9" t="s">
        <v>1403</v>
      </c>
      <c r="D4258" s="14" t="s">
        <v>8142</v>
      </c>
      <c r="E4258" s="9" t="s">
        <v>11</v>
      </c>
    </row>
    <row r="4259" spans="1:5" outlineLevel="2" x14ac:dyDescent="0.25">
      <c r="A4259" s="3" t="str">
        <f>HYPERLINK("http://mystore1.ru/price_items/search?utf8=%E2%9C%93&amp;oem=4911RCLL2FD","4911RCLL2FD")</f>
        <v>4911RCLL2FD</v>
      </c>
      <c r="B4259" s="1" t="s">
        <v>8143</v>
      </c>
      <c r="C4259" s="9" t="s">
        <v>1403</v>
      </c>
      <c r="D4259" s="14" t="s">
        <v>8144</v>
      </c>
      <c r="E4259" s="9" t="s">
        <v>11</v>
      </c>
    </row>
    <row r="4260" spans="1:5" outlineLevel="2" x14ac:dyDescent="0.25">
      <c r="A4260" s="3" t="str">
        <f>HYPERLINK("http://mystore1.ru/price_items/search?utf8=%E2%9C%93&amp;oem=4911RGNL2FD","4911RGNL2FD")</f>
        <v>4911RGNL2FD</v>
      </c>
      <c r="B4260" s="1" t="s">
        <v>8145</v>
      </c>
      <c r="C4260" s="9" t="s">
        <v>1403</v>
      </c>
      <c r="D4260" s="14" t="s">
        <v>8146</v>
      </c>
      <c r="E4260" s="9" t="s">
        <v>11</v>
      </c>
    </row>
    <row r="4261" spans="1:5" x14ac:dyDescent="0.25">
      <c r="A4261" s="61" t="s">
        <v>8147</v>
      </c>
      <c r="B4261" s="61"/>
      <c r="C4261" s="61"/>
      <c r="D4261" s="61"/>
      <c r="E4261" s="61"/>
    </row>
    <row r="4262" spans="1:5" outlineLevel="1" x14ac:dyDescent="0.25">
      <c r="A4262" s="2"/>
      <c r="B4262" s="6" t="s">
        <v>8148</v>
      </c>
      <c r="C4262" s="8"/>
      <c r="D4262" s="8"/>
      <c r="E4262" s="8"/>
    </row>
    <row r="4263" spans="1:5" outlineLevel="2" x14ac:dyDescent="0.25">
      <c r="A4263" s="3" t="str">
        <f>HYPERLINK("http://mystore1.ru/price_items/search?utf8=%E2%9C%93&amp;oem=9302ACL","9302ACL")</f>
        <v>9302ACL</v>
      </c>
      <c r="B4263" s="1" t="s">
        <v>8149</v>
      </c>
      <c r="C4263" s="9" t="s">
        <v>8150</v>
      </c>
      <c r="D4263" s="14" t="s">
        <v>8151</v>
      </c>
      <c r="E4263" s="9" t="s">
        <v>8</v>
      </c>
    </row>
    <row r="4264" spans="1:5" x14ac:dyDescent="0.25">
      <c r="A4264" s="61" t="s">
        <v>8152</v>
      </c>
      <c r="B4264" s="61"/>
      <c r="C4264" s="61"/>
      <c r="D4264" s="61"/>
      <c r="E4264" s="61"/>
    </row>
    <row r="4265" spans="1:5" outlineLevel="1" x14ac:dyDescent="0.25">
      <c r="A4265" s="2"/>
      <c r="B4265" s="6" t="s">
        <v>8153</v>
      </c>
      <c r="C4265" s="8"/>
      <c r="D4265" s="8"/>
      <c r="E4265" s="8"/>
    </row>
    <row r="4266" spans="1:5" ht="15" customHeight="1" outlineLevel="2" x14ac:dyDescent="0.25">
      <c r="A4266" s="3" t="str">
        <f>HYPERLINK("http://mystore1.ru/price_items/search?utf8=%E2%9C%93&amp;oem=5165AGNBLW","5165AGNBLW")</f>
        <v>5165AGNBLW</v>
      </c>
      <c r="B4266" s="1" t="s">
        <v>8154</v>
      </c>
      <c r="C4266" s="9" t="s">
        <v>1617</v>
      </c>
      <c r="D4266" s="14" t="s">
        <v>8155</v>
      </c>
      <c r="E4266" s="9" t="s">
        <v>8</v>
      </c>
    </row>
    <row r="4267" spans="1:5" ht="15" customHeight="1" outlineLevel="2" x14ac:dyDescent="0.25">
      <c r="A4267" s="3" t="str">
        <f>HYPERLINK("http://mystore1.ru/price_items/search?utf8=%E2%9C%93&amp;oem=5165AGNVW","5165AGNVW")</f>
        <v>5165AGNVW</v>
      </c>
      <c r="B4267" s="1" t="s">
        <v>8156</v>
      </c>
      <c r="C4267" s="9" t="s">
        <v>1617</v>
      </c>
      <c r="D4267" s="14" t="s">
        <v>8157</v>
      </c>
      <c r="E4267" s="9" t="s">
        <v>8</v>
      </c>
    </row>
    <row r="4268" spans="1:5" ht="15" customHeight="1" outlineLevel="2" x14ac:dyDescent="0.25">
      <c r="A4268" s="3" t="str">
        <f>HYPERLINK("http://mystore1.ru/price_items/search?utf8=%E2%9C%93&amp;oem=5165AGNW","5165AGNW")</f>
        <v>5165AGNW</v>
      </c>
      <c r="B4268" s="1" t="s">
        <v>8158</v>
      </c>
      <c r="C4268" s="9" t="s">
        <v>1617</v>
      </c>
      <c r="D4268" s="14" t="s">
        <v>8159</v>
      </c>
      <c r="E4268" s="9" t="s">
        <v>8</v>
      </c>
    </row>
    <row r="4269" spans="1:5" ht="15" customHeight="1" outlineLevel="2" x14ac:dyDescent="0.25">
      <c r="A4269" s="3" t="str">
        <f>HYPERLINK("http://mystore1.ru/price_items/search?utf8=%E2%9C%93&amp;oem=5165ASMH","5165ASMH")</f>
        <v>5165ASMH</v>
      </c>
      <c r="B4269" s="1" t="s">
        <v>8160</v>
      </c>
      <c r="C4269" s="9" t="s">
        <v>25</v>
      </c>
      <c r="D4269" s="14" t="s">
        <v>8161</v>
      </c>
      <c r="E4269" s="9" t="s">
        <v>27</v>
      </c>
    </row>
    <row r="4270" spans="1:5" ht="15" customHeight="1" outlineLevel="2" x14ac:dyDescent="0.25">
      <c r="A4270" s="3" t="str">
        <f>HYPERLINK("http://mystore1.ru/price_items/search?utf8=%E2%9C%93&amp;oem=5165ASMV","5165ASMV")</f>
        <v>5165ASMV</v>
      </c>
      <c r="B4270" s="1" t="s">
        <v>8162</v>
      </c>
      <c r="C4270" s="9" t="s">
        <v>25</v>
      </c>
      <c r="D4270" s="14" t="s">
        <v>8163</v>
      </c>
      <c r="E4270" s="9" t="s">
        <v>27</v>
      </c>
    </row>
    <row r="4271" spans="1:5" ht="15" customHeight="1" outlineLevel="2" x14ac:dyDescent="0.25">
      <c r="A4271" s="3" t="str">
        <f>HYPERLINK("http://mystore1.ru/price_items/search?utf8=%E2%9C%93&amp;oem=5165BGNVW","5165BGNVW")</f>
        <v>5165BGNVW</v>
      </c>
      <c r="B4271" s="1" t="s">
        <v>8164</v>
      </c>
      <c r="C4271" s="9" t="s">
        <v>1617</v>
      </c>
      <c r="D4271" s="14" t="s">
        <v>8165</v>
      </c>
      <c r="E4271" s="9" t="s">
        <v>30</v>
      </c>
    </row>
    <row r="4272" spans="1:5" ht="15" customHeight="1" outlineLevel="2" x14ac:dyDescent="0.25">
      <c r="A4272" s="3" t="str">
        <f>HYPERLINK("http://mystore1.ru/price_items/search?utf8=%E2%9C%93&amp;oem=5165LGNV5FD","5165LGNV5FD")</f>
        <v>5165LGNV5FD</v>
      </c>
      <c r="B4272" s="1" t="s">
        <v>8166</v>
      </c>
      <c r="C4272" s="9" t="s">
        <v>1617</v>
      </c>
      <c r="D4272" s="14" t="s">
        <v>8167</v>
      </c>
      <c r="E4272" s="9" t="s">
        <v>11</v>
      </c>
    </row>
    <row r="4273" spans="1:5" ht="15" customHeight="1" outlineLevel="2" x14ac:dyDescent="0.25">
      <c r="A4273" s="3" t="str">
        <f>HYPERLINK("http://mystore1.ru/price_items/search?utf8=%E2%9C%93&amp;oem=5165LGNV5RD","5165LGNV5RD")</f>
        <v>5165LGNV5RD</v>
      </c>
      <c r="B4273" s="1" t="s">
        <v>8168</v>
      </c>
      <c r="C4273" s="9" t="s">
        <v>1617</v>
      </c>
      <c r="D4273" s="14" t="s">
        <v>8169</v>
      </c>
      <c r="E4273" s="9" t="s">
        <v>11</v>
      </c>
    </row>
    <row r="4274" spans="1:5" ht="15" customHeight="1" outlineLevel="2" x14ac:dyDescent="0.25">
      <c r="A4274" s="3" t="str">
        <f>HYPERLINK("http://mystore1.ru/price_items/search?utf8=%E2%9C%93&amp;oem=5165LGNV5RV","5165LGNV5RV")</f>
        <v>5165LGNV5RV</v>
      </c>
      <c r="B4274" s="1" t="s">
        <v>8170</v>
      </c>
      <c r="C4274" s="9" t="s">
        <v>1617</v>
      </c>
      <c r="D4274" s="14" t="s">
        <v>8171</v>
      </c>
      <c r="E4274" s="9" t="s">
        <v>11</v>
      </c>
    </row>
    <row r="4275" spans="1:5" ht="15" customHeight="1" outlineLevel="2" x14ac:dyDescent="0.25">
      <c r="A4275" s="3" t="str">
        <f>HYPERLINK("http://mystore1.ru/price_items/search?utf8=%E2%9C%93&amp;oem=5165RGNV5FD","5165RGNV5FD")</f>
        <v>5165RGNV5FD</v>
      </c>
      <c r="B4275" s="1" t="s">
        <v>8172</v>
      </c>
      <c r="C4275" s="9" t="s">
        <v>1617</v>
      </c>
      <c r="D4275" s="14" t="s">
        <v>8173</v>
      </c>
      <c r="E4275" s="9" t="s">
        <v>11</v>
      </c>
    </row>
    <row r="4276" spans="1:5" ht="15" customHeight="1" outlineLevel="2" x14ac:dyDescent="0.25">
      <c r="A4276" s="3" t="str">
        <f>HYPERLINK("http://mystore1.ru/price_items/search?utf8=%E2%9C%93&amp;oem=5165RGNV5RD","5165RGNV5RD")</f>
        <v>5165RGNV5RD</v>
      </c>
      <c r="B4276" s="1" t="s">
        <v>8174</v>
      </c>
      <c r="C4276" s="9" t="s">
        <v>1617</v>
      </c>
      <c r="D4276" s="14" t="s">
        <v>8175</v>
      </c>
      <c r="E4276" s="9" t="s">
        <v>11</v>
      </c>
    </row>
    <row r="4277" spans="1:5" ht="15" customHeight="1" outlineLevel="2" x14ac:dyDescent="0.25">
      <c r="A4277" s="3" t="str">
        <f>HYPERLINK("http://mystore1.ru/price_items/search?utf8=%E2%9C%93&amp;oem=5165RGNV5RV","5165RGNV5RV")</f>
        <v>5165RGNV5RV</v>
      </c>
      <c r="B4277" s="1" t="s">
        <v>8176</v>
      </c>
      <c r="C4277" s="9" t="s">
        <v>1617</v>
      </c>
      <c r="D4277" s="14" t="s">
        <v>8177</v>
      </c>
      <c r="E4277" s="9" t="s">
        <v>11</v>
      </c>
    </row>
    <row r="4278" spans="1:5" outlineLevel="1" x14ac:dyDescent="0.25">
      <c r="A4278" s="2"/>
      <c r="B4278" s="6" t="s">
        <v>8178</v>
      </c>
      <c r="C4278" s="8"/>
      <c r="D4278" s="8"/>
      <c r="E4278" s="8"/>
    </row>
    <row r="4279" spans="1:5" ht="15" customHeight="1" outlineLevel="2" x14ac:dyDescent="0.25">
      <c r="A4279" s="3" t="str">
        <f>HYPERLINK("http://mystore1.ru/price_items/search?utf8=%E2%9C%93&amp;oem=5173AGNW","5173AGNW")</f>
        <v>5173AGNW</v>
      </c>
      <c r="B4279" s="1" t="s">
        <v>8179</v>
      </c>
      <c r="C4279" s="9" t="s">
        <v>511</v>
      </c>
      <c r="D4279" s="14" t="s">
        <v>8180</v>
      </c>
      <c r="E4279" s="9" t="s">
        <v>8</v>
      </c>
    </row>
    <row r="4280" spans="1:5" ht="15" customHeight="1" outlineLevel="2" x14ac:dyDescent="0.25">
      <c r="A4280" s="3" t="str">
        <f>HYPERLINK("http://mystore1.ru/price_items/search?utf8=%E2%9C%93&amp;oem=5173LGNH5FD","5173LGNH5FD")</f>
        <v>5173LGNH5FD</v>
      </c>
      <c r="B4280" s="1" t="s">
        <v>8181</v>
      </c>
      <c r="C4280" s="9" t="s">
        <v>511</v>
      </c>
      <c r="D4280" s="14" t="s">
        <v>8182</v>
      </c>
      <c r="E4280" s="9" t="s">
        <v>11</v>
      </c>
    </row>
    <row r="4281" spans="1:5" ht="15" customHeight="1" outlineLevel="2" x14ac:dyDescent="0.25">
      <c r="A4281" s="3" t="str">
        <f>HYPERLINK("http://mystore1.ru/price_items/search?utf8=%E2%9C%93&amp;oem=5173LGNH5RD","5173LGNH5RD")</f>
        <v>5173LGNH5RD</v>
      </c>
      <c r="B4281" s="1" t="s">
        <v>8183</v>
      </c>
      <c r="C4281" s="9" t="s">
        <v>511</v>
      </c>
      <c r="D4281" s="14" t="s">
        <v>8184</v>
      </c>
      <c r="E4281" s="9" t="s">
        <v>11</v>
      </c>
    </row>
    <row r="4282" spans="1:5" ht="15" customHeight="1" outlineLevel="2" x14ac:dyDescent="0.25">
      <c r="A4282" s="3" t="str">
        <f>HYPERLINK("http://mystore1.ru/price_items/search?utf8=%E2%9C%93&amp;oem=5173RGNH5FD","5173RGNH5FD")</f>
        <v>5173RGNH5FD</v>
      </c>
      <c r="B4282" s="1" t="s">
        <v>8185</v>
      </c>
      <c r="C4282" s="9" t="s">
        <v>511</v>
      </c>
      <c r="D4282" s="14" t="s">
        <v>8186</v>
      </c>
      <c r="E4282" s="9" t="s">
        <v>11</v>
      </c>
    </row>
    <row r="4283" spans="1:5" ht="15" customHeight="1" outlineLevel="2" x14ac:dyDescent="0.25">
      <c r="A4283" s="3" t="str">
        <f>HYPERLINK("http://mystore1.ru/price_items/search?utf8=%E2%9C%93&amp;oem=5173RGNH5RD","5173RGNH5RD")</f>
        <v>5173RGNH5RD</v>
      </c>
      <c r="B4283" s="1" t="s">
        <v>8187</v>
      </c>
      <c r="C4283" s="9" t="s">
        <v>511</v>
      </c>
      <c r="D4283" s="14" t="s">
        <v>8188</v>
      </c>
      <c r="E4283" s="9" t="s">
        <v>11</v>
      </c>
    </row>
    <row r="4284" spans="1:5" outlineLevel="1" x14ac:dyDescent="0.25">
      <c r="A4284" s="2"/>
      <c r="B4284" s="6" t="s">
        <v>8189</v>
      </c>
      <c r="C4284" s="8"/>
      <c r="D4284" s="8"/>
      <c r="E4284" s="8"/>
    </row>
    <row r="4285" spans="1:5" ht="15" customHeight="1" outlineLevel="2" x14ac:dyDescent="0.25">
      <c r="A4285" s="3" t="str">
        <f>HYPERLINK("http://mystore1.ru/price_items/search?utf8=%E2%9C%93&amp;oem=5166AGNW","5166AGNW")</f>
        <v>5166AGNW</v>
      </c>
      <c r="B4285" s="1" t="s">
        <v>8190</v>
      </c>
      <c r="C4285" s="9" t="s">
        <v>1590</v>
      </c>
      <c r="D4285" s="14" t="s">
        <v>8191</v>
      </c>
      <c r="E4285" s="9" t="s">
        <v>8</v>
      </c>
    </row>
    <row r="4286" spans="1:5" ht="15" customHeight="1" outlineLevel="2" x14ac:dyDescent="0.25">
      <c r="A4286" s="3" t="str">
        <f>HYPERLINK("http://mystore1.ru/price_items/search?utf8=%E2%9C%93&amp;oem=5166AGNBLW","5166AGNBLW")</f>
        <v>5166AGNBLW</v>
      </c>
      <c r="B4286" s="1" t="s">
        <v>8192</v>
      </c>
      <c r="C4286" s="9" t="s">
        <v>1590</v>
      </c>
      <c r="D4286" s="14" t="s">
        <v>8193</v>
      </c>
      <c r="E4286" s="9" t="s">
        <v>8</v>
      </c>
    </row>
    <row r="4287" spans="1:5" ht="15" customHeight="1" outlineLevel="2" x14ac:dyDescent="0.25">
      <c r="A4287" s="3" t="str">
        <f>HYPERLINK("http://mystore1.ru/price_items/search?utf8=%E2%9C%93&amp;oem=5166AGNW2B","5166AGNW2B")</f>
        <v>5166AGNW2B</v>
      </c>
      <c r="B4287" s="1" t="s">
        <v>8194</v>
      </c>
      <c r="C4287" s="9" t="s">
        <v>6108</v>
      </c>
      <c r="D4287" s="14" t="s">
        <v>8195</v>
      </c>
      <c r="E4287" s="9" t="s">
        <v>8</v>
      </c>
    </row>
    <row r="4288" spans="1:5" ht="15" customHeight="1" outlineLevel="2" x14ac:dyDescent="0.25">
      <c r="A4288" s="3" t="str">
        <f>HYPERLINK("http://mystore1.ru/price_items/search?utf8=%E2%9C%93&amp;oem=5166AGNBLW2B","5166AGNBLW2B")</f>
        <v>5166AGNBLW2B</v>
      </c>
      <c r="B4288" s="1" t="s">
        <v>8196</v>
      </c>
      <c r="C4288" s="9" t="s">
        <v>6108</v>
      </c>
      <c r="D4288" s="14" t="s">
        <v>8197</v>
      </c>
      <c r="E4288" s="9" t="s">
        <v>8</v>
      </c>
    </row>
    <row r="4289" spans="1:5" ht="15" customHeight="1" outlineLevel="2" x14ac:dyDescent="0.25">
      <c r="A4289" s="3" t="str">
        <f>HYPERLINK("http://mystore1.ru/price_items/search?utf8=%E2%9C%93&amp;oem=5166AGNM1B","5166AGNM1B")</f>
        <v>5166AGNM1B</v>
      </c>
      <c r="B4289" s="1" t="s">
        <v>8198</v>
      </c>
      <c r="C4289" s="9" t="s">
        <v>2351</v>
      </c>
      <c r="D4289" s="14" t="s">
        <v>8199</v>
      </c>
      <c r="E4289" s="9" t="s">
        <v>8</v>
      </c>
    </row>
    <row r="4290" spans="1:5" ht="15" customHeight="1" outlineLevel="2" x14ac:dyDescent="0.25">
      <c r="A4290" s="3" t="str">
        <f>HYPERLINK("http://mystore1.ru/price_items/search?utf8=%E2%9C%93&amp;oem=5166AGNMW1B","5166AGNMW1B")</f>
        <v>5166AGNMW1B</v>
      </c>
      <c r="B4290" s="1" t="s">
        <v>8200</v>
      </c>
      <c r="C4290" s="9" t="s">
        <v>2351</v>
      </c>
      <c r="D4290" s="14" t="s">
        <v>8201</v>
      </c>
      <c r="E4290" s="9" t="s">
        <v>8</v>
      </c>
    </row>
    <row r="4291" spans="1:5" ht="15" customHeight="1" outlineLevel="2" x14ac:dyDescent="0.25">
      <c r="A4291" s="3" t="str">
        <f>HYPERLINK("http://mystore1.ru/price_items/search?utf8=%E2%9C%93&amp;oem=5166AGNMW3B","5166AGNMW3B")</f>
        <v>5166AGNMW3B</v>
      </c>
      <c r="B4291" s="1" t="s">
        <v>8202</v>
      </c>
      <c r="C4291" s="9" t="s">
        <v>6108</v>
      </c>
      <c r="D4291" s="14" t="s">
        <v>8203</v>
      </c>
      <c r="E4291" s="9" t="s">
        <v>8</v>
      </c>
    </row>
    <row r="4292" spans="1:5" ht="15" customHeight="1" outlineLevel="2" x14ac:dyDescent="0.25">
      <c r="A4292" s="3" t="str">
        <f>HYPERLINK("http://mystore1.ru/price_items/search?utf8=%E2%9C%93&amp;oem=5166AGNW1V","5166AGNW1V")</f>
        <v>5166AGNW1V</v>
      </c>
      <c r="B4292" s="1" t="s">
        <v>8204</v>
      </c>
      <c r="C4292" s="9" t="s">
        <v>6108</v>
      </c>
      <c r="D4292" s="14" t="s">
        <v>8205</v>
      </c>
      <c r="E4292" s="9" t="s">
        <v>8</v>
      </c>
    </row>
    <row r="4293" spans="1:5" ht="15" customHeight="1" outlineLevel="2" x14ac:dyDescent="0.25">
      <c r="A4293" s="3" t="str">
        <f>HYPERLINK("http://mystore1.ru/price_items/search?utf8=%E2%9C%93&amp;oem=5166ASMH","5166ASMH")</f>
        <v>5166ASMH</v>
      </c>
      <c r="B4293" s="1" t="s">
        <v>8206</v>
      </c>
      <c r="C4293" s="9" t="s">
        <v>25</v>
      </c>
      <c r="D4293" s="14" t="s">
        <v>8207</v>
      </c>
      <c r="E4293" s="9" t="s">
        <v>27</v>
      </c>
    </row>
    <row r="4294" spans="1:5" ht="15" customHeight="1" outlineLevel="2" x14ac:dyDescent="0.25">
      <c r="A4294" s="3" t="str">
        <f>HYPERLINK("http://mystore1.ru/price_items/search?utf8=%E2%9C%93&amp;oem=5166BGNH","5166BGNH")</f>
        <v>5166BGNH</v>
      </c>
      <c r="B4294" s="1" t="s">
        <v>8208</v>
      </c>
      <c r="C4294" s="9" t="s">
        <v>2351</v>
      </c>
      <c r="D4294" s="14" t="s">
        <v>8209</v>
      </c>
      <c r="E4294" s="9" t="s">
        <v>30</v>
      </c>
    </row>
    <row r="4295" spans="1:5" ht="15" customHeight="1" outlineLevel="2" x14ac:dyDescent="0.25">
      <c r="A4295" s="3" t="str">
        <f>HYPERLINK("http://mystore1.ru/price_items/search?utf8=%E2%9C%93&amp;oem=5166BGNSW","5166BGNSW")</f>
        <v>5166BGNSW</v>
      </c>
      <c r="B4295" s="1" t="s">
        <v>8210</v>
      </c>
      <c r="C4295" s="9" t="s">
        <v>2351</v>
      </c>
      <c r="D4295" s="14" t="s">
        <v>8211</v>
      </c>
      <c r="E4295" s="9" t="s">
        <v>30</v>
      </c>
    </row>
    <row r="4296" spans="1:5" ht="15" customHeight="1" outlineLevel="2" x14ac:dyDescent="0.25">
      <c r="A4296" s="3" t="str">
        <f>HYPERLINK("http://mystore1.ru/price_items/search?utf8=%E2%9C%93&amp;oem=5166LGNH5FD","5166LGNH5FD")</f>
        <v>5166LGNH5FD</v>
      </c>
      <c r="B4296" s="1" t="s">
        <v>8212</v>
      </c>
      <c r="C4296" s="9" t="s">
        <v>2351</v>
      </c>
      <c r="D4296" s="14" t="s">
        <v>8213</v>
      </c>
      <c r="E4296" s="9" t="s">
        <v>11</v>
      </c>
    </row>
    <row r="4297" spans="1:5" ht="15" customHeight="1" outlineLevel="2" x14ac:dyDescent="0.25">
      <c r="A4297" s="3" t="str">
        <f>HYPERLINK("http://mystore1.ru/price_items/search?utf8=%E2%9C%93&amp;oem=5166LGNH5RD","5166LGNH5RD")</f>
        <v>5166LGNH5RD</v>
      </c>
      <c r="B4297" s="1" t="s">
        <v>8214</v>
      </c>
      <c r="C4297" s="9" t="s">
        <v>2351</v>
      </c>
      <c r="D4297" s="14" t="s">
        <v>8215</v>
      </c>
      <c r="E4297" s="9" t="s">
        <v>11</v>
      </c>
    </row>
    <row r="4298" spans="1:5" ht="15" customHeight="1" outlineLevel="2" x14ac:dyDescent="0.25">
      <c r="A4298" s="3" t="str">
        <f>HYPERLINK("http://mystore1.ru/price_items/search?utf8=%E2%9C%93&amp;oem=5166LGNH5RQZ","5166LGNH5RQZ")</f>
        <v>5166LGNH5RQZ</v>
      </c>
      <c r="B4298" s="1" t="s">
        <v>8216</v>
      </c>
      <c r="C4298" s="9" t="s">
        <v>2351</v>
      </c>
      <c r="D4298" s="14" t="s">
        <v>8217</v>
      </c>
      <c r="E4298" s="9" t="s">
        <v>11</v>
      </c>
    </row>
    <row r="4299" spans="1:5" ht="15" customHeight="1" outlineLevel="2" x14ac:dyDescent="0.25">
      <c r="A4299" s="3" t="str">
        <f>HYPERLINK("http://mystore1.ru/price_items/search?utf8=%E2%9C%93&amp;oem=5166LGNS4RD","5166LGNS4RD")</f>
        <v>5166LGNS4RD</v>
      </c>
      <c r="B4299" s="1" t="s">
        <v>8218</v>
      </c>
      <c r="C4299" s="9" t="s">
        <v>2351</v>
      </c>
      <c r="D4299" s="14" t="s">
        <v>8219</v>
      </c>
      <c r="E4299" s="9" t="s">
        <v>11</v>
      </c>
    </row>
    <row r="4300" spans="1:5" ht="15" customHeight="1" outlineLevel="2" x14ac:dyDescent="0.25">
      <c r="A4300" s="3" t="str">
        <f>HYPERLINK("http://mystore1.ru/price_items/search?utf8=%E2%9C%93&amp;oem=5166LGNS4RV","5166LGNS4RV")</f>
        <v>5166LGNS4RV</v>
      </c>
      <c r="B4300" s="1" t="s">
        <v>8220</v>
      </c>
      <c r="C4300" s="9" t="s">
        <v>2351</v>
      </c>
      <c r="D4300" s="14" t="s">
        <v>8221</v>
      </c>
      <c r="E4300" s="9" t="s">
        <v>11</v>
      </c>
    </row>
    <row r="4301" spans="1:5" ht="15" customHeight="1" outlineLevel="2" x14ac:dyDescent="0.25">
      <c r="A4301" s="3" t="str">
        <f>HYPERLINK("http://mystore1.ru/price_items/search?utf8=%E2%9C%93&amp;oem=5166RGNH5FD","5166RGNH5FD")</f>
        <v>5166RGNH5FD</v>
      </c>
      <c r="B4301" s="1" t="s">
        <v>8222</v>
      </c>
      <c r="C4301" s="9" t="s">
        <v>2351</v>
      </c>
      <c r="D4301" s="14" t="s">
        <v>8223</v>
      </c>
      <c r="E4301" s="9" t="s">
        <v>11</v>
      </c>
    </row>
    <row r="4302" spans="1:5" ht="15" customHeight="1" outlineLevel="2" x14ac:dyDescent="0.25">
      <c r="A4302" s="3" t="str">
        <f>HYPERLINK("http://mystore1.ru/price_items/search?utf8=%E2%9C%93&amp;oem=5166RGNH5RD","5166RGNH5RD")</f>
        <v>5166RGNH5RD</v>
      </c>
      <c r="B4302" s="1" t="s">
        <v>8224</v>
      </c>
      <c r="C4302" s="9" t="s">
        <v>2351</v>
      </c>
      <c r="D4302" s="14" t="s">
        <v>8225</v>
      </c>
      <c r="E4302" s="9" t="s">
        <v>11</v>
      </c>
    </row>
    <row r="4303" spans="1:5" ht="15" customHeight="1" outlineLevel="2" x14ac:dyDescent="0.25">
      <c r="A4303" s="3" t="str">
        <f>HYPERLINK("http://mystore1.ru/price_items/search?utf8=%E2%9C%93&amp;oem=5166RGNH5RQZ","5166RGNH5RQZ")</f>
        <v>5166RGNH5RQZ</v>
      </c>
      <c r="B4303" s="1" t="s">
        <v>8226</v>
      </c>
      <c r="C4303" s="9" t="s">
        <v>2351</v>
      </c>
      <c r="D4303" s="14" t="s">
        <v>8227</v>
      </c>
      <c r="E4303" s="9" t="s">
        <v>11</v>
      </c>
    </row>
    <row r="4304" spans="1:5" ht="15" customHeight="1" outlineLevel="2" x14ac:dyDescent="0.25">
      <c r="A4304" s="3" t="str">
        <f>HYPERLINK("http://mystore1.ru/price_items/search?utf8=%E2%9C%93&amp;oem=5166RGNS4RD","5166RGNS4RD")</f>
        <v>5166RGNS4RD</v>
      </c>
      <c r="B4304" s="1" t="s">
        <v>8228</v>
      </c>
      <c r="C4304" s="9" t="s">
        <v>2351</v>
      </c>
      <c r="D4304" s="14" t="s">
        <v>8229</v>
      </c>
      <c r="E4304" s="9" t="s">
        <v>11</v>
      </c>
    </row>
    <row r="4305" spans="1:5" ht="15" customHeight="1" outlineLevel="2" x14ac:dyDescent="0.25">
      <c r="A4305" s="3" t="str">
        <f>HYPERLINK("http://mystore1.ru/price_items/search?utf8=%E2%9C%93&amp;oem=5166RGNS4RV","5166RGNS4RV")</f>
        <v>5166RGNS4RV</v>
      </c>
      <c r="B4305" s="1" t="s">
        <v>8230</v>
      </c>
      <c r="C4305" s="9" t="s">
        <v>2351</v>
      </c>
      <c r="D4305" s="14" t="s">
        <v>8231</v>
      </c>
      <c r="E4305" s="9" t="s">
        <v>11</v>
      </c>
    </row>
    <row r="4306" spans="1:5" outlineLevel="1" x14ac:dyDescent="0.25">
      <c r="A4306" s="2"/>
      <c r="B4306" s="6" t="s">
        <v>8232</v>
      </c>
      <c r="C4306" s="8"/>
      <c r="D4306" s="8"/>
      <c r="E4306" s="8"/>
    </row>
    <row r="4307" spans="1:5" ht="15" customHeight="1" outlineLevel="2" x14ac:dyDescent="0.25">
      <c r="A4307" s="3" t="str">
        <f>HYPERLINK("http://mystore1.ru/price_items/search?utf8=%E2%9C%93&amp;oem=5175AGNW","5175AGNW")</f>
        <v>5175AGNW</v>
      </c>
      <c r="B4307" s="1" t="s">
        <v>8233</v>
      </c>
      <c r="C4307" s="9" t="s">
        <v>369</v>
      </c>
      <c r="D4307" s="14" t="s">
        <v>8234</v>
      </c>
      <c r="E4307" s="9" t="s">
        <v>8</v>
      </c>
    </row>
    <row r="4308" spans="1:5" ht="15" customHeight="1" outlineLevel="2" x14ac:dyDescent="0.25">
      <c r="A4308" s="3" t="str">
        <f>HYPERLINK("http://mystore1.ru/price_items/search?utf8=%E2%9C%93&amp;oem=5175AGNMW1B","5175AGNMW1B")</f>
        <v>5175AGNMW1B</v>
      </c>
      <c r="B4308" s="1" t="s">
        <v>8235</v>
      </c>
      <c r="C4308" s="9" t="s">
        <v>369</v>
      </c>
      <c r="D4308" s="14" t="s">
        <v>8236</v>
      </c>
      <c r="E4308" s="9" t="s">
        <v>8</v>
      </c>
    </row>
    <row r="4309" spans="1:5" ht="15" customHeight="1" outlineLevel="2" x14ac:dyDescent="0.25">
      <c r="A4309" s="3" t="str">
        <f>HYPERLINK("http://mystore1.ru/price_items/search?utf8=%E2%9C%93&amp;oem=5175LGNH5FD","5175LGNH5FD")</f>
        <v>5175LGNH5FD</v>
      </c>
      <c r="B4309" s="1" t="s">
        <v>8237</v>
      </c>
      <c r="C4309" s="9" t="s">
        <v>369</v>
      </c>
      <c r="D4309" s="14" t="s">
        <v>8238</v>
      </c>
      <c r="E4309" s="9" t="s">
        <v>11</v>
      </c>
    </row>
    <row r="4310" spans="1:5" ht="15" customHeight="1" outlineLevel="2" x14ac:dyDescent="0.25">
      <c r="A4310" s="3" t="str">
        <f>HYPERLINK("http://mystore1.ru/price_items/search?utf8=%E2%9C%93&amp;oem=5175LGNH5RD","5175LGNH5RD")</f>
        <v>5175LGNH5RD</v>
      </c>
      <c r="B4310" s="1" t="s">
        <v>8239</v>
      </c>
      <c r="C4310" s="9" t="s">
        <v>369</v>
      </c>
      <c r="D4310" s="14" t="s">
        <v>8240</v>
      </c>
      <c r="E4310" s="9" t="s">
        <v>11</v>
      </c>
    </row>
    <row r="4311" spans="1:5" ht="15" customHeight="1" outlineLevel="2" x14ac:dyDescent="0.25">
      <c r="A4311" s="3" t="str">
        <f>HYPERLINK("http://mystore1.ru/price_items/search?utf8=%E2%9C%93&amp;oem=5175LGNH5RV","5175LGNH5RV")</f>
        <v>5175LGNH5RV</v>
      </c>
      <c r="B4311" s="1" t="s">
        <v>8241</v>
      </c>
      <c r="C4311" s="9" t="s">
        <v>369</v>
      </c>
      <c r="D4311" s="14" t="s">
        <v>8242</v>
      </c>
      <c r="E4311" s="9" t="s">
        <v>11</v>
      </c>
    </row>
    <row r="4312" spans="1:5" ht="15" customHeight="1" outlineLevel="2" x14ac:dyDescent="0.25">
      <c r="A4312" s="3" t="str">
        <f>HYPERLINK("http://mystore1.ru/price_items/search?utf8=%E2%9C%93&amp;oem=5175LGNS4RD","5175LGNS4RD")</f>
        <v>5175LGNS4RD</v>
      </c>
      <c r="B4312" s="1" t="s">
        <v>8243</v>
      </c>
      <c r="C4312" s="9" t="s">
        <v>369</v>
      </c>
      <c r="D4312" s="14" t="s">
        <v>8244</v>
      </c>
      <c r="E4312" s="9" t="s">
        <v>11</v>
      </c>
    </row>
    <row r="4313" spans="1:5" ht="15" customHeight="1" outlineLevel="2" x14ac:dyDescent="0.25">
      <c r="A4313" s="3" t="str">
        <f>HYPERLINK("http://mystore1.ru/price_items/search?utf8=%E2%9C%93&amp;oem=5175LGNS4RV","5175LGNS4RV")</f>
        <v>5175LGNS4RV</v>
      </c>
      <c r="B4313" s="1" t="s">
        <v>8245</v>
      </c>
      <c r="C4313" s="9" t="s">
        <v>369</v>
      </c>
      <c r="D4313" s="14" t="s">
        <v>8246</v>
      </c>
      <c r="E4313" s="9" t="s">
        <v>11</v>
      </c>
    </row>
    <row r="4314" spans="1:5" ht="15" customHeight="1" outlineLevel="2" x14ac:dyDescent="0.25">
      <c r="A4314" s="3" t="str">
        <f>HYPERLINK("http://mystore1.ru/price_items/search?utf8=%E2%9C%93&amp;oem=5175LYPH5RD","5175LYPH5RD")</f>
        <v>5175LYPH5RD</v>
      </c>
      <c r="B4314" s="1" t="s">
        <v>8247</v>
      </c>
      <c r="C4314" s="9" t="s">
        <v>369</v>
      </c>
      <c r="D4314" s="14" t="s">
        <v>8248</v>
      </c>
      <c r="E4314" s="9" t="s">
        <v>11</v>
      </c>
    </row>
    <row r="4315" spans="1:5" ht="15" customHeight="1" outlineLevel="2" x14ac:dyDescent="0.25">
      <c r="A4315" s="3" t="str">
        <f>HYPERLINK("http://mystore1.ru/price_items/search?utf8=%E2%9C%93&amp;oem=5175LYPH5RV","5175LYPH5RV")</f>
        <v>5175LYPH5RV</v>
      </c>
      <c r="B4315" s="1" t="s">
        <v>8249</v>
      </c>
      <c r="C4315" s="9" t="s">
        <v>369</v>
      </c>
      <c r="D4315" s="14" t="s">
        <v>8250</v>
      </c>
      <c r="E4315" s="9" t="s">
        <v>11</v>
      </c>
    </row>
    <row r="4316" spans="1:5" ht="15" customHeight="1" outlineLevel="2" x14ac:dyDescent="0.25">
      <c r="A4316" s="3" t="str">
        <f>HYPERLINK("http://mystore1.ru/price_items/search?utf8=%E2%9C%93&amp;oem=5175LYPS4RD","5175LYPS4RD")</f>
        <v>5175LYPS4RD</v>
      </c>
      <c r="B4316" s="1" t="s">
        <v>8251</v>
      </c>
      <c r="C4316" s="9" t="s">
        <v>369</v>
      </c>
      <c r="D4316" s="14" t="s">
        <v>8252</v>
      </c>
      <c r="E4316" s="9" t="s">
        <v>11</v>
      </c>
    </row>
    <row r="4317" spans="1:5" ht="15" customHeight="1" outlineLevel="2" x14ac:dyDescent="0.25">
      <c r="A4317" s="3" t="str">
        <f>HYPERLINK("http://mystore1.ru/price_items/search?utf8=%E2%9C%93&amp;oem=5175LYPS4RV","5175LYPS4RV")</f>
        <v>5175LYPS4RV</v>
      </c>
      <c r="B4317" s="1" t="s">
        <v>8253</v>
      </c>
      <c r="C4317" s="9" t="s">
        <v>369</v>
      </c>
      <c r="D4317" s="14" t="s">
        <v>8254</v>
      </c>
      <c r="E4317" s="9" t="s">
        <v>11</v>
      </c>
    </row>
    <row r="4318" spans="1:5" ht="15" customHeight="1" outlineLevel="2" x14ac:dyDescent="0.25">
      <c r="A4318" s="3" t="str">
        <f>HYPERLINK("http://mystore1.ru/price_items/search?utf8=%E2%9C%93&amp;oem=5175RGNH5FD","5175RGNH5FD")</f>
        <v>5175RGNH5FD</v>
      </c>
      <c r="B4318" s="1" t="s">
        <v>8255</v>
      </c>
      <c r="C4318" s="9" t="s">
        <v>369</v>
      </c>
      <c r="D4318" s="14" t="s">
        <v>8256</v>
      </c>
      <c r="E4318" s="9" t="s">
        <v>11</v>
      </c>
    </row>
    <row r="4319" spans="1:5" ht="15" customHeight="1" outlineLevel="2" x14ac:dyDescent="0.25">
      <c r="A4319" s="3" t="str">
        <f>HYPERLINK("http://mystore1.ru/price_items/search?utf8=%E2%9C%93&amp;oem=5175RGNH5RD","5175RGNH5RD")</f>
        <v>5175RGNH5RD</v>
      </c>
      <c r="B4319" s="1" t="s">
        <v>8257</v>
      </c>
      <c r="C4319" s="9" t="s">
        <v>369</v>
      </c>
      <c r="D4319" s="14" t="s">
        <v>8258</v>
      </c>
      <c r="E4319" s="9" t="s">
        <v>11</v>
      </c>
    </row>
    <row r="4320" spans="1:5" ht="15" customHeight="1" outlineLevel="2" x14ac:dyDescent="0.25">
      <c r="A4320" s="3" t="str">
        <f>HYPERLINK("http://mystore1.ru/price_items/search?utf8=%E2%9C%93&amp;oem=5175RGNH5RV","5175RGNH5RV")</f>
        <v>5175RGNH5RV</v>
      </c>
      <c r="B4320" s="1" t="s">
        <v>8259</v>
      </c>
      <c r="C4320" s="9" t="s">
        <v>369</v>
      </c>
      <c r="D4320" s="14" t="s">
        <v>8260</v>
      </c>
      <c r="E4320" s="9" t="s">
        <v>11</v>
      </c>
    </row>
    <row r="4321" spans="1:5" ht="15" customHeight="1" outlineLevel="2" x14ac:dyDescent="0.25">
      <c r="A4321" s="3" t="str">
        <f>HYPERLINK("http://mystore1.ru/price_items/search?utf8=%E2%9C%93&amp;oem=5175RGNS4RD","5175RGNS4RD")</f>
        <v>5175RGNS4RD</v>
      </c>
      <c r="B4321" s="1" t="s">
        <v>8261</v>
      </c>
      <c r="C4321" s="9" t="s">
        <v>369</v>
      </c>
      <c r="D4321" s="14" t="s">
        <v>8262</v>
      </c>
      <c r="E4321" s="9" t="s">
        <v>11</v>
      </c>
    </row>
    <row r="4322" spans="1:5" ht="15" customHeight="1" outlineLevel="2" x14ac:dyDescent="0.25">
      <c r="A4322" s="3" t="str">
        <f>HYPERLINK("http://mystore1.ru/price_items/search?utf8=%E2%9C%93&amp;oem=5175RGNS4RV","5175RGNS4RV")</f>
        <v>5175RGNS4RV</v>
      </c>
      <c r="B4322" s="1" t="s">
        <v>8263</v>
      </c>
      <c r="C4322" s="9" t="s">
        <v>369</v>
      </c>
      <c r="D4322" s="14" t="s">
        <v>8264</v>
      </c>
      <c r="E4322" s="9" t="s">
        <v>11</v>
      </c>
    </row>
    <row r="4323" spans="1:5" ht="15" customHeight="1" outlineLevel="2" x14ac:dyDescent="0.25">
      <c r="A4323" s="3" t="str">
        <f>HYPERLINK("http://mystore1.ru/price_items/search?utf8=%E2%9C%93&amp;oem=5175RYPH5RD","5175RYPH5RD")</f>
        <v>5175RYPH5RD</v>
      </c>
      <c r="B4323" s="1" t="s">
        <v>8265</v>
      </c>
      <c r="C4323" s="9" t="s">
        <v>369</v>
      </c>
      <c r="D4323" s="14" t="s">
        <v>8266</v>
      </c>
      <c r="E4323" s="9" t="s">
        <v>11</v>
      </c>
    </row>
    <row r="4324" spans="1:5" ht="15" customHeight="1" outlineLevel="2" x14ac:dyDescent="0.25">
      <c r="A4324" s="3" t="str">
        <f>HYPERLINK("http://mystore1.ru/price_items/search?utf8=%E2%9C%93&amp;oem=5175RYPH5RV","5175RYPH5RV")</f>
        <v>5175RYPH5RV</v>
      </c>
      <c r="B4324" s="1" t="s">
        <v>8267</v>
      </c>
      <c r="C4324" s="9" t="s">
        <v>369</v>
      </c>
      <c r="D4324" s="14" t="s">
        <v>8268</v>
      </c>
      <c r="E4324" s="9" t="s">
        <v>11</v>
      </c>
    </row>
    <row r="4325" spans="1:5" ht="15" customHeight="1" outlineLevel="2" x14ac:dyDescent="0.25">
      <c r="A4325" s="3" t="str">
        <f>HYPERLINK("http://mystore1.ru/price_items/search?utf8=%E2%9C%93&amp;oem=5175RYPS4RD","5175RYPS4RD")</f>
        <v>5175RYPS4RD</v>
      </c>
      <c r="B4325" s="1" t="s">
        <v>8269</v>
      </c>
      <c r="C4325" s="9" t="s">
        <v>369</v>
      </c>
      <c r="D4325" s="14" t="s">
        <v>8270</v>
      </c>
      <c r="E4325" s="9" t="s">
        <v>11</v>
      </c>
    </row>
    <row r="4326" spans="1:5" ht="15" customHeight="1" outlineLevel="2" x14ac:dyDescent="0.25">
      <c r="A4326" s="3" t="str">
        <f>HYPERLINK("http://mystore1.ru/price_items/search?utf8=%E2%9C%93&amp;oem=5175RYPS4RV","5175RYPS4RV")</f>
        <v>5175RYPS4RV</v>
      </c>
      <c r="B4326" s="1" t="s">
        <v>8271</v>
      </c>
      <c r="C4326" s="9" t="s">
        <v>369</v>
      </c>
      <c r="D4326" s="14" t="s">
        <v>8272</v>
      </c>
      <c r="E4326" s="9" t="s">
        <v>11</v>
      </c>
    </row>
    <row r="4327" spans="1:5" outlineLevel="1" x14ac:dyDescent="0.25">
      <c r="A4327" s="2"/>
      <c r="B4327" s="6" t="s">
        <v>8273</v>
      </c>
      <c r="C4327" s="8"/>
      <c r="D4327" s="8"/>
      <c r="E4327" s="8"/>
    </row>
    <row r="4328" spans="1:5" ht="15" customHeight="1" outlineLevel="2" x14ac:dyDescent="0.25">
      <c r="A4328" s="3" t="str">
        <f>HYPERLINK("http://mystore1.ru/price_items/search?utf8=%E2%9C%93&amp;oem=5168AGN","5168AGN")</f>
        <v>5168AGN</v>
      </c>
      <c r="B4328" s="1" t="s">
        <v>8274</v>
      </c>
      <c r="C4328" s="9" t="s">
        <v>1629</v>
      </c>
      <c r="D4328" s="14" t="s">
        <v>8275</v>
      </c>
      <c r="E4328" s="9" t="s">
        <v>8</v>
      </c>
    </row>
    <row r="4329" spans="1:5" ht="15" customHeight="1" outlineLevel="2" x14ac:dyDescent="0.25">
      <c r="A4329" s="3" t="str">
        <f>HYPERLINK("http://mystore1.ru/price_items/search?utf8=%E2%9C%93&amp;oem=5168AGNM1B","5168AGNM1B")</f>
        <v>5168AGNM1B</v>
      </c>
      <c r="B4329" s="1" t="s">
        <v>8276</v>
      </c>
      <c r="C4329" s="9" t="s">
        <v>1629</v>
      </c>
      <c r="D4329" s="14" t="s">
        <v>8277</v>
      </c>
      <c r="E4329" s="9" t="s">
        <v>8</v>
      </c>
    </row>
    <row r="4330" spans="1:5" ht="15" customHeight="1" outlineLevel="2" x14ac:dyDescent="0.25">
      <c r="A4330" s="3" t="str">
        <f>HYPERLINK("http://mystore1.ru/price_items/search?utf8=%E2%9C%93&amp;oem=5168BGDV","5168BGDV")</f>
        <v>5168BGDV</v>
      </c>
      <c r="B4330" s="1" t="s">
        <v>8278</v>
      </c>
      <c r="C4330" s="9" t="s">
        <v>1629</v>
      </c>
      <c r="D4330" s="14" t="s">
        <v>8279</v>
      </c>
      <c r="E4330" s="9" t="s">
        <v>30</v>
      </c>
    </row>
    <row r="4331" spans="1:5" ht="15" customHeight="1" outlineLevel="2" x14ac:dyDescent="0.25">
      <c r="A4331" s="3" t="str">
        <f>HYPERLINK("http://mystore1.ru/price_items/search?utf8=%E2%9C%93&amp;oem=5168BGNV","5168BGNV")</f>
        <v>5168BGNV</v>
      </c>
      <c r="B4331" s="1" t="s">
        <v>8280</v>
      </c>
      <c r="C4331" s="9" t="s">
        <v>1629</v>
      </c>
      <c r="D4331" s="14" t="s">
        <v>8281</v>
      </c>
      <c r="E4331" s="9" t="s">
        <v>30</v>
      </c>
    </row>
    <row r="4332" spans="1:5" ht="15" customHeight="1" outlineLevel="2" x14ac:dyDescent="0.25">
      <c r="A4332" s="3" t="str">
        <f>HYPERLINK("http://mystore1.ru/price_items/search?utf8=%E2%9C%93&amp;oem=5168LGNV5FD","5168LGNV5FD")</f>
        <v>5168LGNV5FD</v>
      </c>
      <c r="B4332" s="1" t="s">
        <v>8282</v>
      </c>
      <c r="C4332" s="9" t="s">
        <v>1629</v>
      </c>
      <c r="D4332" s="14" t="s">
        <v>8283</v>
      </c>
      <c r="E4332" s="9" t="s">
        <v>11</v>
      </c>
    </row>
    <row r="4333" spans="1:5" ht="15" customHeight="1" outlineLevel="2" x14ac:dyDescent="0.25">
      <c r="A4333" s="3" t="str">
        <f>HYPERLINK("http://mystore1.ru/price_items/search?utf8=%E2%9C%93&amp;oem=5168LGNV5FV","5168LGNV5FV")</f>
        <v>5168LGNV5FV</v>
      </c>
      <c r="B4333" s="1" t="s">
        <v>8284</v>
      </c>
      <c r="C4333" s="9" t="s">
        <v>1629</v>
      </c>
      <c r="D4333" s="14" t="s">
        <v>8285</v>
      </c>
      <c r="E4333" s="9" t="s">
        <v>11</v>
      </c>
    </row>
    <row r="4334" spans="1:5" ht="15" customHeight="1" outlineLevel="2" x14ac:dyDescent="0.25">
      <c r="A4334" s="3" t="str">
        <f>HYPERLINK("http://mystore1.ru/price_items/search?utf8=%E2%9C%93&amp;oem=5168LGNV5RD","5168LGNV5RD")</f>
        <v>5168LGNV5RD</v>
      </c>
      <c r="B4334" s="1" t="s">
        <v>8286</v>
      </c>
      <c r="C4334" s="9" t="s">
        <v>1629</v>
      </c>
      <c r="D4334" s="14" t="s">
        <v>8287</v>
      </c>
      <c r="E4334" s="9" t="s">
        <v>11</v>
      </c>
    </row>
    <row r="4335" spans="1:5" ht="15" customHeight="1" outlineLevel="2" x14ac:dyDescent="0.25">
      <c r="A4335" s="3" t="str">
        <f>HYPERLINK("http://mystore1.ru/price_items/search?utf8=%E2%9C%93&amp;oem=5168RGNV5FD","5168RGNV5FD")</f>
        <v>5168RGNV5FD</v>
      </c>
      <c r="B4335" s="1" t="s">
        <v>8288</v>
      </c>
      <c r="C4335" s="9" t="s">
        <v>1629</v>
      </c>
      <c r="D4335" s="14" t="s">
        <v>8289</v>
      </c>
      <c r="E4335" s="9" t="s">
        <v>11</v>
      </c>
    </row>
    <row r="4336" spans="1:5" ht="15" customHeight="1" outlineLevel="2" x14ac:dyDescent="0.25">
      <c r="A4336" s="3" t="str">
        <f>HYPERLINK("http://mystore1.ru/price_items/search?utf8=%E2%9C%93&amp;oem=5168RGNV5RD","5168RGNV5RD")</f>
        <v>5168RGNV5RD</v>
      </c>
      <c r="B4336" s="1" t="s">
        <v>8290</v>
      </c>
      <c r="C4336" s="9" t="s">
        <v>1629</v>
      </c>
      <c r="D4336" s="14" t="s">
        <v>8291</v>
      </c>
      <c r="E4336" s="9" t="s">
        <v>11</v>
      </c>
    </row>
    <row r="4337" spans="1:5" outlineLevel="1" x14ac:dyDescent="0.25">
      <c r="A4337" s="2"/>
      <c r="B4337" s="6" t="s">
        <v>8292</v>
      </c>
      <c r="C4337" s="8"/>
      <c r="D4337" s="8"/>
      <c r="E4337" s="8"/>
    </row>
    <row r="4338" spans="1:5" ht="15" customHeight="1" outlineLevel="2" x14ac:dyDescent="0.25">
      <c r="A4338" s="3" t="str">
        <f>HYPERLINK("http://mystore1.ru/price_items/search?utf8=%E2%9C%93&amp;oem=5164AGNBLW","5164AGNBLW")</f>
        <v>5164AGNBLW</v>
      </c>
      <c r="B4338" s="1" t="s">
        <v>8293</v>
      </c>
      <c r="C4338" s="9" t="s">
        <v>2594</v>
      </c>
      <c r="D4338" s="14" t="s">
        <v>8294</v>
      </c>
      <c r="E4338" s="9" t="s">
        <v>8</v>
      </c>
    </row>
    <row r="4339" spans="1:5" ht="15" customHeight="1" outlineLevel="2" x14ac:dyDescent="0.25">
      <c r="A4339" s="3" t="str">
        <f>HYPERLINK("http://mystore1.ru/price_items/search?utf8=%E2%9C%93&amp;oem=5164AGNBLW1P","5164AGNBLW1P")</f>
        <v>5164AGNBLW1P</v>
      </c>
      <c r="B4339" s="1" t="s">
        <v>8295</v>
      </c>
      <c r="C4339" s="9" t="s">
        <v>6155</v>
      </c>
      <c r="D4339" s="14" t="s">
        <v>8296</v>
      </c>
      <c r="E4339" s="9" t="s">
        <v>8</v>
      </c>
    </row>
    <row r="4340" spans="1:5" ht="15" customHeight="1" outlineLevel="2" x14ac:dyDescent="0.25">
      <c r="A4340" s="3" t="str">
        <f>HYPERLINK("http://mystore1.ru/price_items/search?utf8=%E2%9C%93&amp;oem=5164AGNMW1P","5164AGNMW1P")</f>
        <v>5164AGNMW1P</v>
      </c>
      <c r="B4340" s="1" t="s">
        <v>8297</v>
      </c>
      <c r="C4340" s="9" t="s">
        <v>6155</v>
      </c>
      <c r="D4340" s="14" t="s">
        <v>8298</v>
      </c>
      <c r="E4340" s="9" t="s">
        <v>8</v>
      </c>
    </row>
    <row r="4341" spans="1:5" ht="15" customHeight="1" outlineLevel="2" x14ac:dyDescent="0.25">
      <c r="A4341" s="3" t="str">
        <f>HYPERLINK("http://mystore1.ru/price_items/search?utf8=%E2%9C%93&amp;oem=5164AGNBLMW1P","5164AGNBLMW1P")</f>
        <v>5164AGNBLMW1P</v>
      </c>
      <c r="B4341" s="1" t="s">
        <v>8299</v>
      </c>
      <c r="C4341" s="9" t="s">
        <v>6155</v>
      </c>
      <c r="D4341" s="14" t="s">
        <v>8300</v>
      </c>
      <c r="E4341" s="9" t="s">
        <v>8</v>
      </c>
    </row>
    <row r="4342" spans="1:5" ht="15" customHeight="1" outlineLevel="2" x14ac:dyDescent="0.25">
      <c r="A4342" s="3" t="str">
        <f>HYPERLINK("http://mystore1.ru/price_items/search?utf8=%E2%9C%93&amp;oem=5164AGNW","5164AGNW")</f>
        <v>5164AGNW</v>
      </c>
      <c r="B4342" s="1" t="s">
        <v>8301</v>
      </c>
      <c r="C4342" s="9" t="s">
        <v>6155</v>
      </c>
      <c r="D4342" s="14" t="s">
        <v>8302</v>
      </c>
      <c r="E4342" s="9" t="s">
        <v>8</v>
      </c>
    </row>
    <row r="4343" spans="1:5" ht="15" customHeight="1" outlineLevel="2" x14ac:dyDescent="0.25">
      <c r="A4343" s="3" t="str">
        <f>HYPERLINK("http://mystore1.ru/price_items/search?utf8=%E2%9C%93&amp;oem=5164AGNW1P","5164AGNW1P")</f>
        <v>5164AGNW1P</v>
      </c>
      <c r="B4343" s="1" t="s">
        <v>8303</v>
      </c>
      <c r="C4343" s="9" t="s">
        <v>6155</v>
      </c>
      <c r="D4343" s="14" t="s">
        <v>8302</v>
      </c>
      <c r="E4343" s="9" t="s">
        <v>8</v>
      </c>
    </row>
    <row r="4344" spans="1:5" ht="15" customHeight="1" outlineLevel="2" x14ac:dyDescent="0.25">
      <c r="A4344" s="3" t="str">
        <f>HYPERLINK("http://mystore1.ru/price_items/search?utf8=%E2%9C%93&amp;oem=5164AGNW2P","5164AGNW2P")</f>
        <v>5164AGNW2P</v>
      </c>
      <c r="B4344" s="1" t="s">
        <v>8304</v>
      </c>
      <c r="C4344" s="9" t="s">
        <v>6155</v>
      </c>
      <c r="D4344" s="14" t="s">
        <v>8305</v>
      </c>
      <c r="E4344" s="9" t="s">
        <v>8</v>
      </c>
    </row>
    <row r="4345" spans="1:5" ht="15" customHeight="1" outlineLevel="2" x14ac:dyDescent="0.25">
      <c r="A4345" s="3" t="str">
        <f>HYPERLINK("http://mystore1.ru/price_items/search?utf8=%E2%9C%93&amp;oem=5164ASMS","5164ASMS")</f>
        <v>5164ASMS</v>
      </c>
      <c r="B4345" s="1" t="s">
        <v>8306</v>
      </c>
      <c r="C4345" s="9" t="s">
        <v>25</v>
      </c>
      <c r="D4345" s="14" t="s">
        <v>8307</v>
      </c>
      <c r="E4345" s="9" t="s">
        <v>27</v>
      </c>
    </row>
    <row r="4346" spans="1:5" ht="15" customHeight="1" outlineLevel="2" x14ac:dyDescent="0.25">
      <c r="A4346" s="3" t="str">
        <f>HYPERLINK("http://mystore1.ru/price_items/search?utf8=%E2%9C%93&amp;oem=5164BGNEBW","5164BGNEBW")</f>
        <v>5164BGNEBW</v>
      </c>
      <c r="B4346" s="1" t="s">
        <v>8308</v>
      </c>
      <c r="C4346" s="9" t="s">
        <v>2594</v>
      </c>
      <c r="D4346" s="14" t="s">
        <v>8309</v>
      </c>
      <c r="E4346" s="9" t="s">
        <v>30</v>
      </c>
    </row>
    <row r="4347" spans="1:5" ht="15" customHeight="1" outlineLevel="2" x14ac:dyDescent="0.25">
      <c r="A4347" s="3" t="str">
        <f>HYPERLINK("http://mystore1.ru/price_items/search?utf8=%E2%9C%93&amp;oem=5164BGNHAW","5164BGNHAW")</f>
        <v>5164BGNHAW</v>
      </c>
      <c r="B4347" s="1" t="s">
        <v>8310</v>
      </c>
      <c r="C4347" s="9" t="s">
        <v>2594</v>
      </c>
      <c r="D4347" s="14" t="s">
        <v>8311</v>
      </c>
      <c r="E4347" s="9" t="s">
        <v>30</v>
      </c>
    </row>
    <row r="4348" spans="1:5" ht="15" customHeight="1" outlineLevel="2" x14ac:dyDescent="0.25">
      <c r="A4348" s="3" t="str">
        <f>HYPERLINK("http://mystore1.ru/price_items/search?utf8=%E2%9C%93&amp;oem=5164BGNSZ","5164BGNSZ")</f>
        <v>5164BGNSZ</v>
      </c>
      <c r="B4348" s="1" t="s">
        <v>8312</v>
      </c>
      <c r="C4348" s="9" t="s">
        <v>2594</v>
      </c>
      <c r="D4348" s="14" t="s">
        <v>8313</v>
      </c>
      <c r="E4348" s="9" t="s">
        <v>30</v>
      </c>
    </row>
    <row r="4349" spans="1:5" ht="15" customHeight="1" outlineLevel="2" x14ac:dyDescent="0.25">
      <c r="A4349" s="3" t="str">
        <f>HYPERLINK("http://mystore1.ru/price_items/search?utf8=%E2%9C%93&amp;oem=5164LGNE5RD","5164LGNE5RD")</f>
        <v>5164LGNE5RD</v>
      </c>
      <c r="B4349" s="1" t="s">
        <v>8314</v>
      </c>
      <c r="C4349" s="9" t="s">
        <v>2594</v>
      </c>
      <c r="D4349" s="14" t="s">
        <v>8315</v>
      </c>
      <c r="E4349" s="9" t="s">
        <v>11</v>
      </c>
    </row>
    <row r="4350" spans="1:5" ht="15" customHeight="1" outlineLevel="2" x14ac:dyDescent="0.25">
      <c r="A4350" s="3" t="str">
        <f>HYPERLINK("http://mystore1.ru/price_items/search?utf8=%E2%9C%93&amp;oem=5164LGNE5RV","5164LGNE5RV")</f>
        <v>5164LGNE5RV</v>
      </c>
      <c r="B4350" s="1" t="s">
        <v>8316</v>
      </c>
      <c r="C4350" s="9" t="s">
        <v>2594</v>
      </c>
      <c r="D4350" s="14" t="s">
        <v>8317</v>
      </c>
      <c r="E4350" s="9" t="s">
        <v>11</v>
      </c>
    </row>
    <row r="4351" spans="1:5" ht="15" customHeight="1" outlineLevel="2" x14ac:dyDescent="0.25">
      <c r="A4351" s="3" t="str">
        <f>HYPERLINK("http://mystore1.ru/price_items/search?utf8=%E2%9C%93&amp;oem=5164LGNH5FD","5164LGNH5FD")</f>
        <v>5164LGNH5FD</v>
      </c>
      <c r="B4351" s="1" t="s">
        <v>8318</v>
      </c>
      <c r="C4351" s="9" t="s">
        <v>2594</v>
      </c>
      <c r="D4351" s="14" t="s">
        <v>8319</v>
      </c>
      <c r="E4351" s="9" t="s">
        <v>11</v>
      </c>
    </row>
    <row r="4352" spans="1:5" ht="15" customHeight="1" outlineLevel="2" x14ac:dyDescent="0.25">
      <c r="A4352" s="3" t="str">
        <f>HYPERLINK("http://mystore1.ru/price_items/search?utf8=%E2%9C%93&amp;oem=5164LGNH5RD","5164LGNH5RD")</f>
        <v>5164LGNH5RD</v>
      </c>
      <c r="B4352" s="1" t="s">
        <v>8320</v>
      </c>
      <c r="C4352" s="9" t="s">
        <v>2594</v>
      </c>
      <c r="D4352" s="14" t="s">
        <v>8321</v>
      </c>
      <c r="E4352" s="9" t="s">
        <v>11</v>
      </c>
    </row>
    <row r="4353" spans="1:5" ht="15" customHeight="1" outlineLevel="2" x14ac:dyDescent="0.25">
      <c r="A4353" s="3" t="str">
        <f>HYPERLINK("http://mystore1.ru/price_items/search?utf8=%E2%9C%93&amp;oem=5164LGNH5RV","5164LGNH5RV")</f>
        <v>5164LGNH5RV</v>
      </c>
      <c r="B4353" s="1" t="s">
        <v>8322</v>
      </c>
      <c r="C4353" s="9" t="s">
        <v>2594</v>
      </c>
      <c r="D4353" s="14" t="s">
        <v>8323</v>
      </c>
      <c r="E4353" s="9" t="s">
        <v>11</v>
      </c>
    </row>
    <row r="4354" spans="1:5" ht="15" customHeight="1" outlineLevel="2" x14ac:dyDescent="0.25">
      <c r="A4354" s="3" t="str">
        <f>HYPERLINK("http://mystore1.ru/price_items/search?utf8=%E2%9C%93&amp;oem=5164LGNS4RD","5164LGNS4RD")</f>
        <v>5164LGNS4RD</v>
      </c>
      <c r="B4354" s="1" t="s">
        <v>8324</v>
      </c>
      <c r="C4354" s="9" t="s">
        <v>2594</v>
      </c>
      <c r="D4354" s="14" t="s">
        <v>8325</v>
      </c>
      <c r="E4354" s="9" t="s">
        <v>11</v>
      </c>
    </row>
    <row r="4355" spans="1:5" ht="15" customHeight="1" outlineLevel="2" x14ac:dyDescent="0.25">
      <c r="A4355" s="3" t="str">
        <f>HYPERLINK("http://mystore1.ru/price_items/search?utf8=%E2%9C%93&amp;oem=5164LGNS4RV","5164LGNS4RV")</f>
        <v>5164LGNS4RV</v>
      </c>
      <c r="B4355" s="1" t="s">
        <v>8326</v>
      </c>
      <c r="C4355" s="9" t="s">
        <v>2594</v>
      </c>
      <c r="D4355" s="14" t="s">
        <v>8327</v>
      </c>
      <c r="E4355" s="9" t="s">
        <v>11</v>
      </c>
    </row>
    <row r="4356" spans="1:5" ht="15" customHeight="1" outlineLevel="2" x14ac:dyDescent="0.25">
      <c r="A4356" s="3" t="str">
        <f>HYPERLINK("http://mystore1.ru/price_items/search?utf8=%E2%9C%93&amp;oem=5164RGNE5RD","5164RGNE5RD")</f>
        <v>5164RGNE5RD</v>
      </c>
      <c r="B4356" s="1" t="s">
        <v>8328</v>
      </c>
      <c r="C4356" s="9" t="s">
        <v>2594</v>
      </c>
      <c r="D4356" s="14" t="s">
        <v>8329</v>
      </c>
      <c r="E4356" s="9" t="s">
        <v>11</v>
      </c>
    </row>
    <row r="4357" spans="1:5" ht="15" customHeight="1" outlineLevel="2" x14ac:dyDescent="0.25">
      <c r="A4357" s="3" t="str">
        <f>HYPERLINK("http://mystore1.ru/price_items/search?utf8=%E2%9C%93&amp;oem=5164RGNE5RV","5164RGNE5RV")</f>
        <v>5164RGNE5RV</v>
      </c>
      <c r="B4357" s="1" t="s">
        <v>8330</v>
      </c>
      <c r="C4357" s="9" t="s">
        <v>2594</v>
      </c>
      <c r="D4357" s="14" t="s">
        <v>8331</v>
      </c>
      <c r="E4357" s="9" t="s">
        <v>11</v>
      </c>
    </row>
    <row r="4358" spans="1:5" ht="15" customHeight="1" outlineLevel="2" x14ac:dyDescent="0.25">
      <c r="A4358" s="3" t="str">
        <f>HYPERLINK("http://mystore1.ru/price_items/search?utf8=%E2%9C%93&amp;oem=5164RGNH5FD","5164RGNH5FD")</f>
        <v>5164RGNH5FD</v>
      </c>
      <c r="B4358" s="1" t="s">
        <v>8332</v>
      </c>
      <c r="C4358" s="9" t="s">
        <v>2594</v>
      </c>
      <c r="D4358" s="14" t="s">
        <v>8333</v>
      </c>
      <c r="E4358" s="9" t="s">
        <v>11</v>
      </c>
    </row>
    <row r="4359" spans="1:5" ht="15" customHeight="1" outlineLevel="2" x14ac:dyDescent="0.25">
      <c r="A4359" s="3" t="str">
        <f>HYPERLINK("http://mystore1.ru/price_items/search?utf8=%E2%9C%93&amp;oem=5164RGNH5RD","5164RGNH5RD")</f>
        <v>5164RGNH5RD</v>
      </c>
      <c r="B4359" s="1" t="s">
        <v>8334</v>
      </c>
      <c r="C4359" s="9" t="s">
        <v>2594</v>
      </c>
      <c r="D4359" s="14" t="s">
        <v>8335</v>
      </c>
      <c r="E4359" s="9" t="s">
        <v>11</v>
      </c>
    </row>
    <row r="4360" spans="1:5" ht="15" customHeight="1" outlineLevel="2" x14ac:dyDescent="0.25">
      <c r="A4360" s="3" t="str">
        <f>HYPERLINK("http://mystore1.ru/price_items/search?utf8=%E2%9C%93&amp;oem=5164RGNH5RV","5164RGNH5RV")</f>
        <v>5164RGNH5RV</v>
      </c>
      <c r="B4360" s="1" t="s">
        <v>8336</v>
      </c>
      <c r="C4360" s="9" t="s">
        <v>2594</v>
      </c>
      <c r="D4360" s="14" t="s">
        <v>8337</v>
      </c>
      <c r="E4360" s="9" t="s">
        <v>11</v>
      </c>
    </row>
    <row r="4361" spans="1:5" ht="15" customHeight="1" outlineLevel="2" x14ac:dyDescent="0.25">
      <c r="A4361" s="3" t="str">
        <f>HYPERLINK("http://mystore1.ru/price_items/search?utf8=%E2%9C%93&amp;oem=5164RGNS4RD","5164RGNS4RD")</f>
        <v>5164RGNS4RD</v>
      </c>
      <c r="B4361" s="1" t="s">
        <v>8338</v>
      </c>
      <c r="C4361" s="9" t="s">
        <v>2594</v>
      </c>
      <c r="D4361" s="14" t="s">
        <v>8339</v>
      </c>
      <c r="E4361" s="9" t="s">
        <v>11</v>
      </c>
    </row>
    <row r="4362" spans="1:5" ht="15" customHeight="1" outlineLevel="2" x14ac:dyDescent="0.25">
      <c r="A4362" s="3" t="str">
        <f>HYPERLINK("http://mystore1.ru/price_items/search?utf8=%E2%9C%93&amp;oem=5164RGNS4RV","5164RGNS4RV")</f>
        <v>5164RGNS4RV</v>
      </c>
      <c r="B4362" s="1" t="s">
        <v>8340</v>
      </c>
      <c r="C4362" s="9" t="s">
        <v>2594</v>
      </c>
      <c r="D4362" s="14" t="s">
        <v>8341</v>
      </c>
      <c r="E4362" s="9" t="s">
        <v>11</v>
      </c>
    </row>
    <row r="4363" spans="1:5" outlineLevel="1" x14ac:dyDescent="0.25">
      <c r="A4363" s="2"/>
      <c r="B4363" s="6" t="s">
        <v>8342</v>
      </c>
      <c r="C4363" s="8"/>
      <c r="D4363" s="8"/>
      <c r="E4363" s="8"/>
    </row>
    <row r="4364" spans="1:5" ht="15" customHeight="1" outlineLevel="2" x14ac:dyDescent="0.25">
      <c r="A4364" s="3" t="str">
        <f>HYPERLINK("http://mystore1.ru/price_items/search?utf8=%E2%9C%93&amp;oem=5174AGNW","5174AGNW")</f>
        <v>5174AGNW</v>
      </c>
      <c r="B4364" s="1" t="s">
        <v>8343</v>
      </c>
      <c r="C4364" s="9" t="s">
        <v>449</v>
      </c>
      <c r="D4364" s="14" t="s">
        <v>8344</v>
      </c>
      <c r="E4364" s="9" t="s">
        <v>8</v>
      </c>
    </row>
    <row r="4365" spans="1:5" ht="15" customHeight="1" outlineLevel="2" x14ac:dyDescent="0.25">
      <c r="A4365" s="3" t="str">
        <f>HYPERLINK("http://mystore1.ru/price_items/search?utf8=%E2%9C%93&amp;oem=5174AGAMW1B","5174AGAMW1B")</f>
        <v>5174AGAMW1B</v>
      </c>
      <c r="B4365" s="1" t="s">
        <v>8345</v>
      </c>
      <c r="C4365" s="9" t="s">
        <v>449</v>
      </c>
      <c r="D4365" s="14" t="s">
        <v>8346</v>
      </c>
      <c r="E4365" s="9" t="s">
        <v>8</v>
      </c>
    </row>
    <row r="4366" spans="1:5" ht="15" customHeight="1" outlineLevel="2" x14ac:dyDescent="0.25">
      <c r="A4366" s="3" t="str">
        <f>HYPERLINK("http://mystore1.ru/price_items/search?utf8=%E2%9C%93&amp;oem=5174AGNMW1B","5174AGNMW1B")</f>
        <v>5174AGNMW1B</v>
      </c>
      <c r="B4366" s="1" t="s">
        <v>8347</v>
      </c>
      <c r="C4366" s="9" t="s">
        <v>449</v>
      </c>
      <c r="D4366" s="14" t="s">
        <v>8348</v>
      </c>
      <c r="E4366" s="9" t="s">
        <v>8</v>
      </c>
    </row>
    <row r="4367" spans="1:5" ht="15" customHeight="1" outlineLevel="2" x14ac:dyDescent="0.25">
      <c r="A4367" s="3" t="str">
        <f>HYPERLINK("http://mystore1.ru/price_items/search?utf8=%E2%9C%93&amp;oem=5174ASMS","5174ASMS")</f>
        <v>5174ASMS</v>
      </c>
      <c r="B4367" s="1" t="s">
        <v>8349</v>
      </c>
      <c r="C4367" s="9" t="s">
        <v>25</v>
      </c>
      <c r="D4367" s="14" t="s">
        <v>8350</v>
      </c>
      <c r="E4367" s="9" t="s">
        <v>27</v>
      </c>
    </row>
    <row r="4368" spans="1:5" ht="15" customHeight="1" outlineLevel="2" x14ac:dyDescent="0.25">
      <c r="A4368" s="3" t="str">
        <f>HYPERLINK("http://mystore1.ru/price_items/search?utf8=%E2%9C%93&amp;oem=5174LGNS4FD","5174LGNS4FD")</f>
        <v>5174LGNS4FD</v>
      </c>
      <c r="B4368" s="1" t="s">
        <v>8351</v>
      </c>
      <c r="C4368" s="9" t="s">
        <v>449</v>
      </c>
      <c r="D4368" s="14" t="s">
        <v>8352</v>
      </c>
      <c r="E4368" s="9" t="s">
        <v>11</v>
      </c>
    </row>
    <row r="4369" spans="1:5" ht="15" customHeight="1" outlineLevel="2" x14ac:dyDescent="0.25">
      <c r="A4369" s="3" t="str">
        <f>HYPERLINK("http://mystore1.ru/price_items/search?utf8=%E2%9C%93&amp;oem=5174LGNS4RD","5174LGNS4RD")</f>
        <v>5174LGNS4RD</v>
      </c>
      <c r="B4369" s="1" t="s">
        <v>8353</v>
      </c>
      <c r="C4369" s="9" t="s">
        <v>449</v>
      </c>
      <c r="D4369" s="14" t="s">
        <v>8354</v>
      </c>
      <c r="E4369" s="9" t="s">
        <v>11</v>
      </c>
    </row>
    <row r="4370" spans="1:5" ht="15" customHeight="1" outlineLevel="2" x14ac:dyDescent="0.25">
      <c r="A4370" s="3" t="str">
        <f>HYPERLINK("http://mystore1.ru/price_items/search?utf8=%E2%9C%93&amp;oem=5174RGNS4FD","5174RGNS4FD")</f>
        <v>5174RGNS4FD</v>
      </c>
      <c r="B4370" s="1" t="s">
        <v>8355</v>
      </c>
      <c r="C4370" s="9" t="s">
        <v>449</v>
      </c>
      <c r="D4370" s="14" t="s">
        <v>8356</v>
      </c>
      <c r="E4370" s="9" t="s">
        <v>11</v>
      </c>
    </row>
    <row r="4371" spans="1:5" ht="15" customHeight="1" outlineLevel="2" x14ac:dyDescent="0.25">
      <c r="A4371" s="3" t="str">
        <f>HYPERLINK("http://mystore1.ru/price_items/search?utf8=%E2%9C%93&amp;oem=5174RGNS4RD","5174RGNS4RD")</f>
        <v>5174RGNS4RD</v>
      </c>
      <c r="B4371" s="1" t="s">
        <v>8357</v>
      </c>
      <c r="C4371" s="9" t="s">
        <v>449</v>
      </c>
      <c r="D4371" s="14" t="s">
        <v>8358</v>
      </c>
      <c r="E4371" s="9" t="s">
        <v>11</v>
      </c>
    </row>
    <row r="4372" spans="1:5" outlineLevel="1" x14ac:dyDescent="0.25">
      <c r="A4372" s="2"/>
      <c r="B4372" s="6" t="s">
        <v>8359</v>
      </c>
      <c r="C4372" s="8"/>
      <c r="D4372" s="8"/>
      <c r="E4372" s="8"/>
    </row>
    <row r="4373" spans="1:5" ht="15" customHeight="1" outlineLevel="2" x14ac:dyDescent="0.25">
      <c r="A4373" s="3" t="str">
        <f>HYPERLINK("http://mystore1.ru/price_items/search?utf8=%E2%9C%93&amp;oem=5130ABL","5130ABL")</f>
        <v>5130ABL</v>
      </c>
      <c r="B4373" s="1" t="s">
        <v>8360</v>
      </c>
      <c r="C4373" s="9" t="s">
        <v>5855</v>
      </c>
      <c r="D4373" s="14" t="s">
        <v>8361</v>
      </c>
      <c r="E4373" s="9" t="s">
        <v>8</v>
      </c>
    </row>
    <row r="4374" spans="1:5" outlineLevel="1" x14ac:dyDescent="0.25">
      <c r="A4374" s="2"/>
      <c r="B4374" s="6" t="s">
        <v>8362</v>
      </c>
      <c r="C4374" s="8"/>
      <c r="D4374" s="8"/>
      <c r="E4374" s="8"/>
    </row>
    <row r="4375" spans="1:5" ht="15" customHeight="1" outlineLevel="2" x14ac:dyDescent="0.25">
      <c r="A4375" s="3" t="str">
        <f>HYPERLINK("http://mystore1.ru/price_items/search?utf8=%E2%9C%93&amp;oem=5139ABL","5139ABL")</f>
        <v>5139ABL</v>
      </c>
      <c r="B4375" s="1" t="s">
        <v>8363</v>
      </c>
      <c r="C4375" s="9" t="s">
        <v>1985</v>
      </c>
      <c r="D4375" s="14" t="s">
        <v>8364</v>
      </c>
      <c r="E4375" s="9" t="s">
        <v>8</v>
      </c>
    </row>
    <row r="4376" spans="1:5" ht="15" customHeight="1" outlineLevel="2" x14ac:dyDescent="0.25">
      <c r="A4376" s="3" t="str">
        <f>HYPERLINK("http://mystore1.ru/price_items/search?utf8=%E2%9C%93&amp;oem=5139AKMS","5139AKMS")</f>
        <v>5139AKMS</v>
      </c>
      <c r="B4376" s="1" t="s">
        <v>8365</v>
      </c>
      <c r="C4376" s="9" t="s">
        <v>25</v>
      </c>
      <c r="D4376" s="14" t="s">
        <v>8366</v>
      </c>
      <c r="E4376" s="9" t="s">
        <v>27</v>
      </c>
    </row>
    <row r="4377" spans="1:5" ht="15" customHeight="1" outlineLevel="2" x14ac:dyDescent="0.25">
      <c r="A4377" s="3" t="str">
        <f>HYPERLINK("http://mystore1.ru/price_items/search?utf8=%E2%9C%93&amp;oem=5139LBLS4FD","5139LBLS4FD")</f>
        <v>5139LBLS4FD</v>
      </c>
      <c r="B4377" s="1" t="s">
        <v>8367</v>
      </c>
      <c r="C4377" s="9" t="s">
        <v>1985</v>
      </c>
      <c r="D4377" s="14" t="s">
        <v>8368</v>
      </c>
      <c r="E4377" s="9" t="s">
        <v>11</v>
      </c>
    </row>
    <row r="4378" spans="1:5" ht="15" customHeight="1" outlineLevel="2" x14ac:dyDescent="0.25">
      <c r="A4378" s="3" t="str">
        <f>HYPERLINK("http://mystore1.ru/price_items/search?utf8=%E2%9C%93&amp;oem=5139RBLS4RD","5139RBLS4RD")</f>
        <v>5139RBLS4RD</v>
      </c>
      <c r="B4378" s="1" t="s">
        <v>8369</v>
      </c>
      <c r="C4378" s="9" t="s">
        <v>1985</v>
      </c>
      <c r="D4378" s="14" t="s">
        <v>8370</v>
      </c>
      <c r="E4378" s="9" t="s">
        <v>11</v>
      </c>
    </row>
    <row r="4379" spans="1:5" outlineLevel="1" x14ac:dyDescent="0.25">
      <c r="A4379" s="2"/>
      <c r="B4379" s="6" t="s">
        <v>8371</v>
      </c>
      <c r="C4379" s="8"/>
      <c r="D4379" s="8"/>
      <c r="E4379" s="8"/>
    </row>
    <row r="4380" spans="1:5" ht="15" customHeight="1" outlineLevel="2" x14ac:dyDescent="0.25">
      <c r="A4380" s="3" t="str">
        <f>HYPERLINK("http://mystore1.ru/price_items/search?utf8=%E2%9C%93&amp;oem=5151ACL","5151ACL")</f>
        <v>5151ACL</v>
      </c>
      <c r="B4380" s="1" t="s">
        <v>8372</v>
      </c>
      <c r="C4380" s="9" t="s">
        <v>6954</v>
      </c>
      <c r="D4380" s="14" t="s">
        <v>8373</v>
      </c>
      <c r="E4380" s="9" t="s">
        <v>8</v>
      </c>
    </row>
    <row r="4381" spans="1:5" ht="15" customHeight="1" outlineLevel="2" x14ac:dyDescent="0.25">
      <c r="A4381" s="3" t="str">
        <f>HYPERLINK("http://mystore1.ru/price_items/search?utf8=%E2%9C%93&amp;oem=5151ACL1B","5151ACL1B")</f>
        <v>5151ACL1B</v>
      </c>
      <c r="B4381" s="1" t="s">
        <v>8374</v>
      </c>
      <c r="C4381" s="9" t="s">
        <v>4714</v>
      </c>
      <c r="D4381" s="14" t="s">
        <v>8375</v>
      </c>
      <c r="E4381" s="9" t="s">
        <v>8</v>
      </c>
    </row>
    <row r="4382" spans="1:5" ht="15" customHeight="1" outlineLevel="2" x14ac:dyDescent="0.25">
      <c r="A4382" s="3" t="str">
        <f>HYPERLINK("http://mystore1.ru/price_items/search?utf8=%E2%9C%93&amp;oem=5151AGN","5151AGN")</f>
        <v>5151AGN</v>
      </c>
      <c r="B4382" s="1" t="s">
        <v>8376</v>
      </c>
      <c r="C4382" s="9" t="s">
        <v>6954</v>
      </c>
      <c r="D4382" s="14" t="s">
        <v>8377</v>
      </c>
      <c r="E4382" s="9" t="s">
        <v>8</v>
      </c>
    </row>
    <row r="4383" spans="1:5" ht="15" customHeight="1" outlineLevel="2" x14ac:dyDescent="0.25">
      <c r="A4383" s="3" t="str">
        <f>HYPERLINK("http://mystore1.ru/price_items/search?utf8=%E2%9C%93&amp;oem=5151AGN1B","5151AGN1B")</f>
        <v>5151AGN1B</v>
      </c>
      <c r="B4383" s="1" t="s">
        <v>8378</v>
      </c>
      <c r="C4383" s="9" t="s">
        <v>4714</v>
      </c>
      <c r="D4383" s="14" t="s">
        <v>8379</v>
      </c>
      <c r="E4383" s="9" t="s">
        <v>8</v>
      </c>
    </row>
    <row r="4384" spans="1:5" ht="15" customHeight="1" outlineLevel="2" x14ac:dyDescent="0.25">
      <c r="A4384" s="3" t="str">
        <f>HYPERLINK("http://mystore1.ru/price_items/search?utf8=%E2%9C%93&amp;oem=5151AGNBL","5151AGNBL")</f>
        <v>5151AGNBL</v>
      </c>
      <c r="B4384" s="1" t="s">
        <v>8380</v>
      </c>
      <c r="C4384" s="9" t="s">
        <v>6954</v>
      </c>
      <c r="D4384" s="14" t="s">
        <v>8381</v>
      </c>
      <c r="E4384" s="9" t="s">
        <v>8</v>
      </c>
    </row>
    <row r="4385" spans="1:5" ht="15" customHeight="1" outlineLevel="2" x14ac:dyDescent="0.25">
      <c r="A4385" s="3" t="str">
        <f>HYPERLINK("http://mystore1.ru/price_items/search?utf8=%E2%9C%93&amp;oem=5151AGNBL1B","5151AGNBL1B")</f>
        <v>5151AGNBL1B</v>
      </c>
      <c r="B4385" s="1" t="s">
        <v>8382</v>
      </c>
      <c r="C4385" s="9" t="s">
        <v>4714</v>
      </c>
      <c r="D4385" s="14" t="s">
        <v>8383</v>
      </c>
      <c r="E4385" s="9" t="s">
        <v>8</v>
      </c>
    </row>
    <row r="4386" spans="1:5" ht="15" customHeight="1" outlineLevel="2" x14ac:dyDescent="0.25">
      <c r="A4386" s="3" t="str">
        <f>HYPERLINK("http://mystore1.ru/price_items/search?utf8=%E2%9C%93&amp;oem=5151AGNGN","5151AGNGN")</f>
        <v>5151AGNGN</v>
      </c>
      <c r="B4386" s="1" t="s">
        <v>8384</v>
      </c>
      <c r="C4386" s="9" t="s">
        <v>6954</v>
      </c>
      <c r="D4386" s="14" t="s">
        <v>8385</v>
      </c>
      <c r="E4386" s="9" t="s">
        <v>8</v>
      </c>
    </row>
    <row r="4387" spans="1:5" ht="15" customHeight="1" outlineLevel="2" x14ac:dyDescent="0.25">
      <c r="A4387" s="3" t="str">
        <f>HYPERLINK("http://mystore1.ru/price_items/search?utf8=%E2%9C%93&amp;oem=5151AGNH","5151AGNH")</f>
        <v>5151AGNH</v>
      </c>
      <c r="B4387" s="1" t="s">
        <v>8386</v>
      </c>
      <c r="C4387" s="9" t="s">
        <v>6954</v>
      </c>
      <c r="D4387" s="14" t="s">
        <v>8387</v>
      </c>
      <c r="E4387" s="9" t="s">
        <v>8</v>
      </c>
    </row>
    <row r="4388" spans="1:5" ht="15" customHeight="1" outlineLevel="2" x14ac:dyDescent="0.25">
      <c r="A4388" s="3" t="str">
        <f>HYPERLINK("http://mystore1.ru/price_items/search?utf8=%E2%9C%93&amp;oem=5151ASMH","5151ASMH")</f>
        <v>5151ASMH</v>
      </c>
      <c r="B4388" s="1" t="s">
        <v>8388</v>
      </c>
      <c r="C4388" s="9" t="s">
        <v>25</v>
      </c>
      <c r="D4388" s="14" t="s">
        <v>8389</v>
      </c>
      <c r="E4388" s="9" t="s">
        <v>27</v>
      </c>
    </row>
    <row r="4389" spans="1:5" ht="15" customHeight="1" outlineLevel="2" x14ac:dyDescent="0.25">
      <c r="A4389" s="3" t="str">
        <f>HYPERLINK("http://mystore1.ru/price_items/search?utf8=%E2%9C%93&amp;oem=5151BCLH","5151BCLH")</f>
        <v>5151BCLH</v>
      </c>
      <c r="B4389" s="1" t="s">
        <v>8390</v>
      </c>
      <c r="C4389" s="9" t="s">
        <v>6954</v>
      </c>
      <c r="D4389" s="14" t="s">
        <v>8391</v>
      </c>
      <c r="E4389" s="9" t="s">
        <v>30</v>
      </c>
    </row>
    <row r="4390" spans="1:5" ht="15" customHeight="1" outlineLevel="2" x14ac:dyDescent="0.25">
      <c r="A4390" s="3" t="str">
        <f>HYPERLINK("http://mystore1.ru/price_items/search?utf8=%E2%9C%93&amp;oem=5151BGNH","5151BGNH")</f>
        <v>5151BGNH</v>
      </c>
      <c r="B4390" s="1" t="s">
        <v>8392</v>
      </c>
      <c r="C4390" s="9" t="s">
        <v>6954</v>
      </c>
      <c r="D4390" s="14" t="s">
        <v>8393</v>
      </c>
      <c r="E4390" s="9" t="s">
        <v>30</v>
      </c>
    </row>
    <row r="4391" spans="1:5" outlineLevel="1" x14ac:dyDescent="0.25">
      <c r="A4391" s="2"/>
      <c r="B4391" s="6" t="s">
        <v>8394</v>
      </c>
      <c r="C4391" s="8"/>
      <c r="D4391" s="8"/>
      <c r="E4391" s="8"/>
    </row>
    <row r="4392" spans="1:5" ht="15" customHeight="1" outlineLevel="2" x14ac:dyDescent="0.25">
      <c r="A4392" s="3" t="str">
        <f>HYPERLINK("http://mystore1.ru/price_items/search?utf8=%E2%9C%93&amp;oem=5116ABL","5116ABL")</f>
        <v>5116ABL</v>
      </c>
      <c r="B4392" s="1" t="s">
        <v>8395</v>
      </c>
      <c r="C4392" s="9" t="s">
        <v>8396</v>
      </c>
      <c r="D4392" s="14" t="s">
        <v>8397</v>
      </c>
      <c r="E4392" s="9" t="s">
        <v>8</v>
      </c>
    </row>
    <row r="4393" spans="1:5" ht="15" customHeight="1" outlineLevel="2" x14ac:dyDescent="0.25">
      <c r="A4393" s="3" t="str">
        <f>HYPERLINK("http://mystore1.ru/price_items/search?utf8=%E2%9C%93&amp;oem=5116ACL","5116ACL")</f>
        <v>5116ACL</v>
      </c>
      <c r="B4393" s="1" t="s">
        <v>8398</v>
      </c>
      <c r="C4393" s="9" t="s">
        <v>8396</v>
      </c>
      <c r="D4393" s="14" t="s">
        <v>8399</v>
      </c>
      <c r="E4393" s="9" t="s">
        <v>8</v>
      </c>
    </row>
    <row r="4394" spans="1:5" outlineLevel="1" x14ac:dyDescent="0.25">
      <c r="A4394" s="2"/>
      <c r="B4394" s="6" t="s">
        <v>8400</v>
      </c>
      <c r="C4394" s="8"/>
      <c r="D4394" s="8"/>
      <c r="E4394" s="8"/>
    </row>
    <row r="4395" spans="1:5" ht="15" customHeight="1" outlineLevel="2" x14ac:dyDescent="0.25">
      <c r="A4395" s="3" t="str">
        <f>HYPERLINK("http://mystore1.ru/price_items/search?utf8=%E2%9C%93&amp;oem=5125ABL","5125ABL")</f>
        <v>5125ABL</v>
      </c>
      <c r="B4395" s="1" t="s">
        <v>8401</v>
      </c>
      <c r="C4395" s="9" t="s">
        <v>6976</v>
      </c>
      <c r="D4395" s="14" t="s">
        <v>8402</v>
      </c>
      <c r="E4395" s="9" t="s">
        <v>8</v>
      </c>
    </row>
    <row r="4396" spans="1:5" ht="15" customHeight="1" outlineLevel="2" x14ac:dyDescent="0.25">
      <c r="A4396" s="3" t="str">
        <f>HYPERLINK("http://mystore1.ru/price_items/search?utf8=%E2%9C%93&amp;oem=5125AKCH","5125AKCH")</f>
        <v>5125AKCH</v>
      </c>
      <c r="B4396" s="1" t="s">
        <v>8403</v>
      </c>
      <c r="C4396" s="9" t="s">
        <v>25</v>
      </c>
      <c r="D4396" s="14" t="s">
        <v>8404</v>
      </c>
      <c r="E4396" s="9" t="s">
        <v>27</v>
      </c>
    </row>
    <row r="4397" spans="1:5" ht="15" customHeight="1" outlineLevel="2" x14ac:dyDescent="0.25">
      <c r="A4397" s="3" t="str">
        <f>HYPERLINK("http://mystore1.ru/price_items/search?utf8=%E2%9C%93&amp;oem=5125BBLH","5125BBLH")</f>
        <v>5125BBLH</v>
      </c>
      <c r="B4397" s="1" t="s">
        <v>8405</v>
      </c>
      <c r="C4397" s="9" t="s">
        <v>6976</v>
      </c>
      <c r="D4397" s="14" t="s">
        <v>8406</v>
      </c>
      <c r="E4397" s="9" t="s">
        <v>30</v>
      </c>
    </row>
    <row r="4398" spans="1:5" ht="15" customHeight="1" outlineLevel="2" x14ac:dyDescent="0.25">
      <c r="A4398" s="3" t="str">
        <f>HYPERLINK("http://mystore1.ru/price_items/search?utf8=%E2%9C%93&amp;oem=5125LBLH5FD","5125LBLH5FD")</f>
        <v>5125LBLH5FD</v>
      </c>
      <c r="B4398" s="1" t="s">
        <v>8407</v>
      </c>
      <c r="C4398" s="9" t="s">
        <v>6976</v>
      </c>
      <c r="D4398" s="14" t="s">
        <v>8408</v>
      </c>
      <c r="E4398" s="9" t="s">
        <v>11</v>
      </c>
    </row>
    <row r="4399" spans="1:5" ht="15" customHeight="1" outlineLevel="2" x14ac:dyDescent="0.25">
      <c r="A4399" s="3" t="str">
        <f>HYPERLINK("http://mystore1.ru/price_items/search?utf8=%E2%9C%93&amp;oem=5125LBLH5RV","5125LBLH5RV")</f>
        <v>5125LBLH5RV</v>
      </c>
      <c r="B4399" s="1" t="s">
        <v>8409</v>
      </c>
      <c r="C4399" s="9" t="s">
        <v>6976</v>
      </c>
      <c r="D4399" s="14" t="s">
        <v>8410</v>
      </c>
      <c r="E4399" s="9" t="s">
        <v>11</v>
      </c>
    </row>
    <row r="4400" spans="1:5" ht="15" customHeight="1" outlineLevel="2" x14ac:dyDescent="0.25">
      <c r="A4400" s="3" t="str">
        <f>HYPERLINK("http://mystore1.ru/price_items/search?utf8=%E2%9C%93&amp;oem=5125RBLH3FD","5125RBLH3FD")</f>
        <v>5125RBLH3FD</v>
      </c>
      <c r="B4400" s="1" t="s">
        <v>8411</v>
      </c>
      <c r="C4400" s="9" t="s">
        <v>6976</v>
      </c>
      <c r="D4400" s="14" t="s">
        <v>8412</v>
      </c>
      <c r="E4400" s="9" t="s">
        <v>11</v>
      </c>
    </row>
    <row r="4401" spans="1:5" ht="15" customHeight="1" outlineLevel="2" x14ac:dyDescent="0.25">
      <c r="A4401" s="3" t="str">
        <f>HYPERLINK("http://mystore1.ru/price_items/search?utf8=%E2%9C%93&amp;oem=5125RBLH5FD","5125RBLH5FD")</f>
        <v>5125RBLH5FD</v>
      </c>
      <c r="B4401" s="1" t="s">
        <v>8413</v>
      </c>
      <c r="C4401" s="9" t="s">
        <v>6976</v>
      </c>
      <c r="D4401" s="14" t="s">
        <v>8414</v>
      </c>
      <c r="E4401" s="9" t="s">
        <v>11</v>
      </c>
    </row>
    <row r="4402" spans="1:5" ht="15" customHeight="1" outlineLevel="2" x14ac:dyDescent="0.25">
      <c r="A4402" s="3" t="str">
        <f>HYPERLINK("http://mystore1.ru/price_items/search?utf8=%E2%9C%93&amp;oem=5125RBLH5RV","5125RBLH5RV")</f>
        <v>5125RBLH5RV</v>
      </c>
      <c r="B4402" s="1" t="s">
        <v>8415</v>
      </c>
      <c r="C4402" s="9" t="s">
        <v>6976</v>
      </c>
      <c r="D4402" s="14" t="s">
        <v>8416</v>
      </c>
      <c r="E4402" s="9" t="s">
        <v>11</v>
      </c>
    </row>
    <row r="4403" spans="1:5" outlineLevel="1" x14ac:dyDescent="0.25">
      <c r="A4403" s="2"/>
      <c r="B4403" s="6" t="s">
        <v>8417</v>
      </c>
      <c r="C4403" s="8"/>
      <c r="D4403" s="8"/>
      <c r="E4403" s="8"/>
    </row>
    <row r="4404" spans="1:5" ht="15" customHeight="1" outlineLevel="2" x14ac:dyDescent="0.25">
      <c r="A4404" s="3" t="str">
        <f>HYPERLINK("http://mystore1.ru/price_items/search?utf8=%E2%9C%93&amp;oem=5134ABL","5134ABL")</f>
        <v>5134ABL</v>
      </c>
      <c r="B4404" s="1" t="s">
        <v>8418</v>
      </c>
      <c r="C4404" s="9" t="s">
        <v>2042</v>
      </c>
      <c r="D4404" s="14" t="s">
        <v>8419</v>
      </c>
      <c r="E4404" s="9" t="s">
        <v>8</v>
      </c>
    </row>
    <row r="4405" spans="1:5" ht="15" customHeight="1" outlineLevel="2" x14ac:dyDescent="0.25">
      <c r="A4405" s="3" t="str">
        <f>HYPERLINK("http://mystore1.ru/price_items/search?utf8=%E2%9C%93&amp;oem=5134AGNBL","5134AGNBL")</f>
        <v>5134AGNBL</v>
      </c>
      <c r="B4405" s="1" t="s">
        <v>8420</v>
      </c>
      <c r="C4405" s="9" t="s">
        <v>2042</v>
      </c>
      <c r="D4405" s="14" t="s">
        <v>8421</v>
      </c>
      <c r="E4405" s="9" t="s">
        <v>8</v>
      </c>
    </row>
    <row r="4406" spans="1:5" ht="15" customHeight="1" outlineLevel="2" x14ac:dyDescent="0.25">
      <c r="A4406" s="3" t="str">
        <f>HYPERLINK("http://mystore1.ru/price_items/search?utf8=%E2%9C%93&amp;oem=5134ASMHT","5134ASMHT")</f>
        <v>5134ASMHT</v>
      </c>
      <c r="B4406" s="1" t="s">
        <v>8422</v>
      </c>
      <c r="C4406" s="9" t="s">
        <v>25</v>
      </c>
      <c r="D4406" s="14" t="s">
        <v>8423</v>
      </c>
      <c r="E4406" s="9" t="s">
        <v>27</v>
      </c>
    </row>
    <row r="4407" spans="1:5" ht="15" customHeight="1" outlineLevel="2" x14ac:dyDescent="0.25">
      <c r="A4407" s="3" t="str">
        <f>HYPERLINK("http://mystore1.ru/price_items/search?utf8=%E2%9C%93&amp;oem=5134BBLH","5134BBLH")</f>
        <v>5134BBLH</v>
      </c>
      <c r="B4407" s="1" t="s">
        <v>8424</v>
      </c>
      <c r="C4407" s="9" t="s">
        <v>2042</v>
      </c>
      <c r="D4407" s="14" t="s">
        <v>8425</v>
      </c>
      <c r="E4407" s="9" t="s">
        <v>30</v>
      </c>
    </row>
    <row r="4408" spans="1:5" ht="15" customHeight="1" outlineLevel="2" x14ac:dyDescent="0.25">
      <c r="A4408" s="3" t="str">
        <f>HYPERLINK("http://mystore1.ru/price_items/search?utf8=%E2%9C%93&amp;oem=5134LBLH3FD","5134LBLH3FD")</f>
        <v>5134LBLH3FD</v>
      </c>
      <c r="B4408" s="1" t="s">
        <v>8426</v>
      </c>
      <c r="C4408" s="9" t="s">
        <v>2042</v>
      </c>
      <c r="D4408" s="14" t="s">
        <v>8427</v>
      </c>
      <c r="E4408" s="9" t="s">
        <v>11</v>
      </c>
    </row>
    <row r="4409" spans="1:5" ht="15" customHeight="1" outlineLevel="2" x14ac:dyDescent="0.25">
      <c r="A4409" s="3" t="str">
        <f>HYPERLINK("http://mystore1.ru/price_items/search?utf8=%E2%9C%93&amp;oem=5134LBLH3RQO","5134LBLH3RQO")</f>
        <v>5134LBLH3RQO</v>
      </c>
      <c r="B4409" s="1" t="s">
        <v>8428</v>
      </c>
      <c r="C4409" s="9" t="s">
        <v>2042</v>
      </c>
      <c r="D4409" s="14" t="s">
        <v>8429</v>
      </c>
      <c r="E4409" s="9" t="s">
        <v>11</v>
      </c>
    </row>
    <row r="4410" spans="1:5" ht="15" customHeight="1" outlineLevel="2" x14ac:dyDescent="0.25">
      <c r="A4410" s="3" t="str">
        <f>HYPERLINK("http://mystore1.ru/price_items/search?utf8=%E2%9C%93&amp;oem=5134RBLH3FD","5134RBLH3FD")</f>
        <v>5134RBLH3FD</v>
      </c>
      <c r="B4410" s="1" t="s">
        <v>8430</v>
      </c>
      <c r="C4410" s="9" t="s">
        <v>2042</v>
      </c>
      <c r="D4410" s="14" t="s">
        <v>8431</v>
      </c>
      <c r="E4410" s="9" t="s">
        <v>11</v>
      </c>
    </row>
    <row r="4411" spans="1:5" ht="15" customHeight="1" outlineLevel="2" x14ac:dyDescent="0.25">
      <c r="A4411" s="3" t="str">
        <f>HYPERLINK("http://mystore1.ru/price_items/search?utf8=%E2%9C%93&amp;oem=5134RBLH3RQO","5134RBLH3RQO")</f>
        <v>5134RBLH3RQO</v>
      </c>
      <c r="B4411" s="1" t="s">
        <v>8432</v>
      </c>
      <c r="C4411" s="9" t="s">
        <v>2042</v>
      </c>
      <c r="D4411" s="14" t="s">
        <v>8433</v>
      </c>
      <c r="E4411" s="9" t="s">
        <v>11</v>
      </c>
    </row>
    <row r="4412" spans="1:5" outlineLevel="1" x14ac:dyDescent="0.25">
      <c r="A4412" s="2"/>
      <c r="B4412" s="6" t="s">
        <v>8434</v>
      </c>
      <c r="C4412" s="8"/>
      <c r="D4412" s="8"/>
      <c r="E4412" s="8"/>
    </row>
    <row r="4413" spans="1:5" ht="15" customHeight="1" outlineLevel="2" x14ac:dyDescent="0.25">
      <c r="A4413" s="3" t="str">
        <f>HYPERLINK("http://mystore1.ru/price_items/search?utf8=%E2%9C%93&amp;oem=5135ABL","5135ABL")</f>
        <v>5135ABL</v>
      </c>
      <c r="B4413" s="1" t="s">
        <v>8435</v>
      </c>
      <c r="C4413" s="9" t="s">
        <v>2042</v>
      </c>
      <c r="D4413" s="14" t="s">
        <v>8436</v>
      </c>
      <c r="E4413" s="9" t="s">
        <v>8</v>
      </c>
    </row>
    <row r="4414" spans="1:5" ht="15" customHeight="1" outlineLevel="2" x14ac:dyDescent="0.25">
      <c r="A4414" s="3" t="str">
        <f>HYPERLINK("http://mystore1.ru/price_items/search?utf8=%E2%9C%93&amp;oem=5135ABLBL","5135ABLBL")</f>
        <v>5135ABLBL</v>
      </c>
      <c r="B4414" s="1" t="s">
        <v>8437</v>
      </c>
      <c r="C4414" s="9" t="s">
        <v>2042</v>
      </c>
      <c r="D4414" s="14" t="s">
        <v>8438</v>
      </c>
      <c r="E4414" s="9" t="s">
        <v>8</v>
      </c>
    </row>
    <row r="4415" spans="1:5" ht="15" customHeight="1" outlineLevel="2" x14ac:dyDescent="0.25">
      <c r="A4415" s="3" t="str">
        <f>HYPERLINK("http://mystore1.ru/price_items/search?utf8=%E2%9C%93&amp;oem=5135ASMST","5135ASMST")</f>
        <v>5135ASMST</v>
      </c>
      <c r="B4415" s="1" t="s">
        <v>8439</v>
      </c>
      <c r="C4415" s="9" t="s">
        <v>25</v>
      </c>
      <c r="D4415" s="14" t="s">
        <v>8440</v>
      </c>
      <c r="E4415" s="9" t="s">
        <v>27</v>
      </c>
    </row>
    <row r="4416" spans="1:5" ht="15" customHeight="1" outlineLevel="2" x14ac:dyDescent="0.25">
      <c r="A4416" s="3" t="str">
        <f>HYPERLINK("http://mystore1.ru/price_items/search?utf8=%E2%9C%93&amp;oem=5135BBLS","5135BBLS")</f>
        <v>5135BBLS</v>
      </c>
      <c r="B4416" s="1" t="s">
        <v>8441</v>
      </c>
      <c r="C4416" s="9" t="s">
        <v>2042</v>
      </c>
      <c r="D4416" s="14" t="s">
        <v>8442</v>
      </c>
      <c r="E4416" s="9" t="s">
        <v>30</v>
      </c>
    </row>
    <row r="4417" spans="1:5" ht="15" customHeight="1" outlineLevel="2" x14ac:dyDescent="0.25">
      <c r="A4417" s="3" t="str">
        <f>HYPERLINK("http://mystore1.ru/price_items/search?utf8=%E2%9C%93&amp;oem=5135LBLS4FD","5135LBLS4FD")</f>
        <v>5135LBLS4FD</v>
      </c>
      <c r="B4417" s="1" t="s">
        <v>8443</v>
      </c>
      <c r="C4417" s="9" t="s">
        <v>2042</v>
      </c>
      <c r="D4417" s="14" t="s">
        <v>8444</v>
      </c>
      <c r="E4417" s="9" t="s">
        <v>11</v>
      </c>
    </row>
    <row r="4418" spans="1:5" ht="15" customHeight="1" outlineLevel="2" x14ac:dyDescent="0.25">
      <c r="A4418" s="3" t="str">
        <f>HYPERLINK("http://mystore1.ru/price_items/search?utf8=%E2%9C%93&amp;oem=5135RBLS4FD","5135RBLS4FD")</f>
        <v>5135RBLS4FD</v>
      </c>
      <c r="B4418" s="1" t="s">
        <v>8445</v>
      </c>
      <c r="C4418" s="9" t="s">
        <v>2042</v>
      </c>
      <c r="D4418" s="14" t="s">
        <v>8446</v>
      </c>
      <c r="E4418" s="9" t="s">
        <v>11</v>
      </c>
    </row>
    <row r="4419" spans="1:5" ht="15" customHeight="1" outlineLevel="2" x14ac:dyDescent="0.25">
      <c r="A4419" s="3" t="str">
        <f>HYPERLINK("http://mystore1.ru/price_items/search?utf8=%E2%9C%93&amp;oem=5135RBLS4RV","5135RBLS4RV")</f>
        <v>5135RBLS4RV</v>
      </c>
      <c r="B4419" s="1" t="s">
        <v>8447</v>
      </c>
      <c r="C4419" s="9" t="s">
        <v>2042</v>
      </c>
      <c r="D4419" s="14" t="s">
        <v>8448</v>
      </c>
      <c r="E4419" s="9" t="s">
        <v>11</v>
      </c>
    </row>
    <row r="4420" spans="1:5" outlineLevel="1" x14ac:dyDescent="0.25">
      <c r="A4420" s="2"/>
      <c r="B4420" s="6" t="s">
        <v>8449</v>
      </c>
      <c r="C4420" s="8"/>
      <c r="D4420" s="8"/>
      <c r="E4420" s="8"/>
    </row>
    <row r="4421" spans="1:5" ht="15" customHeight="1" outlineLevel="2" x14ac:dyDescent="0.25">
      <c r="A4421" s="3" t="str">
        <f>HYPERLINK("http://mystore1.ru/price_items/search?utf8=%E2%9C%93&amp;oem=5136ABL","5136ABL")</f>
        <v>5136ABL</v>
      </c>
      <c r="B4421" s="1" t="s">
        <v>8450</v>
      </c>
      <c r="C4421" s="9" t="s">
        <v>2042</v>
      </c>
      <c r="D4421" s="14" t="s">
        <v>8451</v>
      </c>
      <c r="E4421" s="9" t="s">
        <v>8</v>
      </c>
    </row>
    <row r="4422" spans="1:5" ht="15" customHeight="1" outlineLevel="2" x14ac:dyDescent="0.25">
      <c r="A4422" s="3" t="str">
        <f>HYPERLINK("http://mystore1.ru/price_items/search?utf8=%E2%9C%93&amp;oem=5136ABLBL","5136ABLBL")</f>
        <v>5136ABLBL</v>
      </c>
      <c r="B4422" s="1" t="s">
        <v>8452</v>
      </c>
      <c r="C4422" s="9" t="s">
        <v>2042</v>
      </c>
      <c r="D4422" s="14" t="s">
        <v>8453</v>
      </c>
      <c r="E4422" s="9" t="s">
        <v>8</v>
      </c>
    </row>
    <row r="4423" spans="1:5" ht="15" customHeight="1" outlineLevel="2" x14ac:dyDescent="0.25">
      <c r="A4423" s="3" t="str">
        <f>HYPERLINK("http://mystore1.ru/price_items/search?utf8=%E2%9C%93&amp;oem=5136AKSH","5136AKSH")</f>
        <v>5136AKSH</v>
      </c>
      <c r="B4423" s="1" t="s">
        <v>8454</v>
      </c>
      <c r="C4423" s="9" t="s">
        <v>25</v>
      </c>
      <c r="D4423" s="14" t="s">
        <v>8455</v>
      </c>
      <c r="E4423" s="9" t="s">
        <v>27</v>
      </c>
    </row>
    <row r="4424" spans="1:5" ht="15" customHeight="1" outlineLevel="2" x14ac:dyDescent="0.25">
      <c r="A4424" s="3" t="str">
        <f>HYPERLINK("http://mystore1.ru/price_items/search?utf8=%E2%9C%93&amp;oem=5136ASMHT","5136ASMHT")</f>
        <v>5136ASMHT</v>
      </c>
      <c r="B4424" s="1" t="s">
        <v>8456</v>
      </c>
      <c r="C4424" s="9" t="s">
        <v>25</v>
      </c>
      <c r="D4424" s="14" t="s">
        <v>8457</v>
      </c>
      <c r="E4424" s="9" t="s">
        <v>27</v>
      </c>
    </row>
    <row r="4425" spans="1:5" ht="15" customHeight="1" outlineLevel="2" x14ac:dyDescent="0.25">
      <c r="A4425" s="3" t="str">
        <f>HYPERLINK("http://mystore1.ru/price_items/search?utf8=%E2%9C%93&amp;oem=5136LBLH5FD","5136LBLH5FD")</f>
        <v>5136LBLH5FD</v>
      </c>
      <c r="B4425" s="1" t="s">
        <v>8458</v>
      </c>
      <c r="C4425" s="9" t="s">
        <v>2042</v>
      </c>
      <c r="D4425" s="14" t="s">
        <v>8459</v>
      </c>
      <c r="E4425" s="9" t="s">
        <v>11</v>
      </c>
    </row>
    <row r="4426" spans="1:5" ht="15" customHeight="1" outlineLevel="2" x14ac:dyDescent="0.25">
      <c r="A4426" s="3" t="str">
        <f>HYPERLINK("http://mystore1.ru/price_items/search?utf8=%E2%9C%93&amp;oem=5136RBLH5FD","5136RBLH5FD")</f>
        <v>5136RBLH5FD</v>
      </c>
      <c r="B4426" s="1" t="s">
        <v>8460</v>
      </c>
      <c r="C4426" s="9" t="s">
        <v>2042</v>
      </c>
      <c r="D4426" s="14" t="s">
        <v>8461</v>
      </c>
      <c r="E4426" s="9" t="s">
        <v>11</v>
      </c>
    </row>
    <row r="4427" spans="1:5" ht="15" customHeight="1" outlineLevel="2" x14ac:dyDescent="0.25">
      <c r="A4427" s="3" t="str">
        <f>HYPERLINK("http://mystore1.ru/price_items/search?utf8=%E2%9C%93&amp;oem=5136RBLH5RD","5136RBLH5RD")</f>
        <v>5136RBLH5RD</v>
      </c>
      <c r="B4427" s="1" t="s">
        <v>8462</v>
      </c>
      <c r="C4427" s="9" t="s">
        <v>2042</v>
      </c>
      <c r="D4427" s="14" t="s">
        <v>8463</v>
      </c>
      <c r="E4427" s="9" t="s">
        <v>11</v>
      </c>
    </row>
    <row r="4428" spans="1:5" outlineLevel="1" x14ac:dyDescent="0.25">
      <c r="A4428" s="2"/>
      <c r="B4428" s="6" t="s">
        <v>8464</v>
      </c>
      <c r="C4428" s="8"/>
      <c r="D4428" s="8"/>
      <c r="E4428" s="8"/>
    </row>
    <row r="4429" spans="1:5" ht="15" customHeight="1" outlineLevel="2" x14ac:dyDescent="0.25">
      <c r="A4429" s="3" t="str">
        <f>HYPERLINK("http://mystore1.ru/price_items/search?utf8=%E2%9C%93&amp;oem=5150ABL","5150ABL")</f>
        <v>5150ABL</v>
      </c>
      <c r="B4429" s="1" t="s">
        <v>8465</v>
      </c>
      <c r="C4429" s="9" t="s">
        <v>623</v>
      </c>
      <c r="D4429" s="14" t="s">
        <v>8466</v>
      </c>
      <c r="E4429" s="9" t="s">
        <v>8</v>
      </c>
    </row>
    <row r="4430" spans="1:5" ht="15" customHeight="1" outlineLevel="2" x14ac:dyDescent="0.25">
      <c r="A4430" s="3" t="str">
        <f>HYPERLINK("http://mystore1.ru/price_items/search?utf8=%E2%9C%93&amp;oem=5150ABLBL","5150ABLBL")</f>
        <v>5150ABLBL</v>
      </c>
      <c r="B4430" s="1" t="s">
        <v>8467</v>
      </c>
      <c r="C4430" s="9" t="s">
        <v>623</v>
      </c>
      <c r="D4430" s="14" t="s">
        <v>8468</v>
      </c>
      <c r="E4430" s="9" t="s">
        <v>8</v>
      </c>
    </row>
    <row r="4431" spans="1:5" ht="15" customHeight="1" outlineLevel="2" x14ac:dyDescent="0.25">
      <c r="A4431" s="3" t="str">
        <f>HYPERLINK("http://mystore1.ru/price_items/search?utf8=%E2%9C%93&amp;oem=5150AGN","5150AGN")</f>
        <v>5150AGN</v>
      </c>
      <c r="B4431" s="1" t="s">
        <v>8469</v>
      </c>
      <c r="C4431" s="9" t="s">
        <v>623</v>
      </c>
      <c r="D4431" s="14" t="s">
        <v>8470</v>
      </c>
      <c r="E4431" s="9" t="s">
        <v>8</v>
      </c>
    </row>
    <row r="4432" spans="1:5" ht="15" customHeight="1" outlineLevel="2" x14ac:dyDescent="0.25">
      <c r="A4432" s="3" t="str">
        <f>HYPERLINK("http://mystore1.ru/price_items/search?utf8=%E2%9C%93&amp;oem=5150AGNBL","5150AGNBL")</f>
        <v>5150AGNBL</v>
      </c>
      <c r="B4432" s="1" t="s">
        <v>8471</v>
      </c>
      <c r="C4432" s="9" t="s">
        <v>623</v>
      </c>
      <c r="D4432" s="14" t="s">
        <v>8472</v>
      </c>
      <c r="E4432" s="9" t="s">
        <v>8</v>
      </c>
    </row>
    <row r="4433" spans="1:5" ht="15" customHeight="1" outlineLevel="2" x14ac:dyDescent="0.25">
      <c r="A4433" s="3" t="str">
        <f>HYPERLINK("http://mystore1.ru/price_items/search?utf8=%E2%9C%93&amp;oem=5150ASMH","5150ASMH")</f>
        <v>5150ASMH</v>
      </c>
      <c r="B4433" s="1" t="s">
        <v>8473</v>
      </c>
      <c r="C4433" s="9" t="s">
        <v>25</v>
      </c>
      <c r="D4433" s="14" t="s">
        <v>8474</v>
      </c>
      <c r="E4433" s="9" t="s">
        <v>27</v>
      </c>
    </row>
    <row r="4434" spans="1:5" ht="15" customHeight="1" outlineLevel="2" x14ac:dyDescent="0.25">
      <c r="A4434" s="3" t="str">
        <f>HYPERLINK("http://mystore1.ru/price_items/search?utf8=%E2%9C%93&amp;oem=5150BBLS","5150BBLS")</f>
        <v>5150BBLS</v>
      </c>
      <c r="B4434" s="1" t="s">
        <v>8475</v>
      </c>
      <c r="C4434" s="9" t="s">
        <v>623</v>
      </c>
      <c r="D4434" s="14" t="s">
        <v>8476</v>
      </c>
      <c r="E4434" s="9" t="s">
        <v>30</v>
      </c>
    </row>
    <row r="4435" spans="1:5" ht="15" customHeight="1" outlineLevel="2" x14ac:dyDescent="0.25">
      <c r="A4435" s="3" t="str">
        <f>HYPERLINK("http://mystore1.ru/price_items/search?utf8=%E2%9C%93&amp;oem=5150BGNS","5150BGNS")</f>
        <v>5150BGNS</v>
      </c>
      <c r="B4435" s="1" t="s">
        <v>8477</v>
      </c>
      <c r="C4435" s="9" t="s">
        <v>623</v>
      </c>
      <c r="D4435" s="14" t="s">
        <v>8478</v>
      </c>
      <c r="E4435" s="9" t="s">
        <v>30</v>
      </c>
    </row>
    <row r="4436" spans="1:5" ht="15" customHeight="1" outlineLevel="2" x14ac:dyDescent="0.25">
      <c r="A4436" s="3" t="str">
        <f>HYPERLINK("http://mystore1.ru/price_items/search?utf8=%E2%9C%93&amp;oem=5150LBLS4FD","5150LBLS4FD")</f>
        <v>5150LBLS4FD</v>
      </c>
      <c r="B4436" s="1" t="s">
        <v>8479</v>
      </c>
      <c r="C4436" s="9" t="s">
        <v>623</v>
      </c>
      <c r="D4436" s="14" t="s">
        <v>8480</v>
      </c>
      <c r="E4436" s="9" t="s">
        <v>11</v>
      </c>
    </row>
    <row r="4437" spans="1:5" ht="15" customHeight="1" outlineLevel="2" x14ac:dyDescent="0.25">
      <c r="A4437" s="3" t="str">
        <f>HYPERLINK("http://mystore1.ru/price_items/search?utf8=%E2%9C%93&amp;oem=5150LGNS4FD","5150LGNS4FD")</f>
        <v>5150LGNS4FD</v>
      </c>
      <c r="B4437" s="1" t="s">
        <v>8481</v>
      </c>
      <c r="C4437" s="9" t="s">
        <v>623</v>
      </c>
      <c r="D4437" s="14" t="s">
        <v>8482</v>
      </c>
      <c r="E4437" s="9" t="s">
        <v>11</v>
      </c>
    </row>
    <row r="4438" spans="1:5" ht="15" customHeight="1" outlineLevel="2" x14ac:dyDescent="0.25">
      <c r="A4438" s="3" t="str">
        <f>HYPERLINK("http://mystore1.ru/price_items/search?utf8=%E2%9C%93&amp;oem=5150RBLS4FD","5150RBLS4FD")</f>
        <v>5150RBLS4FD</v>
      </c>
      <c r="B4438" s="1" t="s">
        <v>8483</v>
      </c>
      <c r="C4438" s="9" t="s">
        <v>623</v>
      </c>
      <c r="D4438" s="14" t="s">
        <v>8484</v>
      </c>
      <c r="E4438" s="9" t="s">
        <v>11</v>
      </c>
    </row>
    <row r="4439" spans="1:5" ht="15" customHeight="1" outlineLevel="2" x14ac:dyDescent="0.25">
      <c r="A4439" s="3" t="str">
        <f>HYPERLINK("http://mystore1.ru/price_items/search?utf8=%E2%9C%93&amp;oem=5150RGNH3FD","5150RGNH3FD")</f>
        <v>5150RGNH3FD</v>
      </c>
      <c r="B4439" s="1" t="s">
        <v>8485</v>
      </c>
      <c r="C4439" s="9" t="s">
        <v>7422</v>
      </c>
      <c r="D4439" s="14" t="s">
        <v>8486</v>
      </c>
      <c r="E4439" s="9" t="s">
        <v>11</v>
      </c>
    </row>
    <row r="4440" spans="1:5" ht="15" customHeight="1" outlineLevel="2" x14ac:dyDescent="0.25">
      <c r="A4440" s="3" t="str">
        <f>HYPERLINK("http://mystore1.ru/price_items/search?utf8=%E2%9C%93&amp;oem=5150RGNS4FD","5150RGNS4FD")</f>
        <v>5150RGNS4FD</v>
      </c>
      <c r="B4440" s="1" t="s">
        <v>8487</v>
      </c>
      <c r="C4440" s="9" t="s">
        <v>623</v>
      </c>
      <c r="D4440" s="14" t="s">
        <v>8488</v>
      </c>
      <c r="E4440" s="9" t="s">
        <v>11</v>
      </c>
    </row>
    <row r="4441" spans="1:5" ht="15" customHeight="1" outlineLevel="2" x14ac:dyDescent="0.25">
      <c r="A4441" s="3" t="str">
        <f>HYPERLINK("http://mystore1.ru/price_items/search?utf8=%E2%9C%93&amp;oem=5150RGNS4RD","5150RGNS4RD")</f>
        <v>5150RGNS4RD</v>
      </c>
      <c r="B4441" s="1" t="s">
        <v>8489</v>
      </c>
      <c r="C4441" s="9" t="s">
        <v>623</v>
      </c>
      <c r="D4441" s="14" t="s">
        <v>8490</v>
      </c>
      <c r="E4441" s="9" t="s">
        <v>11</v>
      </c>
    </row>
    <row r="4442" spans="1:5" outlineLevel="1" x14ac:dyDescent="0.25">
      <c r="A4442" s="2"/>
      <c r="B4442" s="6" t="s">
        <v>8491</v>
      </c>
      <c r="C4442" s="8"/>
      <c r="D4442" s="8"/>
      <c r="E4442" s="8"/>
    </row>
    <row r="4443" spans="1:5" ht="15" customHeight="1" outlineLevel="2" x14ac:dyDescent="0.25">
      <c r="A4443" s="3" t="str">
        <f>HYPERLINK("http://mystore1.ru/price_items/search?utf8=%E2%9C%93&amp;oem=5149ABL","5149ABL")</f>
        <v>5149ABL</v>
      </c>
      <c r="B4443" s="1" t="s">
        <v>8492</v>
      </c>
      <c r="C4443" s="9" t="s">
        <v>623</v>
      </c>
      <c r="D4443" s="14" t="s">
        <v>8493</v>
      </c>
      <c r="E4443" s="9" t="s">
        <v>8</v>
      </c>
    </row>
    <row r="4444" spans="1:5" ht="15" customHeight="1" outlineLevel="2" x14ac:dyDescent="0.25">
      <c r="A4444" s="3" t="str">
        <f>HYPERLINK("http://mystore1.ru/price_items/search?utf8=%E2%9C%93&amp;oem=5149ABLBL","5149ABLBL")</f>
        <v>5149ABLBL</v>
      </c>
      <c r="B4444" s="1" t="s">
        <v>8494</v>
      </c>
      <c r="C4444" s="9" t="s">
        <v>623</v>
      </c>
      <c r="D4444" s="14" t="s">
        <v>8495</v>
      </c>
      <c r="E4444" s="9" t="s">
        <v>8</v>
      </c>
    </row>
    <row r="4445" spans="1:5" ht="15" customHeight="1" outlineLevel="2" x14ac:dyDescent="0.25">
      <c r="A4445" s="3" t="str">
        <f>HYPERLINK("http://mystore1.ru/price_items/search?utf8=%E2%9C%93&amp;oem=5149AGN","5149AGN")</f>
        <v>5149AGN</v>
      </c>
      <c r="B4445" s="1" t="s">
        <v>8496</v>
      </c>
      <c r="C4445" s="9" t="s">
        <v>623</v>
      </c>
      <c r="D4445" s="14" t="s">
        <v>8497</v>
      </c>
      <c r="E4445" s="9" t="s">
        <v>8</v>
      </c>
    </row>
    <row r="4446" spans="1:5" ht="15" customHeight="1" outlineLevel="2" x14ac:dyDescent="0.25">
      <c r="A4446" s="3" t="str">
        <f>HYPERLINK("http://mystore1.ru/price_items/search?utf8=%E2%9C%93&amp;oem=5149AGNBL","5149AGNBL")</f>
        <v>5149AGNBL</v>
      </c>
      <c r="B4446" s="1" t="s">
        <v>8498</v>
      </c>
      <c r="C4446" s="9" t="s">
        <v>623</v>
      </c>
      <c r="D4446" s="14" t="s">
        <v>8499</v>
      </c>
      <c r="E4446" s="9" t="s">
        <v>8</v>
      </c>
    </row>
    <row r="4447" spans="1:5" ht="15" customHeight="1" outlineLevel="2" x14ac:dyDescent="0.25">
      <c r="A4447" s="3" t="str">
        <f>HYPERLINK("http://mystore1.ru/price_items/search?utf8=%E2%9C%93&amp;oem=5149AKCH","5149AKCH")</f>
        <v>5149AKCH</v>
      </c>
      <c r="B4447" s="1" t="s">
        <v>8500</v>
      </c>
      <c r="C4447" s="9" t="s">
        <v>25</v>
      </c>
      <c r="D4447" s="14" t="s">
        <v>8501</v>
      </c>
      <c r="E4447" s="9" t="s">
        <v>27</v>
      </c>
    </row>
    <row r="4448" spans="1:5" ht="15" customHeight="1" outlineLevel="2" x14ac:dyDescent="0.25">
      <c r="A4448" s="3" t="str">
        <f>HYPERLINK("http://mystore1.ru/price_items/search?utf8=%E2%9C%93&amp;oem=5149ASMHT","5149ASMHT")</f>
        <v>5149ASMHT</v>
      </c>
      <c r="B4448" s="1" t="s">
        <v>8502</v>
      </c>
      <c r="C4448" s="9" t="s">
        <v>25</v>
      </c>
      <c r="D4448" s="14" t="s">
        <v>8503</v>
      </c>
      <c r="E4448" s="9" t="s">
        <v>27</v>
      </c>
    </row>
    <row r="4449" spans="1:5" ht="15" customHeight="1" outlineLevel="2" x14ac:dyDescent="0.25">
      <c r="A4449" s="3" t="str">
        <f>HYPERLINK("http://mystore1.ru/price_items/search?utf8=%E2%9C%93&amp;oem=5149BGNH","5149BGNH")</f>
        <v>5149BGNH</v>
      </c>
      <c r="B4449" s="1" t="s">
        <v>8504</v>
      </c>
      <c r="C4449" s="9" t="s">
        <v>623</v>
      </c>
      <c r="D4449" s="14" t="s">
        <v>8505</v>
      </c>
      <c r="E4449" s="9" t="s">
        <v>30</v>
      </c>
    </row>
    <row r="4450" spans="1:5" ht="15" customHeight="1" outlineLevel="2" x14ac:dyDescent="0.25">
      <c r="A4450" s="3" t="str">
        <f>HYPERLINK("http://mystore1.ru/price_items/search?utf8=%E2%9C%93&amp;oem=5149LBLH5FD","5149LBLH5FD")</f>
        <v>5149LBLH5FD</v>
      </c>
      <c r="B4450" s="1" t="s">
        <v>8506</v>
      </c>
      <c r="C4450" s="9" t="s">
        <v>623</v>
      </c>
      <c r="D4450" s="14" t="s">
        <v>8507</v>
      </c>
      <c r="E4450" s="9" t="s">
        <v>11</v>
      </c>
    </row>
    <row r="4451" spans="1:5" ht="15" customHeight="1" outlineLevel="2" x14ac:dyDescent="0.25">
      <c r="A4451" s="3" t="str">
        <f>HYPERLINK("http://mystore1.ru/price_items/search?utf8=%E2%9C%93&amp;oem=5149LBLH5RD","5149LBLH5RD")</f>
        <v>5149LBLH5RD</v>
      </c>
      <c r="B4451" s="1" t="s">
        <v>8508</v>
      </c>
      <c r="C4451" s="9" t="s">
        <v>623</v>
      </c>
      <c r="D4451" s="14" t="s">
        <v>8509</v>
      </c>
      <c r="E4451" s="9" t="s">
        <v>11</v>
      </c>
    </row>
    <row r="4452" spans="1:5" ht="15" customHeight="1" outlineLevel="2" x14ac:dyDescent="0.25">
      <c r="A4452" s="3" t="str">
        <f>HYPERLINK("http://mystore1.ru/price_items/search?utf8=%E2%9C%93&amp;oem=5149LGNH5FDW","5149LGNH5FDW")</f>
        <v>5149LGNH5FDW</v>
      </c>
      <c r="B4452" s="1" t="s">
        <v>8510</v>
      </c>
      <c r="C4452" s="9" t="s">
        <v>623</v>
      </c>
      <c r="D4452" s="14" t="s">
        <v>8511</v>
      </c>
      <c r="E4452" s="9" t="s">
        <v>11</v>
      </c>
    </row>
    <row r="4453" spans="1:5" ht="15" customHeight="1" outlineLevel="2" x14ac:dyDescent="0.25">
      <c r="A4453" s="3" t="str">
        <f>HYPERLINK("http://mystore1.ru/price_items/search?utf8=%E2%9C%93&amp;oem=5149LGNH5RDW","5149LGNH5RDW")</f>
        <v>5149LGNH5RDW</v>
      </c>
      <c r="B4453" s="1" t="s">
        <v>8512</v>
      </c>
      <c r="C4453" s="9" t="s">
        <v>623</v>
      </c>
      <c r="D4453" s="14" t="s">
        <v>8513</v>
      </c>
      <c r="E4453" s="9" t="s">
        <v>11</v>
      </c>
    </row>
    <row r="4454" spans="1:5" ht="15" customHeight="1" outlineLevel="2" x14ac:dyDescent="0.25">
      <c r="A4454" s="3" t="str">
        <f>HYPERLINK("http://mystore1.ru/price_items/search?utf8=%E2%9C%93&amp;oem=5149RBLH5FD","5149RBLH5FD")</f>
        <v>5149RBLH5FD</v>
      </c>
      <c r="B4454" s="1" t="s">
        <v>8514</v>
      </c>
      <c r="C4454" s="9" t="s">
        <v>623</v>
      </c>
      <c r="D4454" s="14" t="s">
        <v>8515</v>
      </c>
      <c r="E4454" s="9" t="s">
        <v>11</v>
      </c>
    </row>
    <row r="4455" spans="1:5" ht="15" customHeight="1" outlineLevel="2" x14ac:dyDescent="0.25">
      <c r="A4455" s="3" t="str">
        <f>HYPERLINK("http://mystore1.ru/price_items/search?utf8=%E2%9C%93&amp;oem=5149RGNH5FDW","5149RGNH5FDW")</f>
        <v>5149RGNH5FDW</v>
      </c>
      <c r="B4455" s="1" t="s">
        <v>8516</v>
      </c>
      <c r="C4455" s="9" t="s">
        <v>623</v>
      </c>
      <c r="D4455" s="14" t="s">
        <v>8517</v>
      </c>
      <c r="E4455" s="9" t="s">
        <v>11</v>
      </c>
    </row>
    <row r="4456" spans="1:5" outlineLevel="1" x14ac:dyDescent="0.25">
      <c r="A4456" s="2"/>
      <c r="B4456" s="6" t="s">
        <v>8518</v>
      </c>
      <c r="C4456" s="8"/>
      <c r="D4456" s="8"/>
      <c r="E4456" s="8"/>
    </row>
    <row r="4457" spans="1:5" ht="15" customHeight="1" outlineLevel="2" x14ac:dyDescent="0.25">
      <c r="A4457" s="3" t="str">
        <f>HYPERLINK("http://mystore1.ru/price_items/search?utf8=%E2%9C%93&amp;oem=5155AGN","5155AGN")</f>
        <v>5155AGN</v>
      </c>
      <c r="B4457" s="1" t="s">
        <v>8519</v>
      </c>
      <c r="C4457" s="9" t="s">
        <v>631</v>
      </c>
      <c r="D4457" s="14" t="s">
        <v>8520</v>
      </c>
      <c r="E4457" s="9" t="s">
        <v>8</v>
      </c>
    </row>
    <row r="4458" spans="1:5" ht="15" customHeight="1" outlineLevel="2" x14ac:dyDescent="0.25">
      <c r="A4458" s="3" t="str">
        <f>HYPERLINK("http://mystore1.ru/price_items/search?utf8=%E2%9C%93&amp;oem=5155AGNBL","5155AGNBL")</f>
        <v>5155AGNBL</v>
      </c>
      <c r="B4458" s="1" t="s">
        <v>8521</v>
      </c>
      <c r="C4458" s="9" t="s">
        <v>631</v>
      </c>
      <c r="D4458" s="14" t="s">
        <v>8522</v>
      </c>
      <c r="E4458" s="9" t="s">
        <v>8</v>
      </c>
    </row>
    <row r="4459" spans="1:5" ht="15" customHeight="1" outlineLevel="2" x14ac:dyDescent="0.25">
      <c r="A4459" s="3" t="str">
        <f>HYPERLINK("http://mystore1.ru/price_items/search?utf8=%E2%9C%93&amp;oem=5155AGNGN","5155AGNGN")</f>
        <v>5155AGNGN</v>
      </c>
      <c r="B4459" s="1" t="s">
        <v>8523</v>
      </c>
      <c r="C4459" s="9" t="s">
        <v>631</v>
      </c>
      <c r="D4459" s="14" t="s">
        <v>8524</v>
      </c>
      <c r="E4459" s="9" t="s">
        <v>8</v>
      </c>
    </row>
    <row r="4460" spans="1:5" ht="15" customHeight="1" outlineLevel="2" x14ac:dyDescent="0.25">
      <c r="A4460" s="3" t="str">
        <f>HYPERLINK("http://mystore1.ru/price_items/search?utf8=%E2%9C%93&amp;oem=5155ASMH","5155ASMH")</f>
        <v>5155ASMH</v>
      </c>
      <c r="B4460" s="1" t="s">
        <v>8525</v>
      </c>
      <c r="C4460" s="9" t="s">
        <v>25</v>
      </c>
      <c r="D4460" s="14" t="s">
        <v>8526</v>
      </c>
      <c r="E4460" s="9" t="s">
        <v>27</v>
      </c>
    </row>
    <row r="4461" spans="1:5" ht="15" customHeight="1" outlineLevel="2" x14ac:dyDescent="0.25">
      <c r="A4461" s="3" t="str">
        <f>HYPERLINK("http://mystore1.ru/price_items/search?utf8=%E2%9C%93&amp;oem=5155BGNH","5155BGNH")</f>
        <v>5155BGNH</v>
      </c>
      <c r="B4461" s="1" t="s">
        <v>8527</v>
      </c>
      <c r="C4461" s="9" t="s">
        <v>631</v>
      </c>
      <c r="D4461" s="14" t="s">
        <v>8528</v>
      </c>
      <c r="E4461" s="9" t="s">
        <v>30</v>
      </c>
    </row>
    <row r="4462" spans="1:5" ht="15" customHeight="1" outlineLevel="2" x14ac:dyDescent="0.25">
      <c r="A4462" s="3" t="str">
        <f>HYPERLINK("http://mystore1.ru/price_items/search?utf8=%E2%9C%93&amp;oem=5155BGNS","5155BGNS")</f>
        <v>5155BGNS</v>
      </c>
      <c r="B4462" s="1" t="s">
        <v>8529</v>
      </c>
      <c r="C4462" s="9" t="s">
        <v>631</v>
      </c>
      <c r="D4462" s="14" t="s">
        <v>8530</v>
      </c>
      <c r="E4462" s="9" t="s">
        <v>30</v>
      </c>
    </row>
    <row r="4463" spans="1:5" ht="15" customHeight="1" outlineLevel="2" x14ac:dyDescent="0.25">
      <c r="A4463" s="3" t="str">
        <f>HYPERLINK("http://mystore1.ru/price_items/search?utf8=%E2%9C%93&amp;oem=5155LGNH5FD","5155LGNH5FD")</f>
        <v>5155LGNH5FD</v>
      </c>
      <c r="B4463" s="1" t="s">
        <v>8531</v>
      </c>
      <c r="C4463" s="9" t="s">
        <v>631</v>
      </c>
      <c r="D4463" s="14" t="s">
        <v>8532</v>
      </c>
      <c r="E4463" s="9" t="s">
        <v>11</v>
      </c>
    </row>
    <row r="4464" spans="1:5" ht="15" customHeight="1" outlineLevel="2" x14ac:dyDescent="0.25">
      <c r="A4464" s="3" t="str">
        <f>HYPERLINK("http://mystore1.ru/price_items/search?utf8=%E2%9C%93&amp;oem=5155LGNH5RDW","5155LGNH5RDW")</f>
        <v>5155LGNH5RDW</v>
      </c>
      <c r="B4464" s="1" t="s">
        <v>8533</v>
      </c>
      <c r="C4464" s="9" t="s">
        <v>631</v>
      </c>
      <c r="D4464" s="14" t="s">
        <v>8534</v>
      </c>
      <c r="E4464" s="9" t="s">
        <v>11</v>
      </c>
    </row>
    <row r="4465" spans="1:5" ht="15" customHeight="1" outlineLevel="2" x14ac:dyDescent="0.25">
      <c r="A4465" s="3" t="str">
        <f>HYPERLINK("http://mystore1.ru/price_items/search?utf8=%E2%9C%93&amp;oem=5155LGNH5RV","5155LGNH5RV")</f>
        <v>5155LGNH5RV</v>
      </c>
      <c r="B4465" s="1" t="s">
        <v>8535</v>
      </c>
      <c r="C4465" s="9" t="s">
        <v>631</v>
      </c>
      <c r="D4465" s="14" t="s">
        <v>8536</v>
      </c>
      <c r="E4465" s="9" t="s">
        <v>11</v>
      </c>
    </row>
    <row r="4466" spans="1:5" ht="15" customHeight="1" outlineLevel="2" x14ac:dyDescent="0.25">
      <c r="A4466" s="3" t="str">
        <f>HYPERLINK("http://mystore1.ru/price_items/search?utf8=%E2%9C%93&amp;oem=5155LGNS4RV","5155LGNS4RV")</f>
        <v>5155LGNS4RV</v>
      </c>
      <c r="B4466" s="1" t="s">
        <v>8537</v>
      </c>
      <c r="C4466" s="9" t="s">
        <v>631</v>
      </c>
      <c r="D4466" s="14" t="s">
        <v>8538</v>
      </c>
      <c r="E4466" s="9" t="s">
        <v>11</v>
      </c>
    </row>
    <row r="4467" spans="1:5" ht="15" customHeight="1" outlineLevel="2" x14ac:dyDescent="0.25">
      <c r="A4467" s="3" t="str">
        <f>HYPERLINK("http://mystore1.ru/price_items/search?utf8=%E2%9C%93&amp;oem=5155RGNH5FD","5155RGNH5FD")</f>
        <v>5155RGNH5FD</v>
      </c>
      <c r="B4467" s="1" t="s">
        <v>8539</v>
      </c>
      <c r="C4467" s="9" t="s">
        <v>631</v>
      </c>
      <c r="D4467" s="14" t="s">
        <v>8540</v>
      </c>
      <c r="E4467" s="9" t="s">
        <v>11</v>
      </c>
    </row>
    <row r="4468" spans="1:5" ht="15" customHeight="1" outlineLevel="2" x14ac:dyDescent="0.25">
      <c r="A4468" s="3" t="str">
        <f>HYPERLINK("http://mystore1.ru/price_items/search?utf8=%E2%9C%93&amp;oem=5155RGNH5RV","5155RGNH5RV")</f>
        <v>5155RGNH5RV</v>
      </c>
      <c r="B4468" s="1" t="s">
        <v>8541</v>
      </c>
      <c r="C4468" s="9" t="s">
        <v>631</v>
      </c>
      <c r="D4468" s="14" t="s">
        <v>8542</v>
      </c>
      <c r="E4468" s="9" t="s">
        <v>11</v>
      </c>
    </row>
    <row r="4469" spans="1:5" ht="15" customHeight="1" outlineLevel="2" x14ac:dyDescent="0.25">
      <c r="A4469" s="3" t="str">
        <f>HYPERLINK("http://mystore1.ru/price_items/search?utf8=%E2%9C%93&amp;oem=5155RGNS4RV","5155RGNS4RV")</f>
        <v>5155RGNS4RV</v>
      </c>
      <c r="B4469" s="1" t="s">
        <v>8543</v>
      </c>
      <c r="C4469" s="9" t="s">
        <v>631</v>
      </c>
      <c r="D4469" s="14" t="s">
        <v>8544</v>
      </c>
      <c r="E4469" s="9" t="s">
        <v>11</v>
      </c>
    </row>
    <row r="4470" spans="1:5" outlineLevel="1" x14ac:dyDescent="0.25">
      <c r="A4470" s="2"/>
      <c r="B4470" s="6" t="s">
        <v>8545</v>
      </c>
      <c r="C4470" s="8"/>
      <c r="D4470" s="8"/>
      <c r="E4470" s="8"/>
    </row>
    <row r="4471" spans="1:5" ht="15" customHeight="1" outlineLevel="2" x14ac:dyDescent="0.25">
      <c r="A4471" s="3" t="str">
        <f>HYPERLINK("http://mystore1.ru/price_items/search?utf8=%E2%9C%93&amp;oem=5122ABL","5122ABL")</f>
        <v>5122ABL</v>
      </c>
      <c r="B4471" s="1" t="s">
        <v>8546</v>
      </c>
      <c r="C4471" s="9" t="s">
        <v>4266</v>
      </c>
      <c r="D4471" s="14" t="s">
        <v>8547</v>
      </c>
      <c r="E4471" s="9" t="s">
        <v>8</v>
      </c>
    </row>
    <row r="4472" spans="1:5" outlineLevel="1" x14ac:dyDescent="0.25">
      <c r="A4472" s="2"/>
      <c r="B4472" s="6" t="s">
        <v>8548</v>
      </c>
      <c r="C4472" s="8"/>
      <c r="D4472" s="8"/>
      <c r="E4472" s="8"/>
    </row>
    <row r="4473" spans="1:5" ht="15" customHeight="1" outlineLevel="2" x14ac:dyDescent="0.25">
      <c r="A4473" s="3" t="str">
        <f>HYPERLINK("http://mystore1.ru/price_items/search?utf8=%E2%9C%93&amp;oem=5123ABL","5123ABL")</f>
        <v>5123ABL</v>
      </c>
      <c r="B4473" s="1" t="s">
        <v>8549</v>
      </c>
      <c r="C4473" s="9" t="s">
        <v>4266</v>
      </c>
      <c r="D4473" s="14" t="s">
        <v>8550</v>
      </c>
      <c r="E4473" s="9" t="s">
        <v>8</v>
      </c>
    </row>
    <row r="4474" spans="1:5" ht="15" customHeight="1" outlineLevel="2" x14ac:dyDescent="0.25">
      <c r="A4474" s="3" t="str">
        <f>HYPERLINK("http://mystore1.ru/price_items/search?utf8=%E2%9C%93&amp;oem=5123BBLS","5123BBLS")</f>
        <v>5123BBLS</v>
      </c>
      <c r="B4474" s="1" t="s">
        <v>8551</v>
      </c>
      <c r="C4474" s="9" t="s">
        <v>4266</v>
      </c>
      <c r="D4474" s="14" t="s">
        <v>8552</v>
      </c>
      <c r="E4474" s="9" t="s">
        <v>30</v>
      </c>
    </row>
    <row r="4475" spans="1:5" outlineLevel="1" x14ac:dyDescent="0.25">
      <c r="A4475" s="2"/>
      <c r="B4475" s="6" t="s">
        <v>8553</v>
      </c>
      <c r="C4475" s="8"/>
      <c r="D4475" s="8"/>
      <c r="E4475" s="8"/>
    </row>
    <row r="4476" spans="1:5" ht="15" customHeight="1" outlineLevel="2" x14ac:dyDescent="0.25">
      <c r="A4476" s="3" t="str">
        <f>HYPERLINK("http://mystore1.ru/price_items/search?utf8=%E2%9C%93&amp;oem=5129ABL","5129ABL")</f>
        <v>5129ABL</v>
      </c>
      <c r="B4476" s="1" t="s">
        <v>8554</v>
      </c>
      <c r="C4476" s="9" t="s">
        <v>6346</v>
      </c>
      <c r="D4476" s="14" t="s">
        <v>8555</v>
      </c>
      <c r="E4476" s="9" t="s">
        <v>8</v>
      </c>
    </row>
    <row r="4477" spans="1:5" ht="15" customHeight="1" outlineLevel="2" x14ac:dyDescent="0.25">
      <c r="A4477" s="3" t="str">
        <f>HYPERLINK("http://mystore1.ru/price_items/search?utf8=%E2%9C%93&amp;oem=5129ABLBL","5129ABLBL")</f>
        <v>5129ABLBL</v>
      </c>
      <c r="B4477" s="1" t="s">
        <v>8556</v>
      </c>
      <c r="C4477" s="9" t="s">
        <v>6346</v>
      </c>
      <c r="D4477" s="14" t="s">
        <v>8557</v>
      </c>
      <c r="E4477" s="9" t="s">
        <v>8</v>
      </c>
    </row>
    <row r="4478" spans="1:5" ht="15" customHeight="1" outlineLevel="2" x14ac:dyDescent="0.25">
      <c r="A4478" s="3" t="str">
        <f>HYPERLINK("http://mystore1.ru/price_items/search?utf8=%E2%9C%93&amp;oem=5129ASMS","5129ASMS")</f>
        <v>5129ASMS</v>
      </c>
      <c r="B4478" s="1" t="s">
        <v>8558</v>
      </c>
      <c r="C4478" s="9" t="s">
        <v>25</v>
      </c>
      <c r="D4478" s="14" t="s">
        <v>8559</v>
      </c>
      <c r="E4478" s="9" t="s">
        <v>27</v>
      </c>
    </row>
    <row r="4479" spans="1:5" ht="15" customHeight="1" outlineLevel="2" x14ac:dyDescent="0.25">
      <c r="A4479" s="3" t="str">
        <f>HYPERLINK("http://mystore1.ru/price_items/search?utf8=%E2%9C%93&amp;oem=5129BBLS","5129BBLS")</f>
        <v>5129BBLS</v>
      </c>
      <c r="B4479" s="1" t="s">
        <v>8560</v>
      </c>
      <c r="C4479" s="9" t="s">
        <v>6346</v>
      </c>
      <c r="D4479" s="14" t="s">
        <v>8561</v>
      </c>
      <c r="E4479" s="9" t="s">
        <v>30</v>
      </c>
    </row>
    <row r="4480" spans="1:5" ht="15" customHeight="1" outlineLevel="2" x14ac:dyDescent="0.25">
      <c r="A4480" s="3" t="str">
        <f>HYPERLINK("http://mystore1.ru/price_items/search?utf8=%E2%9C%93&amp;oem=5129LBLS4FD","5129LBLS4FD")</f>
        <v>5129LBLS4FD</v>
      </c>
      <c r="B4480" s="1" t="s">
        <v>8562</v>
      </c>
      <c r="C4480" s="9" t="s">
        <v>6346</v>
      </c>
      <c r="D4480" s="14" t="s">
        <v>8563</v>
      </c>
      <c r="E4480" s="9" t="s">
        <v>11</v>
      </c>
    </row>
    <row r="4481" spans="1:5" ht="15" customHeight="1" outlineLevel="2" x14ac:dyDescent="0.25">
      <c r="A4481" s="3" t="str">
        <f>HYPERLINK("http://mystore1.ru/price_items/search?utf8=%E2%9C%93&amp;oem=5129LBLS4RD","5129LBLS4RD")</f>
        <v>5129LBLS4RD</v>
      </c>
      <c r="B4481" s="1" t="s">
        <v>8564</v>
      </c>
      <c r="C4481" s="9" t="s">
        <v>6346</v>
      </c>
      <c r="D4481" s="14" t="s">
        <v>8565</v>
      </c>
      <c r="E4481" s="9" t="s">
        <v>11</v>
      </c>
    </row>
    <row r="4482" spans="1:5" ht="15" customHeight="1" outlineLevel="2" x14ac:dyDescent="0.25">
      <c r="A4482" s="3" t="str">
        <f>HYPERLINK("http://mystore1.ru/price_items/search?utf8=%E2%9C%93&amp;oem=5129RBLS4FD","5129RBLS4FD")</f>
        <v>5129RBLS4FD</v>
      </c>
      <c r="B4482" s="1" t="s">
        <v>8566</v>
      </c>
      <c r="C4482" s="9" t="s">
        <v>6346</v>
      </c>
      <c r="D4482" s="14" t="s">
        <v>8567</v>
      </c>
      <c r="E4482" s="9" t="s">
        <v>11</v>
      </c>
    </row>
    <row r="4483" spans="1:5" outlineLevel="1" x14ac:dyDescent="0.25">
      <c r="A4483" s="2"/>
      <c r="B4483" s="6" t="s">
        <v>8568</v>
      </c>
      <c r="C4483" s="8"/>
      <c r="D4483" s="8"/>
      <c r="E4483" s="8"/>
    </row>
    <row r="4484" spans="1:5" ht="15" customHeight="1" outlineLevel="2" x14ac:dyDescent="0.25">
      <c r="A4484" s="3" t="str">
        <f>HYPERLINK("http://mystore1.ru/price_items/search?utf8=%E2%9C%93&amp;oem=5133ABL","5133ABL")</f>
        <v>5133ABL</v>
      </c>
      <c r="B4484" s="1" t="s">
        <v>8569</v>
      </c>
      <c r="C4484" s="9" t="s">
        <v>5871</v>
      </c>
      <c r="D4484" s="14" t="s">
        <v>8570</v>
      </c>
      <c r="E4484" s="9" t="s">
        <v>8</v>
      </c>
    </row>
    <row r="4485" spans="1:5" ht="15" customHeight="1" outlineLevel="2" x14ac:dyDescent="0.25">
      <c r="A4485" s="3" t="str">
        <f>HYPERLINK("http://mystore1.ru/price_items/search?utf8=%E2%9C%93&amp;oem=5133ABLBL","5133ABLBL")</f>
        <v>5133ABLBL</v>
      </c>
      <c r="B4485" s="1" t="s">
        <v>8571</v>
      </c>
      <c r="C4485" s="9" t="s">
        <v>5871</v>
      </c>
      <c r="D4485" s="14" t="s">
        <v>8572</v>
      </c>
      <c r="E4485" s="9" t="s">
        <v>8</v>
      </c>
    </row>
    <row r="4486" spans="1:5" ht="15" customHeight="1" outlineLevel="2" x14ac:dyDescent="0.25">
      <c r="A4486" s="3" t="str">
        <f>HYPERLINK("http://mystore1.ru/price_items/search?utf8=%E2%9C%93&amp;oem=5133ASMH","5133ASMH")</f>
        <v>5133ASMH</v>
      </c>
      <c r="B4486" s="1" t="s">
        <v>8573</v>
      </c>
      <c r="C4486" s="9" t="s">
        <v>25</v>
      </c>
      <c r="D4486" s="14" t="s">
        <v>8574</v>
      </c>
      <c r="E4486" s="9" t="s">
        <v>27</v>
      </c>
    </row>
    <row r="4487" spans="1:5" ht="15" customHeight="1" outlineLevel="2" x14ac:dyDescent="0.25">
      <c r="A4487" s="3" t="str">
        <f>HYPERLINK("http://mystore1.ru/price_items/search?utf8=%E2%9C%93&amp;oem=5133ASMHC","5133ASMHC")</f>
        <v>5133ASMHC</v>
      </c>
      <c r="B4487" s="1" t="s">
        <v>8575</v>
      </c>
      <c r="C4487" s="9" t="s">
        <v>25</v>
      </c>
      <c r="D4487" s="14" t="s">
        <v>8576</v>
      </c>
      <c r="E4487" s="9" t="s">
        <v>27</v>
      </c>
    </row>
    <row r="4488" spans="1:5" ht="15" customHeight="1" outlineLevel="2" x14ac:dyDescent="0.25">
      <c r="A4488" s="3" t="str">
        <f>HYPERLINK("http://mystore1.ru/price_items/search?utf8=%E2%9C%93&amp;oem=5133LBLH5FD","5133LBLH5FD")</f>
        <v>5133LBLH5FD</v>
      </c>
      <c r="B4488" s="1" t="s">
        <v>8577</v>
      </c>
      <c r="C4488" s="9" t="s">
        <v>5871</v>
      </c>
      <c r="D4488" s="14" t="s">
        <v>8578</v>
      </c>
      <c r="E4488" s="9" t="s">
        <v>11</v>
      </c>
    </row>
    <row r="4489" spans="1:5" ht="15" customHeight="1" outlineLevel="2" x14ac:dyDescent="0.25">
      <c r="A4489" s="3" t="str">
        <f>HYPERLINK("http://mystore1.ru/price_items/search?utf8=%E2%9C%93&amp;oem=5133LBLH5RD","5133LBLH5RD")</f>
        <v>5133LBLH5RD</v>
      </c>
      <c r="B4489" s="1" t="s">
        <v>8579</v>
      </c>
      <c r="C4489" s="9" t="s">
        <v>5871</v>
      </c>
      <c r="D4489" s="14" t="s">
        <v>8580</v>
      </c>
      <c r="E4489" s="9" t="s">
        <v>11</v>
      </c>
    </row>
    <row r="4490" spans="1:5" ht="15" customHeight="1" outlineLevel="2" x14ac:dyDescent="0.25">
      <c r="A4490" s="3" t="str">
        <f>HYPERLINK("http://mystore1.ru/price_items/search?utf8=%E2%9C%93&amp;oem=5133RBLH5FD","5133RBLH5FD")</f>
        <v>5133RBLH5FD</v>
      </c>
      <c r="B4490" s="1" t="s">
        <v>8581</v>
      </c>
      <c r="C4490" s="9" t="s">
        <v>5871</v>
      </c>
      <c r="D4490" s="14" t="s">
        <v>8582</v>
      </c>
      <c r="E4490" s="9" t="s">
        <v>11</v>
      </c>
    </row>
    <row r="4491" spans="1:5" ht="15" customHeight="1" outlineLevel="2" x14ac:dyDescent="0.25">
      <c r="A4491" s="3" t="str">
        <f>HYPERLINK("http://mystore1.ru/price_items/search?utf8=%E2%9C%93&amp;oem=5133RBLH5RD","5133RBLH5RD")</f>
        <v>5133RBLH5RD</v>
      </c>
      <c r="B4491" s="1" t="s">
        <v>8583</v>
      </c>
      <c r="C4491" s="9" t="s">
        <v>5871</v>
      </c>
      <c r="D4491" s="14" t="s">
        <v>8584</v>
      </c>
      <c r="E4491" s="9" t="s">
        <v>11</v>
      </c>
    </row>
    <row r="4492" spans="1:5" outlineLevel="1" x14ac:dyDescent="0.25">
      <c r="A4492" s="2"/>
      <c r="B4492" s="6" t="s">
        <v>8585</v>
      </c>
      <c r="C4492" s="8"/>
      <c r="D4492" s="8"/>
      <c r="E4492" s="8"/>
    </row>
    <row r="4493" spans="1:5" ht="15" customHeight="1" outlineLevel="2" x14ac:dyDescent="0.25">
      <c r="A4493" s="3" t="str">
        <f>HYPERLINK("http://mystore1.ru/price_items/search?utf8=%E2%9C%93&amp;oem=5141ABL","5141ABL")</f>
        <v>5141ABL</v>
      </c>
      <c r="B4493" s="1" t="s">
        <v>8586</v>
      </c>
      <c r="C4493" s="9" t="s">
        <v>6358</v>
      </c>
      <c r="D4493" s="14" t="s">
        <v>8587</v>
      </c>
      <c r="E4493" s="9" t="s">
        <v>8</v>
      </c>
    </row>
    <row r="4494" spans="1:5" ht="15" customHeight="1" outlineLevel="2" x14ac:dyDescent="0.25">
      <c r="A4494" s="3" t="str">
        <f>HYPERLINK("http://mystore1.ru/price_items/search?utf8=%E2%9C%93&amp;oem=5141ABLBL","5141ABLBL")</f>
        <v>5141ABLBL</v>
      </c>
      <c r="B4494" s="1" t="s">
        <v>8588</v>
      </c>
      <c r="C4494" s="9" t="s">
        <v>6358</v>
      </c>
      <c r="D4494" s="14" t="s">
        <v>8589</v>
      </c>
      <c r="E4494" s="9" t="s">
        <v>8</v>
      </c>
    </row>
    <row r="4495" spans="1:5" ht="15" customHeight="1" outlineLevel="2" x14ac:dyDescent="0.25">
      <c r="A4495" s="3" t="str">
        <f>HYPERLINK("http://mystore1.ru/price_items/search?utf8=%E2%9C%93&amp;oem=5141AGN","5141AGN")</f>
        <v>5141AGN</v>
      </c>
      <c r="B4495" s="1" t="s">
        <v>8590</v>
      </c>
      <c r="C4495" s="9" t="s">
        <v>6358</v>
      </c>
      <c r="D4495" s="14" t="s">
        <v>8591</v>
      </c>
      <c r="E4495" s="9" t="s">
        <v>8</v>
      </c>
    </row>
    <row r="4496" spans="1:5" ht="15" customHeight="1" outlineLevel="2" x14ac:dyDescent="0.25">
      <c r="A4496" s="3" t="str">
        <f>HYPERLINK("http://mystore1.ru/price_items/search?utf8=%E2%9C%93&amp;oem=5141ASMS","5141ASMS")</f>
        <v>5141ASMS</v>
      </c>
      <c r="B4496" s="1" t="s">
        <v>8592</v>
      </c>
      <c r="C4496" s="9" t="s">
        <v>25</v>
      </c>
      <c r="D4496" s="14" t="s">
        <v>8593</v>
      </c>
      <c r="E4496" s="9" t="s">
        <v>27</v>
      </c>
    </row>
    <row r="4497" spans="1:5" ht="15" customHeight="1" outlineLevel="2" x14ac:dyDescent="0.25">
      <c r="A4497" s="3" t="str">
        <f>HYPERLINK("http://mystore1.ru/price_items/search?utf8=%E2%9C%93&amp;oem=5141ASMSC","5141ASMSC")</f>
        <v>5141ASMSC</v>
      </c>
      <c r="B4497" s="1" t="s">
        <v>8594</v>
      </c>
      <c r="C4497" s="9" t="s">
        <v>25</v>
      </c>
      <c r="D4497" s="14" t="s">
        <v>8593</v>
      </c>
      <c r="E4497" s="9" t="s">
        <v>27</v>
      </c>
    </row>
    <row r="4498" spans="1:5" ht="15" customHeight="1" outlineLevel="2" x14ac:dyDescent="0.25">
      <c r="A4498" s="3" t="str">
        <f>HYPERLINK("http://mystore1.ru/price_items/search?utf8=%E2%9C%93&amp;oem=5141BBLS","5141BBLS")</f>
        <v>5141BBLS</v>
      </c>
      <c r="B4498" s="1" t="s">
        <v>8595</v>
      </c>
      <c r="C4498" s="9" t="s">
        <v>6358</v>
      </c>
      <c r="D4498" s="14" t="s">
        <v>8596</v>
      </c>
      <c r="E4498" s="9" t="s">
        <v>30</v>
      </c>
    </row>
    <row r="4499" spans="1:5" ht="15" customHeight="1" outlineLevel="2" x14ac:dyDescent="0.25">
      <c r="A4499" s="3" t="str">
        <f>HYPERLINK("http://mystore1.ru/price_items/search?utf8=%E2%9C%93&amp;oem=5141BGNS","5141BGNS")</f>
        <v>5141BGNS</v>
      </c>
      <c r="B4499" s="1" t="s">
        <v>8597</v>
      </c>
      <c r="C4499" s="9" t="s">
        <v>6358</v>
      </c>
      <c r="D4499" s="14" t="s">
        <v>8598</v>
      </c>
      <c r="E4499" s="9" t="s">
        <v>30</v>
      </c>
    </row>
    <row r="4500" spans="1:5" ht="15" customHeight="1" outlineLevel="2" x14ac:dyDescent="0.25">
      <c r="A4500" s="3" t="str">
        <f>HYPERLINK("http://mystore1.ru/price_items/search?utf8=%E2%9C%93&amp;oem=5141LBLS4FD","5141LBLS4FD")</f>
        <v>5141LBLS4FD</v>
      </c>
      <c r="B4500" s="1" t="s">
        <v>8599</v>
      </c>
      <c r="C4500" s="9" t="s">
        <v>6358</v>
      </c>
      <c r="D4500" s="14" t="s">
        <v>8600</v>
      </c>
      <c r="E4500" s="9" t="s">
        <v>11</v>
      </c>
    </row>
    <row r="4501" spans="1:5" ht="15" customHeight="1" outlineLevel="2" x14ac:dyDescent="0.25">
      <c r="A4501" s="3" t="str">
        <f>HYPERLINK("http://mystore1.ru/price_items/search?utf8=%E2%9C%93&amp;oem=5141LBLS4RD","5141LBLS4RD")</f>
        <v>5141LBLS4RD</v>
      </c>
      <c r="B4501" s="1" t="s">
        <v>8601</v>
      </c>
      <c r="C4501" s="9" t="s">
        <v>6358</v>
      </c>
      <c r="D4501" s="14" t="s">
        <v>8602</v>
      </c>
      <c r="E4501" s="9" t="s">
        <v>11</v>
      </c>
    </row>
    <row r="4502" spans="1:5" ht="15" customHeight="1" outlineLevel="2" x14ac:dyDescent="0.25">
      <c r="A4502" s="3" t="str">
        <f>HYPERLINK("http://mystore1.ru/price_items/search?utf8=%E2%9C%93&amp;oem=5141LGNS4FD","5141LGNS4FD")</f>
        <v>5141LGNS4FD</v>
      </c>
      <c r="B4502" s="1" t="s">
        <v>8603</v>
      </c>
      <c r="C4502" s="9" t="s">
        <v>6358</v>
      </c>
      <c r="D4502" s="14" t="s">
        <v>8604</v>
      </c>
      <c r="E4502" s="9" t="s">
        <v>11</v>
      </c>
    </row>
    <row r="4503" spans="1:5" ht="15" customHeight="1" outlineLevel="2" x14ac:dyDescent="0.25">
      <c r="A4503" s="3" t="str">
        <f>HYPERLINK("http://mystore1.ru/price_items/search?utf8=%E2%9C%93&amp;oem=5141LGNS4RD","5141LGNS4RD")</f>
        <v>5141LGNS4RD</v>
      </c>
      <c r="B4503" s="1" t="s">
        <v>8605</v>
      </c>
      <c r="C4503" s="9" t="s">
        <v>6358</v>
      </c>
      <c r="D4503" s="14" t="s">
        <v>8606</v>
      </c>
      <c r="E4503" s="9" t="s">
        <v>11</v>
      </c>
    </row>
    <row r="4504" spans="1:5" ht="15" customHeight="1" outlineLevel="2" x14ac:dyDescent="0.25">
      <c r="A4504" s="3" t="str">
        <f>HYPERLINK("http://mystore1.ru/price_items/search?utf8=%E2%9C%93&amp;oem=5141RBLS4FD","5141RBLS4FD")</f>
        <v>5141RBLS4FD</v>
      </c>
      <c r="B4504" s="1" t="s">
        <v>8607</v>
      </c>
      <c r="C4504" s="9" t="s">
        <v>6358</v>
      </c>
      <c r="D4504" s="14" t="s">
        <v>8608</v>
      </c>
      <c r="E4504" s="9" t="s">
        <v>11</v>
      </c>
    </row>
    <row r="4505" spans="1:5" ht="15" customHeight="1" outlineLevel="2" x14ac:dyDescent="0.25">
      <c r="A4505" s="3" t="str">
        <f>HYPERLINK("http://mystore1.ru/price_items/search?utf8=%E2%9C%93&amp;oem=5141RBLS4RD","5141RBLS4RD")</f>
        <v>5141RBLS4RD</v>
      </c>
      <c r="B4505" s="1" t="s">
        <v>8609</v>
      </c>
      <c r="C4505" s="9" t="s">
        <v>6358</v>
      </c>
      <c r="D4505" s="14" t="s">
        <v>8610</v>
      </c>
      <c r="E4505" s="9" t="s">
        <v>11</v>
      </c>
    </row>
    <row r="4506" spans="1:5" ht="15" customHeight="1" outlineLevel="2" x14ac:dyDescent="0.25">
      <c r="A4506" s="3" t="str">
        <f>HYPERLINK("http://mystore1.ru/price_items/search?utf8=%E2%9C%93&amp;oem=5141RGNS4FD","5141RGNS4FD")</f>
        <v>5141RGNS4FD</v>
      </c>
      <c r="B4506" s="1" t="s">
        <v>8611</v>
      </c>
      <c r="C4506" s="9" t="s">
        <v>6358</v>
      </c>
      <c r="D4506" s="14" t="s">
        <v>8612</v>
      </c>
      <c r="E4506" s="9" t="s">
        <v>11</v>
      </c>
    </row>
    <row r="4507" spans="1:5" ht="15" customHeight="1" outlineLevel="2" x14ac:dyDescent="0.25">
      <c r="A4507" s="3" t="str">
        <f>HYPERLINK("http://mystore1.ru/price_items/search?utf8=%E2%9C%93&amp;oem=5141RGNS4RD","5141RGNS4RD")</f>
        <v>5141RGNS4RD</v>
      </c>
      <c r="B4507" s="1" t="s">
        <v>8613</v>
      </c>
      <c r="C4507" s="9" t="s">
        <v>6358</v>
      </c>
      <c r="D4507" s="14" t="s">
        <v>8614</v>
      </c>
      <c r="E4507" s="9" t="s">
        <v>11</v>
      </c>
    </row>
    <row r="4508" spans="1:5" outlineLevel="1" x14ac:dyDescent="0.25">
      <c r="A4508" s="2"/>
      <c r="B4508" s="6" t="s">
        <v>8615</v>
      </c>
      <c r="C4508" s="8"/>
      <c r="D4508" s="8"/>
      <c r="E4508" s="8"/>
    </row>
    <row r="4509" spans="1:5" ht="15" customHeight="1" outlineLevel="2" x14ac:dyDescent="0.25">
      <c r="A4509" s="3" t="str">
        <f>HYPERLINK("http://mystore1.ru/price_items/search?utf8=%E2%9C%93&amp;oem=5142ABL","5142ABL")</f>
        <v>5142ABL</v>
      </c>
      <c r="B4509" s="1" t="s">
        <v>8616</v>
      </c>
      <c r="C4509" s="9" t="s">
        <v>6358</v>
      </c>
      <c r="D4509" s="14" t="s">
        <v>8617</v>
      </c>
      <c r="E4509" s="9" t="s">
        <v>8</v>
      </c>
    </row>
    <row r="4510" spans="1:5" ht="15" customHeight="1" outlineLevel="2" x14ac:dyDescent="0.25">
      <c r="A4510" s="3" t="str">
        <f>HYPERLINK("http://mystore1.ru/price_items/search?utf8=%E2%9C%93&amp;oem=5142ABLBL","5142ABLBL")</f>
        <v>5142ABLBL</v>
      </c>
      <c r="B4510" s="1" t="s">
        <v>8618</v>
      </c>
      <c r="C4510" s="9" t="s">
        <v>6358</v>
      </c>
      <c r="D4510" s="14" t="s">
        <v>8619</v>
      </c>
      <c r="E4510" s="9" t="s">
        <v>8</v>
      </c>
    </row>
    <row r="4511" spans="1:5" ht="15" customHeight="1" outlineLevel="2" x14ac:dyDescent="0.25">
      <c r="A4511" s="3" t="str">
        <f>HYPERLINK("http://mystore1.ru/price_items/search?utf8=%E2%9C%93&amp;oem=5142AGN","5142AGN")</f>
        <v>5142AGN</v>
      </c>
      <c r="B4511" s="1" t="s">
        <v>8620</v>
      </c>
      <c r="C4511" s="9" t="s">
        <v>6358</v>
      </c>
      <c r="D4511" s="14" t="s">
        <v>8621</v>
      </c>
      <c r="E4511" s="9" t="s">
        <v>8</v>
      </c>
    </row>
    <row r="4512" spans="1:5" ht="15" customHeight="1" outlineLevel="2" x14ac:dyDescent="0.25">
      <c r="A4512" s="3" t="str">
        <f>HYPERLINK("http://mystore1.ru/price_items/search?utf8=%E2%9C%93&amp;oem=5142ASMH","5142ASMH")</f>
        <v>5142ASMH</v>
      </c>
      <c r="B4512" s="1" t="s">
        <v>8622</v>
      </c>
      <c r="C4512" s="9" t="s">
        <v>25</v>
      </c>
      <c r="D4512" s="14" t="s">
        <v>8623</v>
      </c>
      <c r="E4512" s="9" t="s">
        <v>27</v>
      </c>
    </row>
    <row r="4513" spans="1:5" ht="15" customHeight="1" outlineLevel="2" x14ac:dyDescent="0.25">
      <c r="A4513" s="3" t="str">
        <f>HYPERLINK("http://mystore1.ru/price_items/search?utf8=%E2%9C%93&amp;oem=5142BBLH","5142BBLH")</f>
        <v>5142BBLH</v>
      </c>
      <c r="B4513" s="1" t="s">
        <v>8624</v>
      </c>
      <c r="C4513" s="9" t="s">
        <v>6358</v>
      </c>
      <c r="D4513" s="14" t="s">
        <v>8625</v>
      </c>
      <c r="E4513" s="9" t="s">
        <v>30</v>
      </c>
    </row>
    <row r="4514" spans="1:5" ht="15" customHeight="1" outlineLevel="2" x14ac:dyDescent="0.25">
      <c r="A4514" s="3" t="str">
        <f>HYPERLINK("http://mystore1.ru/price_items/search?utf8=%E2%9C%93&amp;oem=5142BGNH","5142BGNH")</f>
        <v>5142BGNH</v>
      </c>
      <c r="B4514" s="1" t="s">
        <v>8626</v>
      </c>
      <c r="C4514" s="9" t="s">
        <v>6358</v>
      </c>
      <c r="D4514" s="14" t="s">
        <v>8627</v>
      </c>
      <c r="E4514" s="9" t="s">
        <v>30</v>
      </c>
    </row>
    <row r="4515" spans="1:5" ht="15" customHeight="1" outlineLevel="2" x14ac:dyDescent="0.25">
      <c r="A4515" s="3" t="str">
        <f>HYPERLINK("http://mystore1.ru/price_items/search?utf8=%E2%9C%93&amp;oem=5142LBLH5FD","5142LBLH5FD")</f>
        <v>5142LBLH5FD</v>
      </c>
      <c r="B4515" s="1" t="s">
        <v>8628</v>
      </c>
      <c r="C4515" s="9" t="s">
        <v>6358</v>
      </c>
      <c r="D4515" s="14" t="s">
        <v>8629</v>
      </c>
      <c r="E4515" s="9" t="s">
        <v>11</v>
      </c>
    </row>
    <row r="4516" spans="1:5" ht="15" customHeight="1" outlineLevel="2" x14ac:dyDescent="0.25">
      <c r="A4516" s="3" t="str">
        <f>HYPERLINK("http://mystore1.ru/price_items/search?utf8=%E2%9C%93&amp;oem=5142LBLH5RD","5142LBLH5RD")</f>
        <v>5142LBLH5RD</v>
      </c>
      <c r="B4516" s="1" t="s">
        <v>8630</v>
      </c>
      <c r="C4516" s="9" t="s">
        <v>6358</v>
      </c>
      <c r="D4516" s="14" t="s">
        <v>8631</v>
      </c>
      <c r="E4516" s="9" t="s">
        <v>11</v>
      </c>
    </row>
    <row r="4517" spans="1:5" ht="15" customHeight="1" outlineLevel="2" x14ac:dyDescent="0.25">
      <c r="A4517" s="3" t="str">
        <f>HYPERLINK("http://mystore1.ru/price_items/search?utf8=%E2%9C%93&amp;oem=5142LGNH5FD","5142LGNH5FD")</f>
        <v>5142LGNH5FD</v>
      </c>
      <c r="B4517" s="1" t="s">
        <v>8632</v>
      </c>
      <c r="C4517" s="9" t="s">
        <v>6358</v>
      </c>
      <c r="D4517" s="14" t="s">
        <v>8633</v>
      </c>
      <c r="E4517" s="9" t="s">
        <v>11</v>
      </c>
    </row>
    <row r="4518" spans="1:5" ht="15" customHeight="1" outlineLevel="2" x14ac:dyDescent="0.25">
      <c r="A4518" s="3" t="str">
        <f>HYPERLINK("http://mystore1.ru/price_items/search?utf8=%E2%9C%93&amp;oem=5142LGNH5RD","5142LGNH5RD")</f>
        <v>5142LGNH5RD</v>
      </c>
      <c r="B4518" s="1" t="s">
        <v>8634</v>
      </c>
      <c r="C4518" s="9" t="s">
        <v>6358</v>
      </c>
      <c r="D4518" s="14" t="s">
        <v>8635</v>
      </c>
      <c r="E4518" s="9" t="s">
        <v>11</v>
      </c>
    </row>
    <row r="4519" spans="1:5" ht="15" customHeight="1" outlineLevel="2" x14ac:dyDescent="0.25">
      <c r="A4519" s="3" t="str">
        <f>HYPERLINK("http://mystore1.ru/price_items/search?utf8=%E2%9C%93&amp;oem=5142RBLH5FD","5142RBLH5FD")</f>
        <v>5142RBLH5FD</v>
      </c>
      <c r="B4519" s="1" t="s">
        <v>8636</v>
      </c>
      <c r="C4519" s="9" t="s">
        <v>6358</v>
      </c>
      <c r="D4519" s="14" t="s">
        <v>8637</v>
      </c>
      <c r="E4519" s="9" t="s">
        <v>11</v>
      </c>
    </row>
    <row r="4520" spans="1:5" ht="15" customHeight="1" outlineLevel="2" x14ac:dyDescent="0.25">
      <c r="A4520" s="3" t="str">
        <f>HYPERLINK("http://mystore1.ru/price_items/search?utf8=%E2%9C%93&amp;oem=5142RBLH5RD","5142RBLH5RD")</f>
        <v>5142RBLH5RD</v>
      </c>
      <c r="B4520" s="1" t="s">
        <v>8638</v>
      </c>
      <c r="C4520" s="9" t="s">
        <v>6358</v>
      </c>
      <c r="D4520" s="14" t="s">
        <v>8639</v>
      </c>
      <c r="E4520" s="9" t="s">
        <v>11</v>
      </c>
    </row>
    <row r="4521" spans="1:5" ht="15" customHeight="1" outlineLevel="2" x14ac:dyDescent="0.25">
      <c r="A4521" s="3" t="str">
        <f>HYPERLINK("http://mystore1.ru/price_items/search?utf8=%E2%9C%93&amp;oem=5142RGNH5FD","5142RGNH5FD")</f>
        <v>5142RGNH5FD</v>
      </c>
      <c r="B4521" s="1" t="s">
        <v>8640</v>
      </c>
      <c r="C4521" s="9" t="s">
        <v>6358</v>
      </c>
      <c r="D4521" s="14" t="s">
        <v>8641</v>
      </c>
      <c r="E4521" s="9" t="s">
        <v>11</v>
      </c>
    </row>
    <row r="4522" spans="1:5" ht="15" customHeight="1" outlineLevel="2" x14ac:dyDescent="0.25">
      <c r="A4522" s="3" t="str">
        <f>HYPERLINK("http://mystore1.ru/price_items/search?utf8=%E2%9C%93&amp;oem=5142RGNH5RD","5142RGNH5RD")</f>
        <v>5142RGNH5RD</v>
      </c>
      <c r="B4522" s="1" t="s">
        <v>8642</v>
      </c>
      <c r="C4522" s="9" t="s">
        <v>6358</v>
      </c>
      <c r="D4522" s="14" t="s">
        <v>8643</v>
      </c>
      <c r="E4522" s="9" t="s">
        <v>11</v>
      </c>
    </row>
    <row r="4523" spans="1:5" outlineLevel="1" x14ac:dyDescent="0.25">
      <c r="A4523" s="2"/>
      <c r="B4523" s="6" t="s">
        <v>8644</v>
      </c>
      <c r="C4523" s="8"/>
      <c r="D4523" s="8"/>
      <c r="E4523" s="8"/>
    </row>
    <row r="4524" spans="1:5" ht="15" customHeight="1" outlineLevel="2" x14ac:dyDescent="0.25">
      <c r="A4524" s="3" t="str">
        <f>HYPERLINK("http://mystore1.ru/price_items/search?utf8=%E2%9C%93&amp;oem=2066AGN","2066AGN")</f>
        <v>2066AGN</v>
      </c>
      <c r="B4524" s="1" t="s">
        <v>8645</v>
      </c>
      <c r="C4524" s="9" t="s">
        <v>3106</v>
      </c>
      <c r="D4524" s="14" t="s">
        <v>8646</v>
      </c>
      <c r="E4524" s="9" t="s">
        <v>8</v>
      </c>
    </row>
    <row r="4525" spans="1:5" outlineLevel="1" x14ac:dyDescent="0.25">
      <c r="A4525" s="2"/>
      <c r="B4525" s="6" t="s">
        <v>8647</v>
      </c>
      <c r="C4525" s="8"/>
      <c r="D4525" s="8"/>
      <c r="E4525" s="8"/>
    </row>
    <row r="4526" spans="1:5" ht="15" customHeight="1" outlineLevel="2" x14ac:dyDescent="0.25">
      <c r="A4526" s="3" t="str">
        <f>HYPERLINK("http://mystore1.ru/price_items/search?utf8=%E2%9C%93&amp;oem=5153AGN","5153AGN")</f>
        <v>5153AGN</v>
      </c>
      <c r="B4526" s="1" t="s">
        <v>8648</v>
      </c>
      <c r="C4526" s="9" t="s">
        <v>3106</v>
      </c>
      <c r="D4526" s="14" t="s">
        <v>8649</v>
      </c>
      <c r="E4526" s="9" t="s">
        <v>8</v>
      </c>
    </row>
    <row r="4527" spans="1:5" ht="15" customHeight="1" outlineLevel="2" x14ac:dyDescent="0.25">
      <c r="A4527" s="3" t="str">
        <f>HYPERLINK("http://mystore1.ru/price_items/search?utf8=%E2%9C%93&amp;oem=5153AGNBL","5153AGNBL")</f>
        <v>5153AGNBL</v>
      </c>
      <c r="B4527" s="1" t="s">
        <v>8650</v>
      </c>
      <c r="C4527" s="9" t="s">
        <v>3106</v>
      </c>
      <c r="D4527" s="14" t="s">
        <v>8651</v>
      </c>
      <c r="E4527" s="9" t="s">
        <v>8</v>
      </c>
    </row>
    <row r="4528" spans="1:5" ht="15" customHeight="1" outlineLevel="2" x14ac:dyDescent="0.25">
      <c r="A4528" s="3" t="str">
        <f>HYPERLINK("http://mystore1.ru/price_items/search?utf8=%E2%9C%93&amp;oem=5153AGNGN","5153AGNGN")</f>
        <v>5153AGNGN</v>
      </c>
      <c r="B4528" s="1" t="s">
        <v>8652</v>
      </c>
      <c r="C4528" s="9" t="s">
        <v>3106</v>
      </c>
      <c r="D4528" s="14" t="s">
        <v>8653</v>
      </c>
      <c r="E4528" s="9" t="s">
        <v>8</v>
      </c>
    </row>
    <row r="4529" spans="1:5" ht="15" customHeight="1" outlineLevel="2" x14ac:dyDescent="0.25">
      <c r="A4529" s="3" t="str">
        <f>HYPERLINK("http://mystore1.ru/price_items/search?utf8=%E2%9C%93&amp;oem=5153AKMH","5153AKMH")</f>
        <v>5153AKMH</v>
      </c>
      <c r="B4529" s="1" t="s">
        <v>8654</v>
      </c>
      <c r="C4529" s="9" t="s">
        <v>25</v>
      </c>
      <c r="D4529" s="14" t="s">
        <v>8655</v>
      </c>
      <c r="E4529" s="9" t="s">
        <v>27</v>
      </c>
    </row>
    <row r="4530" spans="1:5" ht="15" customHeight="1" outlineLevel="2" x14ac:dyDescent="0.25">
      <c r="A4530" s="3" t="str">
        <f>HYPERLINK("http://mystore1.ru/price_items/search?utf8=%E2%9C%93&amp;oem=5153ASMH","5153ASMH")</f>
        <v>5153ASMH</v>
      </c>
      <c r="B4530" s="1" t="s">
        <v>8656</v>
      </c>
      <c r="C4530" s="9" t="s">
        <v>25</v>
      </c>
      <c r="D4530" s="14" t="s">
        <v>8657</v>
      </c>
      <c r="E4530" s="9" t="s">
        <v>27</v>
      </c>
    </row>
    <row r="4531" spans="1:5" ht="15" customHeight="1" outlineLevel="2" x14ac:dyDescent="0.25">
      <c r="A4531" s="3" t="str">
        <f>HYPERLINK("http://mystore1.ru/price_items/search?utf8=%E2%9C%93&amp;oem=5153BGNH","5153BGNH")</f>
        <v>5153BGNH</v>
      </c>
      <c r="B4531" s="1" t="s">
        <v>8658</v>
      </c>
      <c r="C4531" s="9" t="s">
        <v>3106</v>
      </c>
      <c r="D4531" s="14" t="s">
        <v>8659</v>
      </c>
      <c r="E4531" s="9" t="s">
        <v>30</v>
      </c>
    </row>
    <row r="4532" spans="1:5" ht="15" customHeight="1" outlineLevel="2" x14ac:dyDescent="0.25">
      <c r="A4532" s="3" t="str">
        <f>HYPERLINK("http://mystore1.ru/price_items/search?utf8=%E2%9C%93&amp;oem=5153BGNSW","5153BGNSW")</f>
        <v>5153BGNSW</v>
      </c>
      <c r="B4532" s="1" t="s">
        <v>8660</v>
      </c>
      <c r="C4532" s="9" t="s">
        <v>3106</v>
      </c>
      <c r="D4532" s="14" t="s">
        <v>8661</v>
      </c>
      <c r="E4532" s="9" t="s">
        <v>30</v>
      </c>
    </row>
    <row r="4533" spans="1:5" ht="15" customHeight="1" outlineLevel="2" x14ac:dyDescent="0.25">
      <c r="A4533" s="3" t="str">
        <f>HYPERLINK("http://mystore1.ru/price_items/search?utf8=%E2%9C%93&amp;oem=5153LGNH5FD","5153LGNH5FD")</f>
        <v>5153LGNH5FD</v>
      </c>
      <c r="B4533" s="1" t="s">
        <v>8662</v>
      </c>
      <c r="C4533" s="9" t="s">
        <v>3106</v>
      </c>
      <c r="D4533" s="14" t="s">
        <v>8663</v>
      </c>
      <c r="E4533" s="9" t="s">
        <v>11</v>
      </c>
    </row>
    <row r="4534" spans="1:5" ht="15" customHeight="1" outlineLevel="2" x14ac:dyDescent="0.25">
      <c r="A4534" s="3" t="str">
        <f>HYPERLINK("http://mystore1.ru/price_items/search?utf8=%E2%9C%93&amp;oem=5153LGNH5RD","5153LGNH5RD")</f>
        <v>5153LGNH5RD</v>
      </c>
      <c r="B4534" s="1" t="s">
        <v>8664</v>
      </c>
      <c r="C4534" s="9" t="s">
        <v>3106</v>
      </c>
      <c r="D4534" s="14" t="s">
        <v>8665</v>
      </c>
      <c r="E4534" s="9" t="s">
        <v>11</v>
      </c>
    </row>
    <row r="4535" spans="1:5" ht="15" customHeight="1" outlineLevel="2" x14ac:dyDescent="0.25">
      <c r="A4535" s="3" t="str">
        <f>HYPERLINK("http://mystore1.ru/price_items/search?utf8=%E2%9C%93&amp;oem=5153LGNH5RV","5153LGNH5RV")</f>
        <v>5153LGNH5RV</v>
      </c>
      <c r="B4535" s="1" t="s">
        <v>8666</v>
      </c>
      <c r="C4535" s="9" t="s">
        <v>3106</v>
      </c>
      <c r="D4535" s="14" t="s">
        <v>8667</v>
      </c>
      <c r="E4535" s="9" t="s">
        <v>11</v>
      </c>
    </row>
    <row r="4536" spans="1:5" ht="15" customHeight="1" outlineLevel="2" x14ac:dyDescent="0.25">
      <c r="A4536" s="3" t="str">
        <f>HYPERLINK("http://mystore1.ru/price_items/search?utf8=%E2%9C%93&amp;oem=5153LGNS4RD","5153LGNS4RD")</f>
        <v>5153LGNS4RD</v>
      </c>
      <c r="B4536" s="1" t="s">
        <v>8668</v>
      </c>
      <c r="C4536" s="9" t="s">
        <v>3106</v>
      </c>
      <c r="D4536" s="14" t="s">
        <v>8669</v>
      </c>
      <c r="E4536" s="9" t="s">
        <v>11</v>
      </c>
    </row>
    <row r="4537" spans="1:5" ht="15" customHeight="1" outlineLevel="2" x14ac:dyDescent="0.25">
      <c r="A4537" s="3" t="str">
        <f>HYPERLINK("http://mystore1.ru/price_items/search?utf8=%E2%9C%93&amp;oem=5153LGNS4RV","5153LGNS4RV")</f>
        <v>5153LGNS4RV</v>
      </c>
      <c r="B4537" s="1" t="s">
        <v>8670</v>
      </c>
      <c r="C4537" s="9" t="s">
        <v>3106</v>
      </c>
      <c r="D4537" s="14" t="s">
        <v>8671</v>
      </c>
      <c r="E4537" s="9" t="s">
        <v>11</v>
      </c>
    </row>
    <row r="4538" spans="1:5" ht="15" customHeight="1" outlineLevel="2" x14ac:dyDescent="0.25">
      <c r="A4538" s="3" t="str">
        <f>HYPERLINK("http://mystore1.ru/price_items/search?utf8=%E2%9C%93&amp;oem=5153RGNH5FD","5153RGNH5FD")</f>
        <v>5153RGNH5FD</v>
      </c>
      <c r="B4538" s="1" t="s">
        <v>8672</v>
      </c>
      <c r="C4538" s="9" t="s">
        <v>3106</v>
      </c>
      <c r="D4538" s="14" t="s">
        <v>8673</v>
      </c>
      <c r="E4538" s="9" t="s">
        <v>11</v>
      </c>
    </row>
    <row r="4539" spans="1:5" ht="15" customHeight="1" outlineLevel="2" x14ac:dyDescent="0.25">
      <c r="A4539" s="3" t="str">
        <f>HYPERLINK("http://mystore1.ru/price_items/search?utf8=%E2%9C%93&amp;oem=5153RGNH5RD","5153RGNH5RD")</f>
        <v>5153RGNH5RD</v>
      </c>
      <c r="B4539" s="1" t="s">
        <v>8674</v>
      </c>
      <c r="C4539" s="9" t="s">
        <v>3106</v>
      </c>
      <c r="D4539" s="14" t="s">
        <v>8675</v>
      </c>
      <c r="E4539" s="9" t="s">
        <v>11</v>
      </c>
    </row>
    <row r="4540" spans="1:5" ht="15" customHeight="1" outlineLevel="2" x14ac:dyDescent="0.25">
      <c r="A4540" s="3" t="str">
        <f>HYPERLINK("http://mystore1.ru/price_items/search?utf8=%E2%9C%93&amp;oem=5153RGNH5RV","5153RGNH5RV")</f>
        <v>5153RGNH5RV</v>
      </c>
      <c r="B4540" s="1" t="s">
        <v>8676</v>
      </c>
      <c r="C4540" s="9" t="s">
        <v>3106</v>
      </c>
      <c r="D4540" s="14" t="s">
        <v>8677</v>
      </c>
      <c r="E4540" s="9" t="s">
        <v>11</v>
      </c>
    </row>
    <row r="4541" spans="1:5" ht="15" customHeight="1" outlineLevel="2" x14ac:dyDescent="0.25">
      <c r="A4541" s="3" t="str">
        <f>HYPERLINK("http://mystore1.ru/price_items/search?utf8=%E2%9C%93&amp;oem=5153RGNS4RD","5153RGNS4RD")</f>
        <v>5153RGNS4RD</v>
      </c>
      <c r="B4541" s="1" t="s">
        <v>8678</v>
      </c>
      <c r="C4541" s="9" t="s">
        <v>3106</v>
      </c>
      <c r="D4541" s="14" t="s">
        <v>8679</v>
      </c>
      <c r="E4541" s="9" t="s">
        <v>11</v>
      </c>
    </row>
    <row r="4542" spans="1:5" ht="15" customHeight="1" outlineLevel="2" x14ac:dyDescent="0.25">
      <c r="A4542" s="3" t="str">
        <f>HYPERLINK("http://mystore1.ru/price_items/search?utf8=%E2%9C%93&amp;oem=5153RGNS4RV","5153RGNS4RV")</f>
        <v>5153RGNS4RV</v>
      </c>
      <c r="B4542" s="1" t="s">
        <v>8680</v>
      </c>
      <c r="C4542" s="9" t="s">
        <v>3106</v>
      </c>
      <c r="D4542" s="14" t="s">
        <v>8681</v>
      </c>
      <c r="E4542" s="9" t="s">
        <v>11</v>
      </c>
    </row>
    <row r="4543" spans="1:5" outlineLevel="1" x14ac:dyDescent="0.25">
      <c r="A4543" s="2"/>
      <c r="B4543" s="6" t="s">
        <v>8682</v>
      </c>
      <c r="C4543" s="8"/>
      <c r="D4543" s="8"/>
      <c r="E4543" s="8"/>
    </row>
    <row r="4544" spans="1:5" ht="15" customHeight="1" outlineLevel="2" x14ac:dyDescent="0.25">
      <c r="A4544" s="3" t="str">
        <f>HYPERLINK("http://mystore1.ru/price_items/search?utf8=%E2%9C%93&amp;oem=5156AGN","5156AGN")</f>
        <v>5156AGN</v>
      </c>
      <c r="B4544" s="1" t="s">
        <v>8683</v>
      </c>
      <c r="C4544" s="9" t="s">
        <v>3106</v>
      </c>
      <c r="D4544" s="14" t="s">
        <v>8684</v>
      </c>
      <c r="E4544" s="9" t="s">
        <v>8</v>
      </c>
    </row>
    <row r="4545" spans="1:5" ht="15" customHeight="1" outlineLevel="2" x14ac:dyDescent="0.25">
      <c r="A4545" s="3" t="str">
        <f>HYPERLINK("http://mystore1.ru/price_items/search?utf8=%E2%9C%93&amp;oem=5156AGNBL","5156AGNBL")</f>
        <v>5156AGNBL</v>
      </c>
      <c r="B4545" s="1" t="s">
        <v>8685</v>
      </c>
      <c r="C4545" s="9" t="s">
        <v>3106</v>
      </c>
      <c r="D4545" s="14" t="s">
        <v>8686</v>
      </c>
      <c r="E4545" s="9" t="s">
        <v>8</v>
      </c>
    </row>
    <row r="4546" spans="1:5" ht="15" customHeight="1" outlineLevel="2" x14ac:dyDescent="0.25">
      <c r="A4546" s="3" t="str">
        <f>HYPERLINK("http://mystore1.ru/price_items/search?utf8=%E2%9C%93&amp;oem=5156AGNGN","5156AGNGN")</f>
        <v>5156AGNGN</v>
      </c>
      <c r="B4546" s="1" t="s">
        <v>8687</v>
      </c>
      <c r="C4546" s="9" t="s">
        <v>3106</v>
      </c>
      <c r="D4546" s="14" t="s">
        <v>8688</v>
      </c>
      <c r="E4546" s="9" t="s">
        <v>8</v>
      </c>
    </row>
    <row r="4547" spans="1:5" ht="15" customHeight="1" outlineLevel="2" x14ac:dyDescent="0.25">
      <c r="A4547" s="3" t="str">
        <f>HYPERLINK("http://mystore1.ru/price_items/search?utf8=%E2%9C%93&amp;oem=5156ASME","5156ASME")</f>
        <v>5156ASME</v>
      </c>
      <c r="B4547" s="1" t="s">
        <v>8689</v>
      </c>
      <c r="C4547" s="9" t="s">
        <v>25</v>
      </c>
      <c r="D4547" s="14" t="s">
        <v>8690</v>
      </c>
      <c r="E4547" s="9" t="s">
        <v>27</v>
      </c>
    </row>
    <row r="4548" spans="1:5" ht="15" customHeight="1" outlineLevel="2" x14ac:dyDescent="0.25">
      <c r="A4548" s="3" t="str">
        <f>HYPERLINK("http://mystore1.ru/price_items/search?utf8=%E2%9C%93&amp;oem=5156BGNE","5156BGNE")</f>
        <v>5156BGNE</v>
      </c>
      <c r="B4548" s="1" t="s">
        <v>8691</v>
      </c>
      <c r="C4548" s="9" t="s">
        <v>3106</v>
      </c>
      <c r="D4548" s="14" t="s">
        <v>8692</v>
      </c>
      <c r="E4548" s="9" t="s">
        <v>30</v>
      </c>
    </row>
    <row r="4549" spans="1:5" ht="15" customHeight="1" outlineLevel="2" x14ac:dyDescent="0.25">
      <c r="A4549" s="3" t="str">
        <f>HYPERLINK("http://mystore1.ru/price_items/search?utf8=%E2%9C%93&amp;oem=5156LGNE5FD","5156LGNE5FD")</f>
        <v>5156LGNE5FD</v>
      </c>
      <c r="B4549" s="1" t="s">
        <v>8693</v>
      </c>
      <c r="C4549" s="9" t="s">
        <v>3106</v>
      </c>
      <c r="D4549" s="14" t="s">
        <v>8694</v>
      </c>
      <c r="E4549" s="9" t="s">
        <v>11</v>
      </c>
    </row>
    <row r="4550" spans="1:5" ht="15" customHeight="1" outlineLevel="2" x14ac:dyDescent="0.25">
      <c r="A4550" s="3" t="str">
        <f>HYPERLINK("http://mystore1.ru/price_items/search?utf8=%E2%9C%93&amp;oem=5156LGNE5RD","5156LGNE5RD")</f>
        <v>5156LGNE5RD</v>
      </c>
      <c r="B4550" s="1" t="s">
        <v>8695</v>
      </c>
      <c r="C4550" s="9" t="s">
        <v>3106</v>
      </c>
      <c r="D4550" s="14" t="s">
        <v>8696</v>
      </c>
      <c r="E4550" s="9" t="s">
        <v>11</v>
      </c>
    </row>
    <row r="4551" spans="1:5" ht="15" customHeight="1" outlineLevel="2" x14ac:dyDescent="0.25">
      <c r="A4551" s="3" t="str">
        <f>HYPERLINK("http://mystore1.ru/price_items/search?utf8=%E2%9C%93&amp;oem=5156LGNE5RV","5156LGNE5RV")</f>
        <v>5156LGNE5RV</v>
      </c>
      <c r="B4551" s="1" t="s">
        <v>8697</v>
      </c>
      <c r="C4551" s="9" t="s">
        <v>3106</v>
      </c>
      <c r="D4551" s="14" t="s">
        <v>8698</v>
      </c>
      <c r="E4551" s="9" t="s">
        <v>11</v>
      </c>
    </row>
    <row r="4552" spans="1:5" ht="15" customHeight="1" outlineLevel="2" x14ac:dyDescent="0.25">
      <c r="A4552" s="3" t="str">
        <f>HYPERLINK("http://mystore1.ru/price_items/search?utf8=%E2%9C%93&amp;oem=5156RGNE5FD","5156RGNE5FD")</f>
        <v>5156RGNE5FD</v>
      </c>
      <c r="B4552" s="1" t="s">
        <v>8699</v>
      </c>
      <c r="C4552" s="9" t="s">
        <v>3106</v>
      </c>
      <c r="D4552" s="14" t="s">
        <v>8700</v>
      </c>
      <c r="E4552" s="9" t="s">
        <v>11</v>
      </c>
    </row>
    <row r="4553" spans="1:5" ht="15" customHeight="1" outlineLevel="2" x14ac:dyDescent="0.25">
      <c r="A4553" s="3" t="str">
        <f>HYPERLINK("http://mystore1.ru/price_items/search?utf8=%E2%9C%93&amp;oem=5156RGNE5RD","5156RGNE5RD")</f>
        <v>5156RGNE5RD</v>
      </c>
      <c r="B4553" s="1" t="s">
        <v>8701</v>
      </c>
      <c r="C4553" s="9" t="s">
        <v>3106</v>
      </c>
      <c r="D4553" s="14" t="s">
        <v>8702</v>
      </c>
      <c r="E4553" s="9" t="s">
        <v>11</v>
      </c>
    </row>
    <row r="4554" spans="1:5" ht="15" customHeight="1" outlineLevel="2" x14ac:dyDescent="0.25">
      <c r="A4554" s="3" t="str">
        <f>HYPERLINK("http://mystore1.ru/price_items/search?utf8=%E2%9C%93&amp;oem=5156RGNE5RV","5156RGNE5RV")</f>
        <v>5156RGNE5RV</v>
      </c>
      <c r="B4554" s="1" t="s">
        <v>8703</v>
      </c>
      <c r="C4554" s="9" t="s">
        <v>3106</v>
      </c>
      <c r="D4554" s="14" t="s">
        <v>8704</v>
      </c>
      <c r="E4554" s="9" t="s">
        <v>11</v>
      </c>
    </row>
    <row r="4555" spans="1:5" outlineLevel="1" x14ac:dyDescent="0.25">
      <c r="A4555" s="2"/>
      <c r="B4555" s="6" t="s">
        <v>8705</v>
      </c>
      <c r="C4555" s="8"/>
      <c r="D4555" s="8"/>
      <c r="E4555" s="8"/>
    </row>
    <row r="4556" spans="1:5" ht="15" customHeight="1" outlineLevel="2" x14ac:dyDescent="0.25">
      <c r="A4556" s="3" t="str">
        <f>HYPERLINK("http://mystore1.ru/price_items/search?utf8=%E2%9C%93&amp;oem=5131AGNBL","5131AGNBL")</f>
        <v>5131AGNBL</v>
      </c>
      <c r="B4556" s="1" t="s">
        <v>8706</v>
      </c>
      <c r="C4556" s="9" t="s">
        <v>8707</v>
      </c>
      <c r="D4556" s="14" t="s">
        <v>8708</v>
      </c>
      <c r="E4556" s="9" t="s">
        <v>8</v>
      </c>
    </row>
    <row r="4557" spans="1:5" outlineLevel="1" x14ac:dyDescent="0.25">
      <c r="A4557" s="2"/>
      <c r="B4557" s="6" t="s">
        <v>8709</v>
      </c>
      <c r="C4557" s="8"/>
      <c r="D4557" s="8"/>
      <c r="E4557" s="8"/>
    </row>
    <row r="4558" spans="1:5" ht="15" customHeight="1" outlineLevel="2" x14ac:dyDescent="0.25">
      <c r="A4558" s="3" t="str">
        <f>HYPERLINK("http://mystore1.ru/price_items/search?utf8=%E2%9C%93&amp;oem=5127ACL","5127ACL")</f>
        <v>5127ACL</v>
      </c>
      <c r="B4558" s="1" t="s">
        <v>8710</v>
      </c>
      <c r="C4558" s="9" t="s">
        <v>8711</v>
      </c>
      <c r="D4558" s="14" t="s">
        <v>8712</v>
      </c>
      <c r="E4558" s="9" t="s">
        <v>8</v>
      </c>
    </row>
    <row r="4559" spans="1:5" outlineLevel="1" x14ac:dyDescent="0.25">
      <c r="A4559" s="2"/>
      <c r="B4559" s="6" t="s">
        <v>8713</v>
      </c>
      <c r="C4559" s="8"/>
      <c r="D4559" s="8"/>
      <c r="E4559" s="8"/>
    </row>
    <row r="4560" spans="1:5" ht="15" customHeight="1" outlineLevel="2" x14ac:dyDescent="0.25">
      <c r="A4560" s="3" t="str">
        <f>HYPERLINK("http://mystore1.ru/price_items/search?utf8=%E2%9C%93&amp;oem=5172AGN","5172AGN")</f>
        <v>5172AGN</v>
      </c>
      <c r="B4560" s="1" t="s">
        <v>8714</v>
      </c>
      <c r="C4560" s="9" t="s">
        <v>511</v>
      </c>
      <c r="D4560" s="14" t="s">
        <v>8715</v>
      </c>
      <c r="E4560" s="9" t="s">
        <v>8</v>
      </c>
    </row>
    <row r="4561" spans="1:5" outlineLevel="1" x14ac:dyDescent="0.25">
      <c r="A4561" s="2"/>
      <c r="B4561" s="6" t="s">
        <v>8716</v>
      </c>
      <c r="C4561" s="8"/>
      <c r="D4561" s="8"/>
      <c r="E4561" s="8"/>
    </row>
    <row r="4562" spans="1:5" ht="15" customHeight="1" outlineLevel="2" x14ac:dyDescent="0.25">
      <c r="A4562" s="3" t="str">
        <f>HYPERLINK("http://mystore1.ru/price_items/search?utf8=%E2%9C%93&amp;oem=5171AGNMW1B","5171AGNMW1B")</f>
        <v>5171AGNMW1B</v>
      </c>
      <c r="B4562" s="1" t="s">
        <v>8717</v>
      </c>
      <c r="C4562" s="9" t="s">
        <v>6175</v>
      </c>
      <c r="D4562" s="14" t="s">
        <v>8718</v>
      </c>
      <c r="E4562" s="9" t="s">
        <v>8</v>
      </c>
    </row>
    <row r="4563" spans="1:5" outlineLevel="1" x14ac:dyDescent="0.25">
      <c r="A4563" s="2"/>
      <c r="B4563" s="6" t="s">
        <v>8719</v>
      </c>
      <c r="C4563" s="8"/>
      <c r="D4563" s="8"/>
      <c r="E4563" s="8"/>
    </row>
    <row r="4564" spans="1:5" ht="15" customHeight="1" outlineLevel="2" x14ac:dyDescent="0.25">
      <c r="A4564" s="3" t="str">
        <f>HYPERLINK("http://mystore1.ru/price_items/search?utf8=%E2%9C%93&amp;oem=5157AGN","5157AGN")</f>
        <v>5157AGN</v>
      </c>
      <c r="B4564" s="1" t="s">
        <v>8720</v>
      </c>
      <c r="C4564" s="9" t="s">
        <v>439</v>
      </c>
      <c r="D4564" s="14" t="s">
        <v>8721</v>
      </c>
      <c r="E4564" s="9" t="s">
        <v>8</v>
      </c>
    </row>
    <row r="4565" spans="1:5" ht="15" customHeight="1" outlineLevel="2" x14ac:dyDescent="0.25">
      <c r="A4565" s="3" t="str">
        <f>HYPERLINK("http://mystore1.ru/price_items/search?utf8=%E2%9C%93&amp;oem=5157AGNGN","5157AGNGN")</f>
        <v>5157AGNGN</v>
      </c>
      <c r="B4565" s="1" t="s">
        <v>8722</v>
      </c>
      <c r="C4565" s="9" t="s">
        <v>439</v>
      </c>
      <c r="D4565" s="14" t="s">
        <v>8723</v>
      </c>
      <c r="E4565" s="9" t="s">
        <v>8</v>
      </c>
    </row>
    <row r="4566" spans="1:5" ht="15" customHeight="1" outlineLevel="2" x14ac:dyDescent="0.25">
      <c r="A4566" s="3" t="str">
        <f>HYPERLINK("http://mystore1.ru/price_items/search?utf8=%E2%9C%93&amp;oem=5157ASMV","5157ASMV")</f>
        <v>5157ASMV</v>
      </c>
      <c r="B4566" s="1" t="s">
        <v>8724</v>
      </c>
      <c r="C4566" s="9" t="s">
        <v>25</v>
      </c>
      <c r="D4566" s="14" t="s">
        <v>8725</v>
      </c>
      <c r="E4566" s="9" t="s">
        <v>27</v>
      </c>
    </row>
    <row r="4567" spans="1:5" ht="15" customHeight="1" outlineLevel="2" x14ac:dyDescent="0.25">
      <c r="A4567" s="3" t="str">
        <f>HYPERLINK("http://mystore1.ru/price_items/search?utf8=%E2%9C%93&amp;oem=5157BGNV","5157BGNV")</f>
        <v>5157BGNV</v>
      </c>
      <c r="B4567" s="1" t="s">
        <v>8726</v>
      </c>
      <c r="C4567" s="9" t="s">
        <v>439</v>
      </c>
      <c r="D4567" s="14" t="s">
        <v>8727</v>
      </c>
      <c r="E4567" s="9" t="s">
        <v>30</v>
      </c>
    </row>
    <row r="4568" spans="1:5" ht="15" customHeight="1" outlineLevel="2" x14ac:dyDescent="0.25">
      <c r="A4568" s="3" t="str">
        <f>HYPERLINK("http://mystore1.ru/price_items/search?utf8=%E2%9C%93&amp;oem=5157LGNV5FD","5157LGNV5FD")</f>
        <v>5157LGNV5FD</v>
      </c>
      <c r="B4568" s="1" t="s">
        <v>8728</v>
      </c>
      <c r="C4568" s="9" t="s">
        <v>439</v>
      </c>
      <c r="D4568" s="14" t="s">
        <v>8729</v>
      </c>
      <c r="E4568" s="9" t="s">
        <v>11</v>
      </c>
    </row>
    <row r="4569" spans="1:5" ht="15" customHeight="1" outlineLevel="2" x14ac:dyDescent="0.25">
      <c r="A4569" s="3" t="str">
        <f>HYPERLINK("http://mystore1.ru/price_items/search?utf8=%E2%9C%93&amp;oem=5157LGNV5RD","5157LGNV5RD")</f>
        <v>5157LGNV5RD</v>
      </c>
      <c r="B4569" s="1" t="s">
        <v>8730</v>
      </c>
      <c r="C4569" s="9" t="s">
        <v>439</v>
      </c>
      <c r="D4569" s="14" t="s">
        <v>8731</v>
      </c>
      <c r="E4569" s="9" t="s">
        <v>11</v>
      </c>
    </row>
    <row r="4570" spans="1:5" ht="15" customHeight="1" outlineLevel="2" x14ac:dyDescent="0.25">
      <c r="A4570" s="3" t="str">
        <f>HYPERLINK("http://mystore1.ru/price_items/search?utf8=%E2%9C%93&amp;oem=5157LGNV5RV","5157LGNV5RV")</f>
        <v>5157LGNV5RV</v>
      </c>
      <c r="B4570" s="1" t="s">
        <v>8732</v>
      </c>
      <c r="C4570" s="9" t="s">
        <v>439</v>
      </c>
      <c r="D4570" s="14" t="s">
        <v>8733</v>
      </c>
      <c r="E4570" s="9" t="s">
        <v>11</v>
      </c>
    </row>
    <row r="4571" spans="1:5" ht="15" customHeight="1" outlineLevel="2" x14ac:dyDescent="0.25">
      <c r="A4571" s="3" t="str">
        <f>HYPERLINK("http://mystore1.ru/price_items/search?utf8=%E2%9C%93&amp;oem=5157RGNV5FD","5157RGNV5FD")</f>
        <v>5157RGNV5FD</v>
      </c>
      <c r="B4571" s="1" t="s">
        <v>8734</v>
      </c>
      <c r="C4571" s="9" t="s">
        <v>439</v>
      </c>
      <c r="D4571" s="14" t="s">
        <v>8735</v>
      </c>
      <c r="E4571" s="9" t="s">
        <v>11</v>
      </c>
    </row>
    <row r="4572" spans="1:5" ht="15" customHeight="1" outlineLevel="2" x14ac:dyDescent="0.25">
      <c r="A4572" s="3" t="str">
        <f>HYPERLINK("http://mystore1.ru/price_items/search?utf8=%E2%9C%93&amp;oem=5157RGNV5RD","5157RGNV5RD")</f>
        <v>5157RGNV5RD</v>
      </c>
      <c r="B4572" s="1" t="s">
        <v>8736</v>
      </c>
      <c r="C4572" s="9" t="s">
        <v>439</v>
      </c>
      <c r="D4572" s="14" t="s">
        <v>8737</v>
      </c>
      <c r="E4572" s="9" t="s">
        <v>11</v>
      </c>
    </row>
    <row r="4573" spans="1:5" ht="15" customHeight="1" outlineLevel="2" x14ac:dyDescent="0.25">
      <c r="A4573" s="3" t="str">
        <f>HYPERLINK("http://mystore1.ru/price_items/search?utf8=%E2%9C%93&amp;oem=5157RGNV5RV","5157RGNV5RV")</f>
        <v>5157RGNV5RV</v>
      </c>
      <c r="B4573" s="1" t="s">
        <v>8738</v>
      </c>
      <c r="C4573" s="9" t="s">
        <v>439</v>
      </c>
      <c r="D4573" s="14" t="s">
        <v>8739</v>
      </c>
      <c r="E4573" s="9" t="s">
        <v>11</v>
      </c>
    </row>
    <row r="4574" spans="1:5" outlineLevel="1" x14ac:dyDescent="0.25">
      <c r="A4574" s="2"/>
      <c r="B4574" s="6" t="s">
        <v>8740</v>
      </c>
      <c r="C4574" s="8"/>
      <c r="D4574" s="8"/>
      <c r="E4574" s="8"/>
    </row>
    <row r="4575" spans="1:5" ht="15" customHeight="1" outlineLevel="2" x14ac:dyDescent="0.25">
      <c r="A4575" s="3" t="str">
        <f>HYPERLINK("http://mystore1.ru/price_items/search?utf8=%E2%9C%93&amp;oem=5161AGN","5161AGN")</f>
        <v>5161AGN</v>
      </c>
      <c r="B4575" s="1" t="s">
        <v>8741</v>
      </c>
      <c r="C4575" s="9" t="s">
        <v>1403</v>
      </c>
      <c r="D4575" s="14" t="s">
        <v>8742</v>
      </c>
      <c r="E4575" s="9" t="s">
        <v>8</v>
      </c>
    </row>
    <row r="4576" spans="1:5" outlineLevel="1" x14ac:dyDescent="0.25">
      <c r="A4576" s="2"/>
      <c r="B4576" s="6" t="s">
        <v>8743</v>
      </c>
      <c r="C4576" s="8"/>
      <c r="D4576" s="8"/>
      <c r="E4576" s="8"/>
    </row>
    <row r="4577" spans="1:5" ht="15" customHeight="1" outlineLevel="2" x14ac:dyDescent="0.25">
      <c r="A4577" s="3" t="str">
        <f>HYPERLINK("http://mystore1.ru/price_items/search?utf8=%E2%9C%93&amp;oem=5124ABL","5124ABL")</f>
        <v>5124ABL</v>
      </c>
      <c r="B4577" s="1" t="s">
        <v>8744</v>
      </c>
      <c r="C4577" s="9" t="s">
        <v>8745</v>
      </c>
      <c r="D4577" s="14" t="s">
        <v>8746</v>
      </c>
      <c r="E4577" s="9" t="s">
        <v>8</v>
      </c>
    </row>
    <row r="4578" spans="1:5" ht="15" customHeight="1" outlineLevel="2" x14ac:dyDescent="0.25">
      <c r="A4578" s="3" t="str">
        <f>HYPERLINK("http://mystore1.ru/price_items/search?utf8=%E2%9C%93&amp;oem=5124ABLBL","5124ABLBL")</f>
        <v>5124ABLBL</v>
      </c>
      <c r="B4578" s="1" t="s">
        <v>8747</v>
      </c>
      <c r="C4578" s="9" t="s">
        <v>8745</v>
      </c>
      <c r="D4578" s="14" t="s">
        <v>8748</v>
      </c>
      <c r="E4578" s="9" t="s">
        <v>8</v>
      </c>
    </row>
    <row r="4579" spans="1:5" ht="15" customHeight="1" outlineLevel="2" x14ac:dyDescent="0.25">
      <c r="A4579" s="3" t="str">
        <f>HYPERLINK("http://mystore1.ru/price_items/search?utf8=%E2%9C%93&amp;oem=5124ACL","5124ACL")</f>
        <v>5124ACL</v>
      </c>
      <c r="B4579" s="1" t="s">
        <v>8749</v>
      </c>
      <c r="C4579" s="9" t="s">
        <v>8745</v>
      </c>
      <c r="D4579" s="14" t="s">
        <v>8750</v>
      </c>
      <c r="E4579" s="9" t="s">
        <v>8</v>
      </c>
    </row>
    <row r="4580" spans="1:5" ht="15" customHeight="1" outlineLevel="2" x14ac:dyDescent="0.25">
      <c r="A4580" s="3" t="str">
        <f>HYPERLINK("http://mystore1.ru/price_items/search?utf8=%E2%9C%93&amp;oem=5124BCLV","5124BCLV")</f>
        <v>5124BCLV</v>
      </c>
      <c r="B4580" s="1" t="s">
        <v>8751</v>
      </c>
      <c r="C4580" s="9" t="s">
        <v>8745</v>
      </c>
      <c r="D4580" s="14" t="s">
        <v>8752</v>
      </c>
      <c r="E4580" s="9" t="s">
        <v>30</v>
      </c>
    </row>
    <row r="4581" spans="1:5" ht="15" customHeight="1" outlineLevel="2" x14ac:dyDescent="0.25">
      <c r="A4581" s="3" t="str">
        <f>HYPERLINK("http://mystore1.ru/price_items/search?utf8=%E2%9C%93&amp;oem=5124LCLV2FD","5124LCLV2FD")</f>
        <v>5124LCLV2FD</v>
      </c>
      <c r="B4581" s="1" t="s">
        <v>8753</v>
      </c>
      <c r="C4581" s="9" t="s">
        <v>8745</v>
      </c>
      <c r="D4581" s="14" t="s">
        <v>8754</v>
      </c>
      <c r="E4581" s="9" t="s">
        <v>11</v>
      </c>
    </row>
    <row r="4582" spans="1:5" outlineLevel="1" x14ac:dyDescent="0.25">
      <c r="A4582" s="2"/>
      <c r="B4582" s="6" t="s">
        <v>8755</v>
      </c>
      <c r="C4582" s="8"/>
      <c r="D4582" s="8"/>
      <c r="E4582" s="8"/>
    </row>
    <row r="4583" spans="1:5" ht="15" customHeight="1" outlineLevel="2" x14ac:dyDescent="0.25">
      <c r="A4583" s="3" t="str">
        <f>HYPERLINK("http://mystore1.ru/price_items/search?utf8=%E2%9C%93&amp;oem=5152AGN","5152AGN")</f>
        <v>5152AGN</v>
      </c>
      <c r="B4583" s="1" t="s">
        <v>8756</v>
      </c>
      <c r="C4583" s="9" t="s">
        <v>1141</v>
      </c>
      <c r="D4583" s="14" t="s">
        <v>8757</v>
      </c>
      <c r="E4583" s="9" t="s">
        <v>8</v>
      </c>
    </row>
    <row r="4584" spans="1:5" ht="15" customHeight="1" outlineLevel="2" x14ac:dyDescent="0.25">
      <c r="A4584" s="3" t="str">
        <f>HYPERLINK("http://mystore1.ru/price_items/search?utf8=%E2%9C%93&amp;oem=5152AKCV","5152AKCV")</f>
        <v>5152AKCV</v>
      </c>
      <c r="B4584" s="1" t="s">
        <v>8758</v>
      </c>
      <c r="C4584" s="9" t="s">
        <v>25</v>
      </c>
      <c r="D4584" s="14" t="s">
        <v>8759</v>
      </c>
      <c r="E4584" s="9" t="s">
        <v>27</v>
      </c>
    </row>
    <row r="4585" spans="1:5" ht="15" customHeight="1" outlineLevel="2" x14ac:dyDescent="0.25">
      <c r="A4585" s="3" t="str">
        <f>HYPERLINK("http://mystore1.ru/price_items/search?utf8=%E2%9C%93&amp;oem=5152ASMVT","5152ASMVT")</f>
        <v>5152ASMVT</v>
      </c>
      <c r="B4585" s="1" t="s">
        <v>8760</v>
      </c>
      <c r="C4585" s="9" t="s">
        <v>25</v>
      </c>
      <c r="D4585" s="14" t="s">
        <v>8761</v>
      </c>
      <c r="E4585" s="9" t="s">
        <v>27</v>
      </c>
    </row>
    <row r="4586" spans="1:5" outlineLevel="1" x14ac:dyDescent="0.25">
      <c r="A4586" s="2"/>
      <c r="B4586" s="6" t="s">
        <v>8762</v>
      </c>
      <c r="C4586" s="8"/>
      <c r="D4586" s="8"/>
      <c r="E4586" s="8"/>
    </row>
    <row r="4587" spans="1:5" ht="15" customHeight="1" outlineLevel="2" x14ac:dyDescent="0.25">
      <c r="A4587" s="3" t="str">
        <f>HYPERLINK("http://mystore1.ru/price_items/search?utf8=%E2%9C%93&amp;oem=5160AGN","5160AGN")</f>
        <v>5160AGN</v>
      </c>
      <c r="B4587" s="1" t="s">
        <v>8763</v>
      </c>
      <c r="C4587" s="9" t="s">
        <v>1403</v>
      </c>
      <c r="D4587" s="14" t="s">
        <v>8764</v>
      </c>
      <c r="E4587" s="9" t="s">
        <v>8</v>
      </c>
    </row>
    <row r="4588" spans="1:5" ht="15" customHeight="1" outlineLevel="2" x14ac:dyDescent="0.25">
      <c r="A4588" s="3" t="str">
        <f>HYPERLINK("http://mystore1.ru/price_items/search?utf8=%E2%9C%93&amp;oem=5160AGNBL","5160AGNBL")</f>
        <v>5160AGNBL</v>
      </c>
      <c r="B4588" s="1" t="s">
        <v>8765</v>
      </c>
      <c r="C4588" s="9" t="s">
        <v>1403</v>
      </c>
      <c r="D4588" s="14" t="s">
        <v>8766</v>
      </c>
      <c r="E4588" s="9" t="s">
        <v>8</v>
      </c>
    </row>
    <row r="4589" spans="1:5" ht="15" customHeight="1" outlineLevel="2" x14ac:dyDescent="0.25">
      <c r="A4589" s="3" t="str">
        <f>HYPERLINK("http://mystore1.ru/price_items/search?utf8=%E2%9C%93&amp;oem=5160ASMV","5160ASMV")</f>
        <v>5160ASMV</v>
      </c>
      <c r="B4589" s="1" t="s">
        <v>8767</v>
      </c>
      <c r="C4589" s="9" t="s">
        <v>25</v>
      </c>
      <c r="D4589" s="14" t="s">
        <v>8768</v>
      </c>
      <c r="E4589" s="9" t="s">
        <v>27</v>
      </c>
    </row>
    <row r="4590" spans="1:5" ht="15" customHeight="1" outlineLevel="2" x14ac:dyDescent="0.25">
      <c r="A4590" s="3" t="str">
        <f>HYPERLINK("http://mystore1.ru/price_items/search?utf8=%E2%9C%93&amp;oem=5160LGNV5FD","5160LGNV5FD")</f>
        <v>5160LGNV5FD</v>
      </c>
      <c r="B4590" s="1" t="s">
        <v>8769</v>
      </c>
      <c r="C4590" s="9" t="s">
        <v>1403</v>
      </c>
      <c r="D4590" s="14" t="s">
        <v>8770</v>
      </c>
      <c r="E4590" s="9" t="s">
        <v>11</v>
      </c>
    </row>
    <row r="4591" spans="1:5" ht="15" customHeight="1" outlineLevel="2" x14ac:dyDescent="0.25">
      <c r="A4591" s="3" t="str">
        <f>HYPERLINK("http://mystore1.ru/price_items/search?utf8=%E2%9C%93&amp;oem=5160RGNV5FD","5160RGNV5FD")</f>
        <v>5160RGNV5FD</v>
      </c>
      <c r="B4591" s="1" t="s">
        <v>8771</v>
      </c>
      <c r="C4591" s="9" t="s">
        <v>1403</v>
      </c>
      <c r="D4591" s="14" t="s">
        <v>8772</v>
      </c>
      <c r="E4591" s="9" t="s">
        <v>11</v>
      </c>
    </row>
    <row r="4592" spans="1:5" ht="15" customHeight="1" outlineLevel="2" x14ac:dyDescent="0.25">
      <c r="A4592" s="3" t="str">
        <f>HYPERLINK("http://mystore1.ru/price_items/search?utf8=%E2%9C%93&amp;oem=5160RGNV5RD","5160RGNV5RD")</f>
        <v>5160RGNV5RD</v>
      </c>
      <c r="B4592" s="1" t="s">
        <v>8773</v>
      </c>
      <c r="C4592" s="9" t="s">
        <v>1403</v>
      </c>
      <c r="D4592" s="14" t="s">
        <v>8774</v>
      </c>
      <c r="E4592" s="9" t="s">
        <v>11</v>
      </c>
    </row>
    <row r="4593" spans="1:5" outlineLevel="1" x14ac:dyDescent="0.25">
      <c r="A4593" s="2"/>
      <c r="B4593" s="6" t="s">
        <v>8775</v>
      </c>
      <c r="C4593" s="8"/>
      <c r="D4593" s="8"/>
      <c r="E4593" s="8"/>
    </row>
    <row r="4594" spans="1:5" ht="15" customHeight="1" outlineLevel="2" x14ac:dyDescent="0.25">
      <c r="A4594" s="3" t="str">
        <f>HYPERLINK("http://mystore1.ru/price_items/search?utf8=%E2%9C%93&amp;oem=5140ABL","5140ABL")</f>
        <v>5140ABL</v>
      </c>
      <c r="B4594" s="1" t="s">
        <v>8776</v>
      </c>
      <c r="C4594" s="9" t="s">
        <v>307</v>
      </c>
      <c r="D4594" s="14" t="s">
        <v>8777</v>
      </c>
      <c r="E4594" s="9" t="s">
        <v>8</v>
      </c>
    </row>
    <row r="4595" spans="1:5" ht="15" customHeight="1" outlineLevel="2" x14ac:dyDescent="0.25">
      <c r="A4595" s="3" t="str">
        <f>HYPERLINK("http://mystore1.ru/price_items/search?utf8=%E2%9C%93&amp;oem=5140ABLBL","5140ABLBL")</f>
        <v>5140ABLBL</v>
      </c>
      <c r="B4595" s="1" t="s">
        <v>8778</v>
      </c>
      <c r="C4595" s="9" t="s">
        <v>307</v>
      </c>
      <c r="D4595" s="14" t="s">
        <v>8779</v>
      </c>
      <c r="E4595" s="9" t="s">
        <v>8</v>
      </c>
    </row>
    <row r="4596" spans="1:5" ht="15" customHeight="1" outlineLevel="2" x14ac:dyDescent="0.25">
      <c r="A4596" s="3" t="str">
        <f>HYPERLINK("http://mystore1.ru/price_items/search?utf8=%E2%9C%93&amp;oem=5140ASMC","5140ASMC")</f>
        <v>5140ASMC</v>
      </c>
      <c r="B4596" s="1" t="s">
        <v>8780</v>
      </c>
      <c r="C4596" s="9" t="s">
        <v>25</v>
      </c>
      <c r="D4596" s="14" t="s">
        <v>8781</v>
      </c>
      <c r="E4596" s="9" t="s">
        <v>27</v>
      </c>
    </row>
    <row r="4597" spans="1:5" ht="15" customHeight="1" outlineLevel="2" x14ac:dyDescent="0.25">
      <c r="A4597" s="3" t="str">
        <f>HYPERLINK("http://mystore1.ru/price_items/search?utf8=%E2%9C%93&amp;oem=5140LBLC2FD","5140LBLC2FD")</f>
        <v>5140LBLC2FD</v>
      </c>
      <c r="B4597" s="1" t="s">
        <v>8782</v>
      </c>
      <c r="C4597" s="9" t="s">
        <v>307</v>
      </c>
      <c r="D4597" s="14" t="s">
        <v>8783</v>
      </c>
      <c r="E4597" s="9" t="s">
        <v>11</v>
      </c>
    </row>
    <row r="4598" spans="1:5" ht="15" customHeight="1" outlineLevel="2" x14ac:dyDescent="0.25">
      <c r="A4598" s="3" t="str">
        <f>HYPERLINK("http://mystore1.ru/price_items/search?utf8=%E2%9C%93&amp;oem=5140RBLC2FD","5140RBLC2FD")</f>
        <v>5140RBLC2FD</v>
      </c>
      <c r="B4598" s="1" t="s">
        <v>8784</v>
      </c>
      <c r="C4598" s="9" t="s">
        <v>307</v>
      </c>
      <c r="D4598" s="14" t="s">
        <v>8785</v>
      </c>
      <c r="E4598" s="9" t="s">
        <v>11</v>
      </c>
    </row>
    <row r="4599" spans="1:5" outlineLevel="1" x14ac:dyDescent="0.25">
      <c r="A4599" s="2"/>
      <c r="B4599" s="6" t="s">
        <v>8786</v>
      </c>
      <c r="C4599" s="8"/>
      <c r="D4599" s="8"/>
      <c r="E4599" s="8"/>
    </row>
    <row r="4600" spans="1:5" ht="15" customHeight="1" outlineLevel="2" x14ac:dyDescent="0.25">
      <c r="A4600" s="3" t="str">
        <f>HYPERLINK("http://mystore1.ru/price_items/search?utf8=%E2%9C%93&amp;oem=5138ABL","5138ABL")</f>
        <v>5138ABL</v>
      </c>
      <c r="B4600" s="1" t="s">
        <v>8787</v>
      </c>
      <c r="C4600" s="9" t="s">
        <v>8788</v>
      </c>
      <c r="D4600" s="14" t="s">
        <v>8789</v>
      </c>
      <c r="E4600" s="9" t="s">
        <v>8</v>
      </c>
    </row>
    <row r="4601" spans="1:5" ht="15" customHeight="1" outlineLevel="2" x14ac:dyDescent="0.25">
      <c r="A4601" s="3" t="str">
        <f>HYPERLINK("http://mystore1.ru/price_items/search?utf8=%E2%9C%93&amp;oem=5138ABLBL","5138ABLBL")</f>
        <v>5138ABLBL</v>
      </c>
      <c r="B4601" s="1" t="s">
        <v>8790</v>
      </c>
      <c r="C4601" s="9" t="s">
        <v>8788</v>
      </c>
      <c r="D4601" s="14" t="s">
        <v>8791</v>
      </c>
      <c r="E4601" s="9" t="s">
        <v>8</v>
      </c>
    </row>
    <row r="4602" spans="1:5" ht="15" customHeight="1" outlineLevel="2" x14ac:dyDescent="0.25">
      <c r="A4602" s="3" t="str">
        <f>HYPERLINK("http://mystore1.ru/price_items/search?utf8=%E2%9C%93&amp;oem=5138AGN1C","5138AGN1C")</f>
        <v>5138AGN1C</v>
      </c>
      <c r="B4602" s="1" t="s">
        <v>8792</v>
      </c>
      <c r="C4602" s="9" t="s">
        <v>8788</v>
      </c>
      <c r="D4602" s="14" t="s">
        <v>8793</v>
      </c>
      <c r="E4602" s="9" t="s">
        <v>8</v>
      </c>
    </row>
    <row r="4603" spans="1:5" ht="15" customHeight="1" outlineLevel="2" x14ac:dyDescent="0.25">
      <c r="A4603" s="3" t="str">
        <f>HYPERLINK("http://mystore1.ru/price_items/search?utf8=%E2%9C%93&amp;oem=5138AKMT","5138AKMT")</f>
        <v>5138AKMT</v>
      </c>
      <c r="B4603" s="1" t="s">
        <v>8794</v>
      </c>
      <c r="C4603" s="9" t="s">
        <v>25</v>
      </c>
      <c r="D4603" s="14" t="s">
        <v>8795</v>
      </c>
      <c r="E4603" s="9" t="s">
        <v>27</v>
      </c>
    </row>
    <row r="4604" spans="1:5" outlineLevel="1" x14ac:dyDescent="0.25">
      <c r="A4604" s="2"/>
      <c r="B4604" s="6" t="s">
        <v>8796</v>
      </c>
      <c r="C4604" s="8"/>
      <c r="D4604" s="8"/>
      <c r="E4604" s="8"/>
    </row>
    <row r="4605" spans="1:5" ht="15" customHeight="1" outlineLevel="2" x14ac:dyDescent="0.25">
      <c r="A4605" s="3" t="str">
        <f>HYPERLINK("http://mystore1.ru/price_items/search?utf8=%E2%9C%93&amp;oem=5158AGN","5158AGN")</f>
        <v>5158AGN</v>
      </c>
      <c r="B4605" s="1" t="s">
        <v>8797</v>
      </c>
      <c r="C4605" s="9" t="s">
        <v>8798</v>
      </c>
      <c r="D4605" s="14" t="s">
        <v>8799</v>
      </c>
      <c r="E4605" s="9" t="s">
        <v>8</v>
      </c>
    </row>
    <row r="4606" spans="1:5" ht="15" customHeight="1" outlineLevel="2" x14ac:dyDescent="0.25">
      <c r="A4606" s="3" t="str">
        <f>HYPERLINK("http://mystore1.ru/price_items/search?utf8=%E2%9C%93&amp;oem=5158BCLP","5158BCLP")</f>
        <v>5158BCLP</v>
      </c>
      <c r="B4606" s="1" t="s">
        <v>8800</v>
      </c>
      <c r="C4606" s="9" t="s">
        <v>8798</v>
      </c>
      <c r="D4606" s="14" t="s">
        <v>8801</v>
      </c>
      <c r="E4606" s="9" t="s">
        <v>30</v>
      </c>
    </row>
    <row r="4607" spans="1:5" ht="15" customHeight="1" outlineLevel="2" x14ac:dyDescent="0.25">
      <c r="A4607" s="3" t="str">
        <f>HYPERLINK("http://mystore1.ru/price_items/search?utf8=%E2%9C%93&amp;oem=5158LGNP2FD","5158LGNP2FD")</f>
        <v>5158LGNP2FD</v>
      </c>
      <c r="B4607" s="1" t="s">
        <v>8802</v>
      </c>
      <c r="C4607" s="9" t="s">
        <v>8798</v>
      </c>
      <c r="D4607" s="14" t="s">
        <v>8803</v>
      </c>
      <c r="E4607" s="9" t="s">
        <v>11</v>
      </c>
    </row>
    <row r="4608" spans="1:5" ht="15" customHeight="1" outlineLevel="2" x14ac:dyDescent="0.25">
      <c r="A4608" s="3" t="str">
        <f>HYPERLINK("http://mystore1.ru/price_items/search?utf8=%E2%9C%93&amp;oem=5158LGNP4RDW","5158LGNP4RDW")</f>
        <v>5158LGNP4RDW</v>
      </c>
      <c r="B4608" s="1" t="s">
        <v>8804</v>
      </c>
      <c r="C4608" s="9" t="s">
        <v>8798</v>
      </c>
      <c r="D4608" s="14" t="s">
        <v>8805</v>
      </c>
      <c r="E4608" s="9" t="s">
        <v>11</v>
      </c>
    </row>
    <row r="4609" spans="1:5" ht="15" customHeight="1" outlineLevel="2" x14ac:dyDescent="0.25">
      <c r="A4609" s="3" t="str">
        <f>HYPERLINK("http://mystore1.ru/price_items/search?utf8=%E2%9C%93&amp;oem=5158RGNP2FD","5158RGNP2FD")</f>
        <v>5158RGNP2FD</v>
      </c>
      <c r="B4609" s="1" t="s">
        <v>8806</v>
      </c>
      <c r="C4609" s="9" t="s">
        <v>8798</v>
      </c>
      <c r="D4609" s="14" t="s">
        <v>8807</v>
      </c>
      <c r="E4609" s="9" t="s">
        <v>11</v>
      </c>
    </row>
    <row r="4610" spans="1:5" ht="15" customHeight="1" outlineLevel="2" x14ac:dyDescent="0.25">
      <c r="A4610" s="3" t="str">
        <f>HYPERLINK("http://mystore1.ru/price_items/search?utf8=%E2%9C%93&amp;oem=5158RGNP4RDW","5158RGNP4RDW")</f>
        <v>5158RGNP4RDW</v>
      </c>
      <c r="B4610" s="1" t="s">
        <v>8808</v>
      </c>
      <c r="C4610" s="9" t="s">
        <v>8798</v>
      </c>
      <c r="D4610" s="14" t="s">
        <v>8809</v>
      </c>
      <c r="E4610" s="9" t="s">
        <v>11</v>
      </c>
    </row>
    <row r="4611" spans="1:5" outlineLevel="1" x14ac:dyDescent="0.25">
      <c r="A4611" s="2"/>
      <c r="B4611" s="6" t="s">
        <v>8810</v>
      </c>
      <c r="C4611" s="8"/>
      <c r="D4611" s="8"/>
      <c r="E4611" s="8"/>
    </row>
    <row r="4612" spans="1:5" ht="15" customHeight="1" outlineLevel="2" x14ac:dyDescent="0.25">
      <c r="A4612" s="3" t="str">
        <f>HYPERLINK("http://mystore1.ru/price_items/search?utf8=%E2%9C%93&amp;oem=5170AGN","5170AGN")</f>
        <v>5170AGN</v>
      </c>
      <c r="B4612" s="1" t="s">
        <v>8811</v>
      </c>
      <c r="C4612" s="9" t="s">
        <v>7906</v>
      </c>
      <c r="D4612" s="14" t="s">
        <v>8812</v>
      </c>
      <c r="E4612" s="9" t="s">
        <v>8</v>
      </c>
    </row>
    <row r="4613" spans="1:5" outlineLevel="1" x14ac:dyDescent="0.25">
      <c r="A4613" s="2"/>
      <c r="B4613" s="6" t="s">
        <v>8813</v>
      </c>
      <c r="C4613" s="8"/>
      <c r="D4613" s="8"/>
      <c r="E4613" s="8"/>
    </row>
    <row r="4614" spans="1:5" ht="15" customHeight="1" outlineLevel="2" x14ac:dyDescent="0.25">
      <c r="A4614" s="3" t="str">
        <f>HYPERLINK("http://mystore1.ru/price_items/search?utf8=%E2%9C%93&amp;oem=5143ABL","5143ABL")</f>
        <v>5143ABL</v>
      </c>
      <c r="B4614" s="1" t="s">
        <v>8814</v>
      </c>
      <c r="C4614" s="9" t="s">
        <v>6358</v>
      </c>
      <c r="D4614" s="14" t="s">
        <v>8815</v>
      </c>
      <c r="E4614" s="9" t="s">
        <v>8</v>
      </c>
    </row>
    <row r="4615" spans="1:5" ht="15" customHeight="1" outlineLevel="2" x14ac:dyDescent="0.25">
      <c r="A4615" s="3" t="str">
        <f>HYPERLINK("http://mystore1.ru/price_items/search?utf8=%E2%9C%93&amp;oem=5143ABLBL","5143ABLBL")</f>
        <v>5143ABLBL</v>
      </c>
      <c r="B4615" s="1" t="s">
        <v>8816</v>
      </c>
      <c r="C4615" s="9" t="s">
        <v>6358</v>
      </c>
      <c r="D4615" s="14" t="s">
        <v>8817</v>
      </c>
      <c r="E4615" s="9" t="s">
        <v>8</v>
      </c>
    </row>
    <row r="4616" spans="1:5" ht="15" customHeight="1" outlineLevel="2" x14ac:dyDescent="0.25">
      <c r="A4616" s="3" t="str">
        <f>HYPERLINK("http://mystore1.ru/price_items/search?utf8=%E2%9C%93&amp;oem=5143ASMC","5143ASMC")</f>
        <v>5143ASMC</v>
      </c>
      <c r="B4616" s="1" t="s">
        <v>8818</v>
      </c>
      <c r="C4616" s="9" t="s">
        <v>25</v>
      </c>
      <c r="D4616" s="14" t="s">
        <v>8819</v>
      </c>
      <c r="E4616" s="9" t="s">
        <v>27</v>
      </c>
    </row>
    <row r="4617" spans="1:5" ht="15" customHeight="1" outlineLevel="2" x14ac:dyDescent="0.25">
      <c r="A4617" s="3" t="str">
        <f>HYPERLINK("http://mystore1.ru/price_items/search?utf8=%E2%9C%93&amp;oem=5143LBLC2FD","5143LBLC2FD")</f>
        <v>5143LBLC2FD</v>
      </c>
      <c r="B4617" s="1" t="s">
        <v>8820</v>
      </c>
      <c r="C4617" s="9" t="s">
        <v>6358</v>
      </c>
      <c r="D4617" s="14" t="s">
        <v>8821</v>
      </c>
      <c r="E4617" s="9" t="s">
        <v>11</v>
      </c>
    </row>
    <row r="4618" spans="1:5" ht="15" customHeight="1" outlineLevel="2" x14ac:dyDescent="0.25">
      <c r="A4618" s="3" t="str">
        <f>HYPERLINK("http://mystore1.ru/price_items/search?utf8=%E2%9C%93&amp;oem=5143RBLC2FD","5143RBLC2FD")</f>
        <v>5143RBLC2FD</v>
      </c>
      <c r="B4618" s="1" t="s">
        <v>8822</v>
      </c>
      <c r="C4618" s="9" t="s">
        <v>6358</v>
      </c>
      <c r="D4618" s="14" t="s">
        <v>8823</v>
      </c>
      <c r="E4618" s="9" t="s">
        <v>11</v>
      </c>
    </row>
    <row r="4619" spans="1:5" outlineLevel="1" x14ac:dyDescent="0.25">
      <c r="A4619" s="2"/>
      <c r="B4619" s="6" t="s">
        <v>8824</v>
      </c>
      <c r="C4619" s="8"/>
      <c r="D4619" s="8"/>
      <c r="E4619" s="8"/>
    </row>
    <row r="4620" spans="1:5" ht="15" customHeight="1" outlineLevel="2" x14ac:dyDescent="0.25">
      <c r="A4620" s="3" t="str">
        <f>HYPERLINK("http://mystore1.ru/price_items/search?utf8=%E2%9C%93&amp;oem=5167AGNZ","5167AGNZ")</f>
        <v>5167AGNZ</v>
      </c>
      <c r="B4620" s="1" t="s">
        <v>8825</v>
      </c>
      <c r="C4620" s="9" t="s">
        <v>6234</v>
      </c>
      <c r="D4620" s="14" t="s">
        <v>8826</v>
      </c>
      <c r="E4620" s="9" t="s">
        <v>8</v>
      </c>
    </row>
    <row r="4621" spans="1:5" outlineLevel="1" x14ac:dyDescent="0.25">
      <c r="A4621" s="2"/>
      <c r="B4621" s="6" t="s">
        <v>8827</v>
      </c>
      <c r="C4621" s="8"/>
      <c r="D4621" s="8"/>
      <c r="E4621" s="8"/>
    </row>
    <row r="4622" spans="1:5" ht="15" customHeight="1" outlineLevel="2" x14ac:dyDescent="0.25">
      <c r="A4622" s="3" t="str">
        <f>HYPERLINK("http://mystore1.ru/price_items/search?utf8=%E2%9C%93&amp;oem=5159AGN","5159AGN")</f>
        <v>5159AGN</v>
      </c>
      <c r="B4622" s="1" t="s">
        <v>8828</v>
      </c>
      <c r="C4622" s="9" t="s">
        <v>2031</v>
      </c>
      <c r="D4622" s="14" t="s">
        <v>8829</v>
      </c>
      <c r="E4622" s="9" t="s">
        <v>8</v>
      </c>
    </row>
    <row r="4623" spans="1:5" ht="15" customHeight="1" outlineLevel="2" x14ac:dyDescent="0.25">
      <c r="A4623" s="3" t="str">
        <f>HYPERLINK("http://mystore1.ru/price_items/search?utf8=%E2%9C%93&amp;oem=5159AGNBL","5159AGNBL")</f>
        <v>5159AGNBL</v>
      </c>
      <c r="B4623" s="1" t="s">
        <v>8830</v>
      </c>
      <c r="C4623" s="9" t="s">
        <v>2031</v>
      </c>
      <c r="D4623" s="14" t="s">
        <v>8831</v>
      </c>
      <c r="E4623" s="9" t="s">
        <v>8</v>
      </c>
    </row>
    <row r="4624" spans="1:5" ht="15" customHeight="1" outlineLevel="2" x14ac:dyDescent="0.25">
      <c r="A4624" s="3" t="str">
        <f>HYPERLINK("http://mystore1.ru/price_items/search?utf8=%E2%9C%93&amp;oem=5159AGNGN","5159AGNGN")</f>
        <v>5159AGNGN</v>
      </c>
      <c r="B4624" s="1" t="s">
        <v>8832</v>
      </c>
      <c r="C4624" s="9" t="s">
        <v>2031</v>
      </c>
      <c r="D4624" s="14" t="s">
        <v>8833</v>
      </c>
      <c r="E4624" s="9" t="s">
        <v>8</v>
      </c>
    </row>
    <row r="4625" spans="1:5" ht="15" customHeight="1" outlineLevel="2" x14ac:dyDescent="0.25">
      <c r="A4625" s="3" t="str">
        <f>HYPERLINK("http://mystore1.ru/price_items/search?utf8=%E2%9C%93&amp;oem=5159ASMV","5159ASMV")</f>
        <v>5159ASMV</v>
      </c>
      <c r="B4625" s="1" t="s">
        <v>8834</v>
      </c>
      <c r="C4625" s="9" t="s">
        <v>25</v>
      </c>
      <c r="D4625" s="14" t="s">
        <v>8835</v>
      </c>
      <c r="E4625" s="9" t="s">
        <v>27</v>
      </c>
    </row>
    <row r="4626" spans="1:5" ht="15" customHeight="1" outlineLevel="2" x14ac:dyDescent="0.25">
      <c r="A4626" s="3" t="str">
        <f>HYPERLINK("http://mystore1.ru/price_items/search?utf8=%E2%9C%93&amp;oem=5159LGNV5FD","5159LGNV5FD")</f>
        <v>5159LGNV5FD</v>
      </c>
      <c r="B4626" s="1" t="s">
        <v>8836</v>
      </c>
      <c r="C4626" s="9" t="s">
        <v>2031</v>
      </c>
      <c r="D4626" s="14" t="s">
        <v>8837</v>
      </c>
      <c r="E4626" s="9" t="s">
        <v>11</v>
      </c>
    </row>
    <row r="4627" spans="1:5" ht="15" customHeight="1" outlineLevel="2" x14ac:dyDescent="0.25">
      <c r="A4627" s="3" t="str">
        <f>HYPERLINK("http://mystore1.ru/price_items/search?utf8=%E2%9C%93&amp;oem=5159LGNV5RD","5159LGNV5RD")</f>
        <v>5159LGNV5RD</v>
      </c>
      <c r="B4627" s="1" t="s">
        <v>8838</v>
      </c>
      <c r="C4627" s="9" t="s">
        <v>2031</v>
      </c>
      <c r="D4627" s="14" t="s">
        <v>8839</v>
      </c>
      <c r="E4627" s="9" t="s">
        <v>11</v>
      </c>
    </row>
    <row r="4628" spans="1:5" ht="15" customHeight="1" outlineLevel="2" x14ac:dyDescent="0.25">
      <c r="A4628" s="3" t="str">
        <f>HYPERLINK("http://mystore1.ru/price_items/search?utf8=%E2%9C%93&amp;oem=5159LGNV5RV","5159LGNV5RV")</f>
        <v>5159LGNV5RV</v>
      </c>
      <c r="B4628" s="1" t="s">
        <v>8840</v>
      </c>
      <c r="C4628" s="9" t="s">
        <v>2031</v>
      </c>
      <c r="D4628" s="14" t="s">
        <v>8841</v>
      </c>
      <c r="E4628" s="9" t="s">
        <v>11</v>
      </c>
    </row>
    <row r="4629" spans="1:5" ht="15" customHeight="1" outlineLevel="2" x14ac:dyDescent="0.25">
      <c r="A4629" s="3" t="str">
        <f>HYPERLINK("http://mystore1.ru/price_items/search?utf8=%E2%9C%93&amp;oem=5159RGNV5FD","5159RGNV5FD")</f>
        <v>5159RGNV5FD</v>
      </c>
      <c r="B4629" s="1" t="s">
        <v>8842</v>
      </c>
      <c r="C4629" s="9" t="s">
        <v>2031</v>
      </c>
      <c r="D4629" s="14" t="s">
        <v>8843</v>
      </c>
      <c r="E4629" s="9" t="s">
        <v>11</v>
      </c>
    </row>
    <row r="4630" spans="1:5" ht="15" customHeight="1" outlineLevel="2" x14ac:dyDescent="0.25">
      <c r="A4630" s="3" t="str">
        <f>HYPERLINK("http://mystore1.ru/price_items/search?utf8=%E2%9C%93&amp;oem=5159RGNV5RD","5159RGNV5RD")</f>
        <v>5159RGNV5RD</v>
      </c>
      <c r="B4630" s="1" t="s">
        <v>8844</v>
      </c>
      <c r="C4630" s="9" t="s">
        <v>2031</v>
      </c>
      <c r="D4630" s="14" t="s">
        <v>8845</v>
      </c>
      <c r="E4630" s="9" t="s">
        <v>11</v>
      </c>
    </row>
    <row r="4631" spans="1:5" ht="15" customHeight="1" outlineLevel="2" x14ac:dyDescent="0.25">
      <c r="A4631" s="3" t="str">
        <f>HYPERLINK("http://mystore1.ru/price_items/search?utf8=%E2%9C%93&amp;oem=5159RGNV5RV","5159RGNV5RV")</f>
        <v>5159RGNV5RV</v>
      </c>
      <c r="B4631" s="1" t="s">
        <v>8846</v>
      </c>
      <c r="C4631" s="9" t="s">
        <v>2031</v>
      </c>
      <c r="D4631" s="14" t="s">
        <v>8847</v>
      </c>
      <c r="E4631" s="9" t="s">
        <v>11</v>
      </c>
    </row>
    <row r="4632" spans="1:5" outlineLevel="1" x14ac:dyDescent="0.25">
      <c r="A4632" s="2"/>
      <c r="B4632" s="6" t="s">
        <v>8848</v>
      </c>
      <c r="C4632" s="8"/>
      <c r="D4632" s="8"/>
      <c r="E4632" s="8"/>
    </row>
    <row r="4633" spans="1:5" ht="15" customHeight="1" outlineLevel="2" x14ac:dyDescent="0.25">
      <c r="A4633" s="3" t="str">
        <f>HYPERLINK("http://mystore1.ru/price_items/search?utf8=%E2%9C%93&amp;oem=5162AGSBLVW","5162AGSBLVW")</f>
        <v>5162AGSBLVW</v>
      </c>
      <c r="B4633" s="1" t="s">
        <v>8849</v>
      </c>
      <c r="C4633" s="9" t="s">
        <v>1423</v>
      </c>
      <c r="D4633" s="14" t="s">
        <v>8850</v>
      </c>
      <c r="E4633" s="9" t="s">
        <v>8</v>
      </c>
    </row>
    <row r="4634" spans="1:5" ht="15" customHeight="1" outlineLevel="2" x14ac:dyDescent="0.25">
      <c r="A4634" s="3" t="str">
        <f>HYPERLINK("http://mystore1.ru/price_items/search?utf8=%E2%9C%93&amp;oem=5162AGSVW","5162AGSVW")</f>
        <v>5162AGSVW</v>
      </c>
      <c r="B4634" s="1" t="s">
        <v>8851</v>
      </c>
      <c r="C4634" s="9" t="s">
        <v>1423</v>
      </c>
      <c r="D4634" s="14" t="s">
        <v>8852</v>
      </c>
      <c r="E4634" s="9" t="s">
        <v>8</v>
      </c>
    </row>
    <row r="4635" spans="1:5" ht="15" customHeight="1" outlineLevel="2" x14ac:dyDescent="0.25">
      <c r="A4635" s="3" t="str">
        <f>HYPERLINK("http://mystore1.ru/price_items/search?utf8=%E2%9C%93&amp;oem=5162ASMR","5162ASMR")</f>
        <v>5162ASMR</v>
      </c>
      <c r="B4635" s="1" t="s">
        <v>8853</v>
      </c>
      <c r="C4635" s="9" t="s">
        <v>25</v>
      </c>
      <c r="D4635" s="14" t="s">
        <v>8854</v>
      </c>
      <c r="E4635" s="9" t="s">
        <v>27</v>
      </c>
    </row>
    <row r="4636" spans="1:5" ht="15" customHeight="1" outlineLevel="2" x14ac:dyDescent="0.25">
      <c r="A4636" s="3" t="str">
        <f>HYPERLINK("http://mystore1.ru/price_items/search?utf8=%E2%9C%93&amp;oem=5162BGSR","5162BGSR")</f>
        <v>5162BGSR</v>
      </c>
      <c r="B4636" s="1" t="s">
        <v>8855</v>
      </c>
      <c r="C4636" s="9" t="s">
        <v>1423</v>
      </c>
      <c r="D4636" s="14" t="s">
        <v>8856</v>
      </c>
      <c r="E4636" s="9" t="s">
        <v>30</v>
      </c>
    </row>
    <row r="4637" spans="1:5" ht="15" customHeight="1" outlineLevel="2" x14ac:dyDescent="0.25">
      <c r="A4637" s="3" t="str">
        <f>HYPERLINK("http://mystore1.ru/price_items/search?utf8=%E2%9C%93&amp;oem=5162LGSR5FD","5162LGSR5FD")</f>
        <v>5162LGSR5FD</v>
      </c>
      <c r="B4637" s="1" t="s">
        <v>8857</v>
      </c>
      <c r="C4637" s="9" t="s">
        <v>1423</v>
      </c>
      <c r="D4637" s="14" t="s">
        <v>8858</v>
      </c>
      <c r="E4637" s="9" t="s">
        <v>11</v>
      </c>
    </row>
    <row r="4638" spans="1:5" ht="15" customHeight="1" outlineLevel="2" x14ac:dyDescent="0.25">
      <c r="A4638" s="3" t="str">
        <f>HYPERLINK("http://mystore1.ru/price_items/search?utf8=%E2%9C%93&amp;oem=5162LGSR5RD","5162LGSR5RD")</f>
        <v>5162LGSR5RD</v>
      </c>
      <c r="B4638" s="1" t="s">
        <v>8859</v>
      </c>
      <c r="C4638" s="9" t="s">
        <v>1423</v>
      </c>
      <c r="D4638" s="14" t="s">
        <v>8860</v>
      </c>
      <c r="E4638" s="9" t="s">
        <v>11</v>
      </c>
    </row>
    <row r="4639" spans="1:5" ht="15" customHeight="1" outlineLevel="2" x14ac:dyDescent="0.25">
      <c r="A4639" s="3" t="str">
        <f>HYPERLINK("http://mystore1.ru/price_items/search?utf8=%E2%9C%93&amp;oem=5162RGSR5FD","5162RGSR5FD")</f>
        <v>5162RGSR5FD</v>
      </c>
      <c r="B4639" s="1" t="s">
        <v>8861</v>
      </c>
      <c r="C4639" s="9" t="s">
        <v>1423</v>
      </c>
      <c r="D4639" s="14" t="s">
        <v>8862</v>
      </c>
      <c r="E4639" s="9" t="s">
        <v>11</v>
      </c>
    </row>
    <row r="4640" spans="1:5" ht="15" customHeight="1" outlineLevel="2" x14ac:dyDescent="0.25">
      <c r="A4640" s="3" t="str">
        <f>HYPERLINK("http://mystore1.ru/price_items/search?utf8=%E2%9C%93&amp;oem=5162RGSR5RD","5162RGSR5RD")</f>
        <v>5162RGSR5RD</v>
      </c>
      <c r="B4640" s="1" t="s">
        <v>8863</v>
      </c>
      <c r="C4640" s="9" t="s">
        <v>1423</v>
      </c>
      <c r="D4640" s="14" t="s">
        <v>8864</v>
      </c>
      <c r="E4640" s="9" t="s">
        <v>11</v>
      </c>
    </row>
    <row r="4641" spans="1:5" outlineLevel="1" x14ac:dyDescent="0.25">
      <c r="A4641" s="2"/>
      <c r="B4641" s="6" t="s">
        <v>8865</v>
      </c>
      <c r="C4641" s="8"/>
      <c r="D4641" s="8"/>
      <c r="E4641" s="8"/>
    </row>
    <row r="4642" spans="1:5" ht="15" customHeight="1" outlineLevel="2" x14ac:dyDescent="0.25">
      <c r="A4642" s="3" t="str">
        <f>HYPERLINK("http://mystore1.ru/price_items/search?utf8=%E2%9C%93&amp;oem=5144ABL","5144ABL")</f>
        <v>5144ABL</v>
      </c>
      <c r="B4642" s="1" t="s">
        <v>8866</v>
      </c>
      <c r="C4642" s="9" t="s">
        <v>8867</v>
      </c>
      <c r="D4642" s="14" t="s">
        <v>8868</v>
      </c>
      <c r="E4642" s="9" t="s">
        <v>8</v>
      </c>
    </row>
    <row r="4643" spans="1:5" ht="15" customHeight="1" outlineLevel="2" x14ac:dyDescent="0.25">
      <c r="A4643" s="3" t="str">
        <f>HYPERLINK("http://mystore1.ru/price_items/search?utf8=%E2%9C%93&amp;oem=5144ABLBL","5144ABLBL")</f>
        <v>5144ABLBL</v>
      </c>
      <c r="B4643" s="1" t="s">
        <v>8869</v>
      </c>
      <c r="C4643" s="9" t="s">
        <v>8867</v>
      </c>
      <c r="D4643" s="14" t="s">
        <v>8870</v>
      </c>
      <c r="E4643" s="9" t="s">
        <v>8</v>
      </c>
    </row>
    <row r="4644" spans="1:5" ht="15" customHeight="1" outlineLevel="2" x14ac:dyDescent="0.25">
      <c r="A4644" s="3" t="str">
        <f>HYPERLINK("http://mystore1.ru/price_items/search?utf8=%E2%9C%93&amp;oem=5144ABZ","5144ABZ")</f>
        <v>5144ABZ</v>
      </c>
      <c r="B4644" s="1" t="s">
        <v>8871</v>
      </c>
      <c r="C4644" s="9" t="s">
        <v>8867</v>
      </c>
      <c r="D4644" s="14" t="s">
        <v>8872</v>
      </c>
      <c r="E4644" s="9" t="s">
        <v>8</v>
      </c>
    </row>
    <row r="4645" spans="1:5" ht="15" customHeight="1" outlineLevel="2" x14ac:dyDescent="0.25">
      <c r="A4645" s="3" t="str">
        <f>HYPERLINK("http://mystore1.ru/price_items/search?utf8=%E2%9C%93&amp;oem=5144ABZBL","5144ABZBL")</f>
        <v>5144ABZBL</v>
      </c>
      <c r="B4645" s="1" t="s">
        <v>8873</v>
      </c>
      <c r="C4645" s="9" t="s">
        <v>8867</v>
      </c>
      <c r="D4645" s="14" t="s">
        <v>8874</v>
      </c>
      <c r="E4645" s="9" t="s">
        <v>8</v>
      </c>
    </row>
    <row r="4646" spans="1:5" ht="15" customHeight="1" outlineLevel="2" x14ac:dyDescent="0.25">
      <c r="A4646" s="3" t="str">
        <f>HYPERLINK("http://mystore1.ru/price_items/search?utf8=%E2%9C%93&amp;oem=5144AGY","5144AGY")</f>
        <v>5144AGY</v>
      </c>
      <c r="B4646" s="1" t="s">
        <v>8875</v>
      </c>
      <c r="C4646" s="9" t="s">
        <v>8867</v>
      </c>
      <c r="D4646" s="14" t="s">
        <v>8876</v>
      </c>
      <c r="E4646" s="9" t="s">
        <v>8</v>
      </c>
    </row>
    <row r="4647" spans="1:5" ht="15" customHeight="1" outlineLevel="2" x14ac:dyDescent="0.25">
      <c r="A4647" s="3" t="str">
        <f>HYPERLINK("http://mystore1.ru/price_items/search?utf8=%E2%9C%93&amp;oem=5144ASMS","5144ASMS")</f>
        <v>5144ASMS</v>
      </c>
      <c r="B4647" s="1" t="s">
        <v>8877</v>
      </c>
      <c r="C4647" s="9" t="s">
        <v>25</v>
      </c>
      <c r="D4647" s="14" t="s">
        <v>8878</v>
      </c>
      <c r="E4647" s="9" t="s">
        <v>27</v>
      </c>
    </row>
    <row r="4648" spans="1:5" outlineLevel="1" x14ac:dyDescent="0.25">
      <c r="A4648" s="2"/>
      <c r="B4648" s="6" t="s">
        <v>8879</v>
      </c>
      <c r="C4648" s="8"/>
      <c r="D4648" s="8"/>
      <c r="E4648" s="8"/>
    </row>
    <row r="4649" spans="1:5" outlineLevel="2" x14ac:dyDescent="0.25">
      <c r="A4649" s="3" t="str">
        <f>HYPERLINK("http://mystore1.ru/price_items/search?utf8=%E2%9C%93&amp;oem=5146AGNGN","5146AGNGN")</f>
        <v>5146AGNGN</v>
      </c>
      <c r="B4649" s="1" t="s">
        <v>8880</v>
      </c>
      <c r="C4649" s="9" t="s">
        <v>3403</v>
      </c>
      <c r="D4649" s="14" t="s">
        <v>8881</v>
      </c>
      <c r="E4649" s="9" t="s">
        <v>8</v>
      </c>
    </row>
    <row r="4650" spans="1:5" outlineLevel="2" x14ac:dyDescent="0.25">
      <c r="A4650" s="3" t="str">
        <f>HYPERLINK("http://mystore1.ru/price_items/search?utf8=%E2%9C%93&amp;oem=5146AGNGN1C","5146AGNGN1C")</f>
        <v>5146AGNGN1C</v>
      </c>
      <c r="B4650" s="1" t="s">
        <v>8882</v>
      </c>
      <c r="C4650" s="9" t="s">
        <v>3403</v>
      </c>
      <c r="D4650" s="14" t="s">
        <v>8883</v>
      </c>
      <c r="E4650" s="9" t="s">
        <v>8</v>
      </c>
    </row>
    <row r="4651" spans="1:5" x14ac:dyDescent="0.25">
      <c r="A4651" s="61" t="s">
        <v>8884</v>
      </c>
      <c r="B4651" s="61"/>
      <c r="C4651" s="61"/>
      <c r="D4651" s="61"/>
      <c r="E4651" s="61"/>
    </row>
    <row r="4652" spans="1:5" outlineLevel="1" x14ac:dyDescent="0.25">
      <c r="A4652" s="2"/>
      <c r="B4652" s="6" t="s">
        <v>8885</v>
      </c>
      <c r="C4652" s="8"/>
      <c r="D4652" s="8"/>
      <c r="E4652" s="8"/>
    </row>
    <row r="4653" spans="1:5" ht="15" customHeight="1" outlineLevel="2" x14ac:dyDescent="0.25">
      <c r="A4653" s="3" t="str">
        <f>HYPERLINK("http://mystore1.ru/price_items/search?utf8=%E2%9C%93&amp;oem=5350ABS","5350ABS")</f>
        <v>5350ABS</v>
      </c>
      <c r="B4653" s="1" t="s">
        <v>8886</v>
      </c>
      <c r="C4653" s="9" t="s">
        <v>564</v>
      </c>
      <c r="D4653" s="14" t="s">
        <v>8887</v>
      </c>
      <c r="E4653" s="9" t="s">
        <v>8</v>
      </c>
    </row>
    <row r="4654" spans="1:5" ht="15" customHeight="1" outlineLevel="2" x14ac:dyDescent="0.25">
      <c r="A4654" s="3" t="str">
        <f>HYPERLINK("http://mystore1.ru/price_items/search?utf8=%E2%9C%93&amp;oem=5350AGS","5350AGS")</f>
        <v>5350AGS</v>
      </c>
      <c r="B4654" s="1" t="s">
        <v>8888</v>
      </c>
      <c r="C4654" s="9" t="s">
        <v>564</v>
      </c>
      <c r="D4654" s="14" t="s">
        <v>8889</v>
      </c>
      <c r="E4654" s="9" t="s">
        <v>8</v>
      </c>
    </row>
    <row r="4655" spans="1:5" ht="15" customHeight="1" outlineLevel="2" x14ac:dyDescent="0.25">
      <c r="A4655" s="3" t="str">
        <f>HYPERLINK("http://mystore1.ru/price_items/search?utf8=%E2%9C%93&amp;oem=5350ASMH","5350ASMH")</f>
        <v>5350ASMH</v>
      </c>
      <c r="B4655" s="1" t="s">
        <v>8890</v>
      </c>
      <c r="C4655" s="9" t="s">
        <v>25</v>
      </c>
      <c r="D4655" s="14" t="s">
        <v>8891</v>
      </c>
      <c r="E4655" s="9" t="s">
        <v>27</v>
      </c>
    </row>
    <row r="4656" spans="1:5" ht="15" customHeight="1" outlineLevel="2" x14ac:dyDescent="0.25">
      <c r="A4656" s="3" t="str">
        <f>HYPERLINK("http://mystore1.ru/price_items/search?utf8=%E2%9C%93&amp;oem=5350LBSH3FD","5350LBSH3FD")</f>
        <v>5350LBSH3FD</v>
      </c>
      <c r="B4656" s="1" t="s">
        <v>8892</v>
      </c>
      <c r="C4656" s="9" t="s">
        <v>564</v>
      </c>
      <c r="D4656" s="14" t="s">
        <v>8893</v>
      </c>
      <c r="E4656" s="9" t="s">
        <v>11</v>
      </c>
    </row>
    <row r="4657" spans="1:5" ht="15" customHeight="1" outlineLevel="2" x14ac:dyDescent="0.25">
      <c r="A4657" s="3" t="str">
        <f>HYPERLINK("http://mystore1.ru/price_items/search?utf8=%E2%9C%93&amp;oem=5350LBSH3FVZ","5350LBSH3FVZ")</f>
        <v>5350LBSH3FVZ</v>
      </c>
      <c r="B4657" s="1" t="s">
        <v>8894</v>
      </c>
      <c r="C4657" s="9" t="s">
        <v>564</v>
      </c>
      <c r="D4657" s="14" t="s">
        <v>8895</v>
      </c>
      <c r="E4657" s="9" t="s">
        <v>11</v>
      </c>
    </row>
    <row r="4658" spans="1:5" ht="15" customHeight="1" outlineLevel="2" x14ac:dyDescent="0.25">
      <c r="A4658" s="3" t="str">
        <f>HYPERLINK("http://mystore1.ru/price_items/search?utf8=%E2%9C%93&amp;oem=5350LBST2FD","5350LBST2FD")</f>
        <v>5350LBST2FD</v>
      </c>
      <c r="B4658" s="1" t="s">
        <v>8896</v>
      </c>
      <c r="C4658" s="9" t="s">
        <v>564</v>
      </c>
      <c r="D4658" s="14" t="s">
        <v>8893</v>
      </c>
      <c r="E4658" s="9" t="s">
        <v>11</v>
      </c>
    </row>
    <row r="4659" spans="1:5" ht="15" customHeight="1" outlineLevel="2" x14ac:dyDescent="0.25">
      <c r="A4659" s="3" t="str">
        <f>HYPERLINK("http://mystore1.ru/price_items/search?utf8=%E2%9C%93&amp;oem=5350LBST2FVZ","5350LBST2FVZ")</f>
        <v>5350LBST2FVZ</v>
      </c>
      <c r="B4659" s="1" t="s">
        <v>8897</v>
      </c>
      <c r="C4659" s="9" t="s">
        <v>564</v>
      </c>
      <c r="D4659" s="14" t="s">
        <v>8895</v>
      </c>
      <c r="E4659" s="9" t="s">
        <v>11</v>
      </c>
    </row>
    <row r="4660" spans="1:5" ht="15" customHeight="1" outlineLevel="2" x14ac:dyDescent="0.25">
      <c r="A4660" s="3" t="str">
        <f>HYPERLINK("http://mystore1.ru/price_items/search?utf8=%E2%9C%93&amp;oem=5350LGNH3FD","5350LGNH3FD")</f>
        <v>5350LGNH3FD</v>
      </c>
      <c r="B4660" s="1" t="s">
        <v>8898</v>
      </c>
      <c r="C4660" s="9" t="s">
        <v>564</v>
      </c>
      <c r="D4660" s="14" t="s">
        <v>8899</v>
      </c>
      <c r="E4660" s="9" t="s">
        <v>11</v>
      </c>
    </row>
    <row r="4661" spans="1:5" ht="15" customHeight="1" outlineLevel="2" x14ac:dyDescent="0.25">
      <c r="A4661" s="3" t="str">
        <f>HYPERLINK("http://mystore1.ru/price_items/search?utf8=%E2%9C%93&amp;oem=5350LGNH3FVZ","5350LGNH3FVZ")</f>
        <v>5350LGNH3FVZ</v>
      </c>
      <c r="B4661" s="1" t="s">
        <v>8900</v>
      </c>
      <c r="C4661" s="9" t="s">
        <v>564</v>
      </c>
      <c r="D4661" s="14" t="s">
        <v>8901</v>
      </c>
      <c r="E4661" s="9" t="s">
        <v>11</v>
      </c>
    </row>
    <row r="4662" spans="1:5" ht="15" customHeight="1" outlineLevel="2" x14ac:dyDescent="0.25">
      <c r="A4662" s="3" t="str">
        <f>HYPERLINK("http://mystore1.ru/price_items/search?utf8=%E2%9C%93&amp;oem=5350LGNT2FD","5350LGNT2FD")</f>
        <v>5350LGNT2FD</v>
      </c>
      <c r="B4662" s="1" t="s">
        <v>8902</v>
      </c>
      <c r="C4662" s="9" t="s">
        <v>564</v>
      </c>
      <c r="D4662" s="14" t="s">
        <v>8903</v>
      </c>
      <c r="E4662" s="9" t="s">
        <v>11</v>
      </c>
    </row>
    <row r="4663" spans="1:5" ht="15" customHeight="1" outlineLevel="2" x14ac:dyDescent="0.25">
      <c r="A4663" s="3" t="str">
        <f>HYPERLINK("http://mystore1.ru/price_items/search?utf8=%E2%9C%93&amp;oem=5350LGNT2FVZ","5350LGNT2FVZ")</f>
        <v>5350LGNT2FVZ</v>
      </c>
      <c r="B4663" s="1" t="s">
        <v>8904</v>
      </c>
      <c r="C4663" s="9" t="s">
        <v>564</v>
      </c>
      <c r="D4663" s="14" t="s">
        <v>8905</v>
      </c>
      <c r="E4663" s="9" t="s">
        <v>11</v>
      </c>
    </row>
    <row r="4664" spans="1:5" ht="15" customHeight="1" outlineLevel="2" x14ac:dyDescent="0.25">
      <c r="A4664" s="3" t="str">
        <f>HYPERLINK("http://mystore1.ru/price_items/search?utf8=%E2%9C%93&amp;oem=5350RBSH3FD","5350RBSH3FD")</f>
        <v>5350RBSH3FD</v>
      </c>
      <c r="B4664" s="1" t="s">
        <v>8906</v>
      </c>
      <c r="C4664" s="9" t="s">
        <v>564</v>
      </c>
      <c r="D4664" s="14" t="s">
        <v>8907</v>
      </c>
      <c r="E4664" s="9" t="s">
        <v>11</v>
      </c>
    </row>
    <row r="4665" spans="1:5" ht="15" customHeight="1" outlineLevel="2" x14ac:dyDescent="0.25">
      <c r="A4665" s="3" t="str">
        <f>HYPERLINK("http://mystore1.ru/price_items/search?utf8=%E2%9C%93&amp;oem=5350RBSH3FVZ","5350RBSH3FVZ")</f>
        <v>5350RBSH3FVZ</v>
      </c>
      <c r="B4665" s="1" t="s">
        <v>8908</v>
      </c>
      <c r="C4665" s="9" t="s">
        <v>564</v>
      </c>
      <c r="D4665" s="14" t="s">
        <v>8909</v>
      </c>
      <c r="E4665" s="9" t="s">
        <v>11</v>
      </c>
    </row>
    <row r="4666" spans="1:5" ht="15" customHeight="1" outlineLevel="2" x14ac:dyDescent="0.25">
      <c r="A4666" s="3" t="str">
        <f>HYPERLINK("http://mystore1.ru/price_items/search?utf8=%E2%9C%93&amp;oem=5350RBST2FD","5350RBST2FD")</f>
        <v>5350RBST2FD</v>
      </c>
      <c r="B4666" s="1" t="s">
        <v>8910</v>
      </c>
      <c r="C4666" s="9" t="s">
        <v>564</v>
      </c>
      <c r="D4666" s="14" t="s">
        <v>8907</v>
      </c>
      <c r="E4666" s="9" t="s">
        <v>11</v>
      </c>
    </row>
    <row r="4667" spans="1:5" ht="15" customHeight="1" outlineLevel="2" x14ac:dyDescent="0.25">
      <c r="A4667" s="3" t="str">
        <f>HYPERLINK("http://mystore1.ru/price_items/search?utf8=%E2%9C%93&amp;oem=5350RBST2FVZ","5350RBST2FVZ")</f>
        <v>5350RBST2FVZ</v>
      </c>
      <c r="B4667" s="1" t="s">
        <v>8911</v>
      </c>
      <c r="C4667" s="9" t="s">
        <v>564</v>
      </c>
      <c r="D4667" s="14" t="s">
        <v>8909</v>
      </c>
      <c r="E4667" s="9" t="s">
        <v>11</v>
      </c>
    </row>
    <row r="4668" spans="1:5" ht="15" customHeight="1" outlineLevel="2" x14ac:dyDescent="0.25">
      <c r="A4668" s="3" t="str">
        <f>HYPERLINK("http://mystore1.ru/price_items/search?utf8=%E2%9C%93&amp;oem=5350RGNH3FD","5350RGNH3FD")</f>
        <v>5350RGNH3FD</v>
      </c>
      <c r="B4668" s="1" t="s">
        <v>8912</v>
      </c>
      <c r="C4668" s="9" t="s">
        <v>564</v>
      </c>
      <c r="D4668" s="14" t="s">
        <v>8913</v>
      </c>
      <c r="E4668" s="9" t="s">
        <v>11</v>
      </c>
    </row>
    <row r="4669" spans="1:5" ht="15" customHeight="1" outlineLevel="2" x14ac:dyDescent="0.25">
      <c r="A4669" s="3" t="str">
        <f>HYPERLINK("http://mystore1.ru/price_items/search?utf8=%E2%9C%93&amp;oem=5350RGNH3FVZ","5350RGNH3FVZ")</f>
        <v>5350RGNH3FVZ</v>
      </c>
      <c r="B4669" s="1" t="s">
        <v>8914</v>
      </c>
      <c r="C4669" s="9" t="s">
        <v>564</v>
      </c>
      <c r="D4669" s="14" t="s">
        <v>8915</v>
      </c>
      <c r="E4669" s="9" t="s">
        <v>11</v>
      </c>
    </row>
    <row r="4670" spans="1:5" ht="15" customHeight="1" outlineLevel="2" x14ac:dyDescent="0.25">
      <c r="A4670" s="3" t="str">
        <f>HYPERLINK("http://mystore1.ru/price_items/search?utf8=%E2%9C%93&amp;oem=5350RGNT2FD","5350RGNT2FD")</f>
        <v>5350RGNT2FD</v>
      </c>
      <c r="B4670" s="1" t="s">
        <v>8916</v>
      </c>
      <c r="C4670" s="9" t="s">
        <v>564</v>
      </c>
      <c r="D4670" s="14" t="s">
        <v>8917</v>
      </c>
      <c r="E4670" s="9" t="s">
        <v>11</v>
      </c>
    </row>
    <row r="4671" spans="1:5" ht="15" customHeight="1" outlineLevel="2" x14ac:dyDescent="0.25">
      <c r="A4671" s="3" t="str">
        <f>HYPERLINK("http://mystore1.ru/price_items/search?utf8=%E2%9C%93&amp;oem=5350RGNT2FVZ","5350RGNT2FVZ")</f>
        <v>5350RGNT2FVZ</v>
      </c>
      <c r="B4671" s="1" t="s">
        <v>8918</v>
      </c>
      <c r="C4671" s="9" t="s">
        <v>564</v>
      </c>
      <c r="D4671" s="14" t="s">
        <v>8919</v>
      </c>
      <c r="E4671" s="9" t="s">
        <v>11</v>
      </c>
    </row>
    <row r="4672" spans="1:5" outlineLevel="1" x14ac:dyDescent="0.25">
      <c r="A4672" s="2"/>
      <c r="B4672" s="6" t="s">
        <v>8920</v>
      </c>
      <c r="C4672" s="8"/>
      <c r="D4672" s="8"/>
      <c r="E4672" s="8"/>
    </row>
    <row r="4673" spans="1:5" ht="15" customHeight="1" outlineLevel="2" x14ac:dyDescent="0.25">
      <c r="A4673" s="3" t="str">
        <f>HYPERLINK("http://mystore1.ru/price_items/search?utf8=%E2%9C%93&amp;oem=5359ABSV","5359ABSV")</f>
        <v>5359ABSV</v>
      </c>
      <c r="B4673" s="1" t="s">
        <v>8921</v>
      </c>
      <c r="C4673" s="9" t="s">
        <v>1880</v>
      </c>
      <c r="D4673" s="14" t="s">
        <v>8922</v>
      </c>
      <c r="E4673" s="9" t="s">
        <v>8</v>
      </c>
    </row>
    <row r="4674" spans="1:5" ht="15" customHeight="1" outlineLevel="2" x14ac:dyDescent="0.25">
      <c r="A4674" s="3" t="str">
        <f>HYPERLINK("http://mystore1.ru/price_items/search?utf8=%E2%9C%93&amp;oem=5359AGSMV1B","5359AGSMV1B")</f>
        <v>5359AGSMV1B</v>
      </c>
      <c r="B4674" s="1" t="s">
        <v>8923</v>
      </c>
      <c r="C4674" s="9" t="s">
        <v>1880</v>
      </c>
      <c r="D4674" s="14" t="s">
        <v>8924</v>
      </c>
      <c r="E4674" s="9" t="s">
        <v>8</v>
      </c>
    </row>
    <row r="4675" spans="1:5" ht="15" customHeight="1" outlineLevel="2" x14ac:dyDescent="0.25">
      <c r="A4675" s="3" t="str">
        <f>HYPERLINK("http://mystore1.ru/price_items/search?utf8=%E2%9C%93&amp;oem=5359AGSV","5359AGSV")</f>
        <v>5359AGSV</v>
      </c>
      <c r="B4675" s="1" t="s">
        <v>8925</v>
      </c>
      <c r="C4675" s="9" t="s">
        <v>1880</v>
      </c>
      <c r="D4675" s="14" t="s">
        <v>8926</v>
      </c>
      <c r="E4675" s="9" t="s">
        <v>8</v>
      </c>
    </row>
    <row r="4676" spans="1:5" ht="15" customHeight="1" outlineLevel="2" x14ac:dyDescent="0.25">
      <c r="A4676" s="3" t="str">
        <f>HYPERLINK("http://mystore1.ru/price_items/search?utf8=%E2%9C%93&amp;oem=5359ASMH","5359ASMH")</f>
        <v>5359ASMH</v>
      </c>
      <c r="B4676" s="1" t="s">
        <v>8927</v>
      </c>
      <c r="C4676" s="9" t="s">
        <v>25</v>
      </c>
      <c r="D4676" s="14" t="s">
        <v>8928</v>
      </c>
      <c r="E4676" s="9" t="s">
        <v>27</v>
      </c>
    </row>
    <row r="4677" spans="1:5" ht="15" customHeight="1" outlineLevel="2" x14ac:dyDescent="0.25">
      <c r="A4677" s="3" t="str">
        <f>HYPERLINK("http://mystore1.ru/price_items/search?utf8=%E2%9C%93&amp;oem=5359BBDHW","5359BBDHW")</f>
        <v>5359BBDHW</v>
      </c>
      <c r="B4677" s="1" t="s">
        <v>8929</v>
      </c>
      <c r="C4677" s="9" t="s">
        <v>1880</v>
      </c>
      <c r="D4677" s="14" t="s">
        <v>8930</v>
      </c>
      <c r="E4677" s="9" t="s">
        <v>30</v>
      </c>
    </row>
    <row r="4678" spans="1:5" ht="15" customHeight="1" outlineLevel="2" x14ac:dyDescent="0.25">
      <c r="A4678" s="3" t="str">
        <f>HYPERLINK("http://mystore1.ru/price_items/search?utf8=%E2%9C%93&amp;oem=5359BGSHW","5359BGSHW")</f>
        <v>5359BGSHW</v>
      </c>
      <c r="B4678" s="1" t="s">
        <v>8931</v>
      </c>
      <c r="C4678" s="9" t="s">
        <v>1880</v>
      </c>
      <c r="D4678" s="14" t="s">
        <v>8932</v>
      </c>
      <c r="E4678" s="9" t="s">
        <v>30</v>
      </c>
    </row>
    <row r="4679" spans="1:5" ht="15" customHeight="1" outlineLevel="2" x14ac:dyDescent="0.25">
      <c r="A4679" s="3" t="str">
        <f>HYPERLINK("http://mystore1.ru/price_items/search?utf8=%E2%9C%93&amp;oem=5359LBSH5RD","5359LBSH5RD")</f>
        <v>5359LBSH5RD</v>
      </c>
      <c r="B4679" s="1" t="s">
        <v>8933</v>
      </c>
      <c r="C4679" s="9" t="s">
        <v>1880</v>
      </c>
      <c r="D4679" s="14" t="s">
        <v>8934</v>
      </c>
      <c r="E4679" s="9" t="s">
        <v>11</v>
      </c>
    </row>
    <row r="4680" spans="1:5" ht="15" customHeight="1" outlineLevel="2" x14ac:dyDescent="0.25">
      <c r="A4680" s="3" t="str">
        <f>HYPERLINK("http://mystore1.ru/price_items/search?utf8=%E2%9C%93&amp;oem=5359LGSH5FD","5359LGSH5FD")</f>
        <v>5359LGSH5FD</v>
      </c>
      <c r="B4680" s="1" t="s">
        <v>8935</v>
      </c>
      <c r="C4680" s="9" t="s">
        <v>1880</v>
      </c>
      <c r="D4680" s="14" t="s">
        <v>8936</v>
      </c>
      <c r="E4680" s="9" t="s">
        <v>11</v>
      </c>
    </row>
    <row r="4681" spans="1:5" ht="15" customHeight="1" outlineLevel="2" x14ac:dyDescent="0.25">
      <c r="A4681" s="3" t="str">
        <f>HYPERLINK("http://mystore1.ru/price_items/search?utf8=%E2%9C%93&amp;oem=5359LGSH5RD","5359LGSH5RD")</f>
        <v>5359LGSH5RD</v>
      </c>
      <c r="B4681" s="1" t="s">
        <v>8937</v>
      </c>
      <c r="C4681" s="9" t="s">
        <v>1880</v>
      </c>
      <c r="D4681" s="14" t="s">
        <v>8938</v>
      </c>
      <c r="E4681" s="9" t="s">
        <v>11</v>
      </c>
    </row>
    <row r="4682" spans="1:5" ht="15" customHeight="1" outlineLevel="2" x14ac:dyDescent="0.25">
      <c r="A4682" s="3" t="str">
        <f>HYPERLINK("http://mystore1.ru/price_items/search?utf8=%E2%9C%93&amp;oem=5359RBSH5FD","5359RBSH5FD")</f>
        <v>5359RBSH5FD</v>
      </c>
      <c r="B4682" s="1" t="s">
        <v>8939</v>
      </c>
      <c r="C4682" s="9" t="s">
        <v>1880</v>
      </c>
      <c r="D4682" s="14" t="s">
        <v>8940</v>
      </c>
      <c r="E4682" s="9" t="s">
        <v>11</v>
      </c>
    </row>
    <row r="4683" spans="1:5" ht="15" customHeight="1" outlineLevel="2" x14ac:dyDescent="0.25">
      <c r="A4683" s="3" t="str">
        <f>HYPERLINK("http://mystore1.ru/price_items/search?utf8=%E2%9C%93&amp;oem=5359RGSH5FD","5359RGSH5FD")</f>
        <v>5359RGSH5FD</v>
      </c>
      <c r="B4683" s="1" t="s">
        <v>8941</v>
      </c>
      <c r="C4683" s="9" t="s">
        <v>1880</v>
      </c>
      <c r="D4683" s="14" t="s">
        <v>8942</v>
      </c>
      <c r="E4683" s="9" t="s">
        <v>11</v>
      </c>
    </row>
    <row r="4684" spans="1:5" ht="15" customHeight="1" outlineLevel="2" x14ac:dyDescent="0.25">
      <c r="A4684" s="3" t="str">
        <f>HYPERLINK("http://mystore1.ru/price_items/search?utf8=%E2%9C%93&amp;oem=5359RGSH5RD","5359RGSH5RD")</f>
        <v>5359RGSH5RD</v>
      </c>
      <c r="B4684" s="1" t="s">
        <v>8943</v>
      </c>
      <c r="C4684" s="9" t="s">
        <v>1880</v>
      </c>
      <c r="D4684" s="14" t="s">
        <v>8944</v>
      </c>
      <c r="E4684" s="9" t="s">
        <v>11</v>
      </c>
    </row>
    <row r="4685" spans="1:5" outlineLevel="1" x14ac:dyDescent="0.25">
      <c r="A4685" s="2"/>
      <c r="B4685" s="6" t="s">
        <v>8945</v>
      </c>
      <c r="C4685" s="8"/>
      <c r="D4685" s="8"/>
      <c r="E4685" s="8"/>
    </row>
    <row r="4686" spans="1:5" outlineLevel="2" x14ac:dyDescent="0.25">
      <c r="A4686" s="3" t="str">
        <f>HYPERLINK("http://mystore1.ru/price_items/search?utf8=%E2%9C%93&amp;oem=5368AGSMV1B","5368AGSMV1B")</f>
        <v>5368AGSMV1B</v>
      </c>
      <c r="B4686" s="1" t="s">
        <v>8946</v>
      </c>
      <c r="C4686" s="9" t="s">
        <v>511</v>
      </c>
      <c r="D4686" s="14" t="s">
        <v>8947</v>
      </c>
      <c r="E4686" s="9" t="s">
        <v>8</v>
      </c>
    </row>
    <row r="4687" spans="1:5" outlineLevel="2" x14ac:dyDescent="0.25">
      <c r="A4687" s="3" t="str">
        <f>HYPERLINK("http://mystore1.ru/price_items/search?utf8=%E2%9C%93&amp;oem=5368AGSV","5368AGSV")</f>
        <v>5368AGSV</v>
      </c>
      <c r="B4687" s="1" t="s">
        <v>8948</v>
      </c>
      <c r="C4687" s="9" t="s">
        <v>511</v>
      </c>
      <c r="D4687" s="14" t="s">
        <v>8949</v>
      </c>
      <c r="E4687" s="9" t="s">
        <v>8</v>
      </c>
    </row>
    <row r="4688" spans="1:5" outlineLevel="2" x14ac:dyDescent="0.25">
      <c r="A4688" s="3" t="str">
        <f>HYPERLINK("http://mystore1.ru/price_items/search?utf8=%E2%9C%93&amp;oem=5368BGSHOW","5368BGSHOW")</f>
        <v>5368BGSHOW</v>
      </c>
      <c r="B4688" s="1" t="s">
        <v>8950</v>
      </c>
      <c r="C4688" s="9" t="s">
        <v>511</v>
      </c>
      <c r="D4688" s="14" t="s">
        <v>8951</v>
      </c>
      <c r="E4688" s="9" t="s">
        <v>30</v>
      </c>
    </row>
    <row r="4689" spans="1:5" outlineLevel="2" x14ac:dyDescent="0.25">
      <c r="A4689" s="3" t="str">
        <f>HYPERLINK("http://mystore1.ru/price_items/search?utf8=%E2%9C%93&amp;oem=5368LGNH3FD","5368LGNH3FD")</f>
        <v>5368LGNH3FD</v>
      </c>
      <c r="B4689" s="1" t="s">
        <v>8952</v>
      </c>
      <c r="C4689" s="9" t="s">
        <v>511</v>
      </c>
      <c r="D4689" s="14" t="s">
        <v>8953</v>
      </c>
      <c r="E4689" s="9" t="s">
        <v>11</v>
      </c>
    </row>
    <row r="4690" spans="1:5" outlineLevel="2" x14ac:dyDescent="0.25">
      <c r="A4690" s="3" t="str">
        <f>HYPERLINK("http://mystore1.ru/price_items/search?utf8=%E2%9C%93&amp;oem=5368LGNH3FVZ","5368LGNH3FVZ")</f>
        <v>5368LGNH3FVZ</v>
      </c>
      <c r="B4690" s="1" t="s">
        <v>8954</v>
      </c>
      <c r="C4690" s="9" t="s">
        <v>511</v>
      </c>
      <c r="D4690" s="14" t="s">
        <v>8955</v>
      </c>
      <c r="E4690" s="9" t="s">
        <v>11</v>
      </c>
    </row>
    <row r="4691" spans="1:5" outlineLevel="2" x14ac:dyDescent="0.25">
      <c r="A4691" s="3" t="str">
        <f>HYPERLINK("http://mystore1.ru/price_items/search?utf8=%E2%9C%93&amp;oem=5368RGNH3FD","5368RGNH3FD")</f>
        <v>5368RGNH3FD</v>
      </c>
      <c r="B4691" s="1" t="s">
        <v>8956</v>
      </c>
      <c r="C4691" s="9" t="s">
        <v>511</v>
      </c>
      <c r="D4691" s="14" t="s">
        <v>8957</v>
      </c>
      <c r="E4691" s="9" t="s">
        <v>11</v>
      </c>
    </row>
    <row r="4692" spans="1:5" outlineLevel="2" x14ac:dyDescent="0.25">
      <c r="A4692" s="3" t="str">
        <f>HYPERLINK("http://mystore1.ru/price_items/search?utf8=%E2%9C%93&amp;oem=5368RGNH3FVZ","5368RGNH3FVZ")</f>
        <v>5368RGNH3FVZ</v>
      </c>
      <c r="B4692" s="1" t="s">
        <v>8958</v>
      </c>
      <c r="C4692" s="9" t="s">
        <v>511</v>
      </c>
      <c r="D4692" s="14" t="s">
        <v>8959</v>
      </c>
      <c r="E4692" s="9" t="s">
        <v>11</v>
      </c>
    </row>
    <row r="4693" spans="1:5" x14ac:dyDescent="0.25">
      <c r="A4693" s="61" t="s">
        <v>8960</v>
      </c>
      <c r="B4693" s="61"/>
      <c r="C4693" s="61"/>
      <c r="D4693" s="61"/>
      <c r="E4693" s="61"/>
    </row>
    <row r="4694" spans="1:5" outlineLevel="1" x14ac:dyDescent="0.25">
      <c r="A4694" s="2"/>
      <c r="B4694" s="6" t="s">
        <v>8961</v>
      </c>
      <c r="C4694" s="8"/>
      <c r="D4694" s="8"/>
      <c r="E4694" s="8"/>
    </row>
    <row r="4695" spans="1:5" ht="15" customHeight="1" outlineLevel="2" x14ac:dyDescent="0.25">
      <c r="A4695" s="3" t="str">
        <f>HYPERLINK("http://mystore1.ru/price_items/search?utf8=%E2%9C%93&amp;oem=5358AGSBLMV1B","5358AGSBLMV1B")</f>
        <v>5358AGSBLMV1B</v>
      </c>
      <c r="B4695" s="1" t="s">
        <v>8962</v>
      </c>
      <c r="C4695" s="9" t="s">
        <v>747</v>
      </c>
      <c r="D4695" s="14" t="s">
        <v>8963</v>
      </c>
      <c r="E4695" s="9" t="s">
        <v>8</v>
      </c>
    </row>
    <row r="4696" spans="1:5" ht="15" customHeight="1" outlineLevel="2" x14ac:dyDescent="0.25">
      <c r="A4696" s="3" t="str">
        <f>HYPERLINK("http://mystore1.ru/price_items/search?utf8=%E2%9C%93&amp;oem=5358AGSBLV","5358AGSBLV")</f>
        <v>5358AGSBLV</v>
      </c>
      <c r="B4696" s="1" t="s">
        <v>8964</v>
      </c>
      <c r="C4696" s="9" t="s">
        <v>747</v>
      </c>
      <c r="D4696" s="14" t="s">
        <v>8965</v>
      </c>
      <c r="E4696" s="9" t="s">
        <v>8</v>
      </c>
    </row>
    <row r="4697" spans="1:5" ht="15" customHeight="1" outlineLevel="2" x14ac:dyDescent="0.25">
      <c r="A4697" s="3" t="str">
        <f>HYPERLINK("http://mystore1.ru/price_items/search?utf8=%E2%9C%93&amp;oem=5358AGSV","5358AGSV")</f>
        <v>5358AGSV</v>
      </c>
      <c r="B4697" s="1" t="s">
        <v>8966</v>
      </c>
      <c r="C4697" s="9" t="s">
        <v>747</v>
      </c>
      <c r="D4697" s="14" t="s">
        <v>8967</v>
      </c>
      <c r="E4697" s="9" t="s">
        <v>8</v>
      </c>
    </row>
    <row r="4698" spans="1:5" ht="15" customHeight="1" outlineLevel="2" x14ac:dyDescent="0.25">
      <c r="A4698" s="3" t="str">
        <f>HYPERLINK("http://mystore1.ru/price_items/search?utf8=%E2%9C%93&amp;oem=5358BGSHB","5358BGSHB")</f>
        <v>5358BGSHB</v>
      </c>
      <c r="B4698" s="1" t="s">
        <v>8968</v>
      </c>
      <c r="C4698" s="9" t="s">
        <v>747</v>
      </c>
      <c r="D4698" s="14" t="s">
        <v>8969</v>
      </c>
      <c r="E4698" s="9" t="s">
        <v>30</v>
      </c>
    </row>
    <row r="4699" spans="1:5" ht="15" customHeight="1" outlineLevel="2" x14ac:dyDescent="0.25">
      <c r="A4699" s="3" t="str">
        <f>HYPERLINK("http://mystore1.ru/price_items/search?utf8=%E2%9C%93&amp;oem=5358BGSHBGX","5358BGSHBGX")</f>
        <v>5358BGSHBGX</v>
      </c>
      <c r="B4699" s="1" t="s">
        <v>8970</v>
      </c>
      <c r="C4699" s="9" t="s">
        <v>747</v>
      </c>
      <c r="D4699" s="14" t="s">
        <v>8971</v>
      </c>
      <c r="E4699" s="9" t="s">
        <v>30</v>
      </c>
    </row>
    <row r="4700" spans="1:5" ht="15" customHeight="1" outlineLevel="2" x14ac:dyDescent="0.25">
      <c r="A4700" s="3" t="str">
        <f>HYPERLINK("http://mystore1.ru/price_items/search?utf8=%E2%9C%93&amp;oem=5358BGSV","5358BGSV")</f>
        <v>5358BGSV</v>
      </c>
      <c r="B4700" s="1" t="s">
        <v>8972</v>
      </c>
      <c r="C4700" s="9" t="s">
        <v>747</v>
      </c>
      <c r="D4700" s="14" t="s">
        <v>8973</v>
      </c>
      <c r="E4700" s="9" t="s">
        <v>30</v>
      </c>
    </row>
    <row r="4701" spans="1:5" ht="15" customHeight="1" outlineLevel="2" x14ac:dyDescent="0.25">
      <c r="A4701" s="3" t="str">
        <f>HYPERLINK("http://mystore1.ru/price_items/search?utf8=%E2%9C%93&amp;oem=5358BGSVGX","5358BGSVGX")</f>
        <v>5358BGSVGX</v>
      </c>
      <c r="B4701" s="1" t="s">
        <v>8974</v>
      </c>
      <c r="C4701" s="9" t="s">
        <v>747</v>
      </c>
      <c r="D4701" s="14" t="s">
        <v>8975</v>
      </c>
      <c r="E4701" s="9" t="s">
        <v>30</v>
      </c>
    </row>
    <row r="4702" spans="1:5" ht="15" customHeight="1" outlineLevel="2" x14ac:dyDescent="0.25">
      <c r="A4702" s="3" t="str">
        <f>HYPERLINK("http://mystore1.ru/price_items/search?utf8=%E2%9C%93&amp;oem=5358LGSH3FD","5358LGSH3FD")</f>
        <v>5358LGSH3FD</v>
      </c>
      <c r="B4702" s="1" t="s">
        <v>8976</v>
      </c>
      <c r="C4702" s="9" t="s">
        <v>747</v>
      </c>
      <c r="D4702" s="14" t="s">
        <v>8977</v>
      </c>
      <c r="E4702" s="9" t="s">
        <v>11</v>
      </c>
    </row>
    <row r="4703" spans="1:5" ht="15" customHeight="1" outlineLevel="2" x14ac:dyDescent="0.25">
      <c r="A4703" s="3" t="str">
        <f>HYPERLINK("http://mystore1.ru/price_items/search?utf8=%E2%9C%93&amp;oem=5358LGSH5FD","5358LGSH5FD")</f>
        <v>5358LGSH5FD</v>
      </c>
      <c r="B4703" s="1" t="s">
        <v>8978</v>
      </c>
      <c r="C4703" s="9" t="s">
        <v>747</v>
      </c>
      <c r="D4703" s="14" t="s">
        <v>8979</v>
      </c>
      <c r="E4703" s="9" t="s">
        <v>11</v>
      </c>
    </row>
    <row r="4704" spans="1:5" ht="15" customHeight="1" outlineLevel="2" x14ac:dyDescent="0.25">
      <c r="A4704" s="3" t="str">
        <f>HYPERLINK("http://mystore1.ru/price_items/search?utf8=%E2%9C%93&amp;oem=5358LGSH5RD","5358LGSH5RD")</f>
        <v>5358LGSH5RD</v>
      </c>
      <c r="B4704" s="1" t="s">
        <v>8980</v>
      </c>
      <c r="C4704" s="9" t="s">
        <v>747</v>
      </c>
      <c r="D4704" s="14" t="s">
        <v>8981</v>
      </c>
      <c r="E4704" s="9" t="s">
        <v>11</v>
      </c>
    </row>
    <row r="4705" spans="1:5" ht="15" customHeight="1" outlineLevel="2" x14ac:dyDescent="0.25">
      <c r="A4705" s="3" t="str">
        <f>HYPERLINK("http://mystore1.ru/price_items/search?utf8=%E2%9C%93&amp;oem=5358LGSV5RD","5358LGSV5RD")</f>
        <v>5358LGSV5RD</v>
      </c>
      <c r="B4705" s="1" t="s">
        <v>8982</v>
      </c>
      <c r="C4705" s="9" t="s">
        <v>747</v>
      </c>
      <c r="D4705" s="14" t="s">
        <v>8983</v>
      </c>
      <c r="E4705" s="9" t="s">
        <v>11</v>
      </c>
    </row>
    <row r="4706" spans="1:5" ht="15" customHeight="1" outlineLevel="2" x14ac:dyDescent="0.25">
      <c r="A4706" s="3" t="str">
        <f>HYPERLINK("http://mystore1.ru/price_items/search?utf8=%E2%9C%93&amp;oem=5358RGSH3FD","5358RGSH3FD")</f>
        <v>5358RGSH3FD</v>
      </c>
      <c r="B4706" s="1" t="s">
        <v>8984</v>
      </c>
      <c r="C4706" s="9" t="s">
        <v>747</v>
      </c>
      <c r="D4706" s="14" t="s">
        <v>8985</v>
      </c>
      <c r="E4706" s="9" t="s">
        <v>11</v>
      </c>
    </row>
    <row r="4707" spans="1:5" ht="15" customHeight="1" outlineLevel="2" x14ac:dyDescent="0.25">
      <c r="A4707" s="3" t="str">
        <f>HYPERLINK("http://mystore1.ru/price_items/search?utf8=%E2%9C%93&amp;oem=5358RGSH5FD","5358RGSH5FD")</f>
        <v>5358RGSH5FD</v>
      </c>
      <c r="B4707" s="1" t="s">
        <v>8986</v>
      </c>
      <c r="C4707" s="9" t="s">
        <v>747</v>
      </c>
      <c r="D4707" s="14" t="s">
        <v>8987</v>
      </c>
      <c r="E4707" s="9" t="s">
        <v>11</v>
      </c>
    </row>
    <row r="4708" spans="1:5" ht="15" customHeight="1" outlineLevel="2" x14ac:dyDescent="0.25">
      <c r="A4708" s="3" t="str">
        <f>HYPERLINK("http://mystore1.ru/price_items/search?utf8=%E2%9C%93&amp;oem=5358RGSH5RD","5358RGSH5RD")</f>
        <v>5358RGSH5RD</v>
      </c>
      <c r="B4708" s="1" t="s">
        <v>8988</v>
      </c>
      <c r="C4708" s="9" t="s">
        <v>747</v>
      </c>
      <c r="D4708" s="14" t="s">
        <v>8989</v>
      </c>
      <c r="E4708" s="9" t="s">
        <v>11</v>
      </c>
    </row>
    <row r="4709" spans="1:5" ht="15" customHeight="1" outlineLevel="2" x14ac:dyDescent="0.25">
      <c r="A4709" s="3" t="str">
        <f>HYPERLINK("http://mystore1.ru/price_items/search?utf8=%E2%9C%93&amp;oem=5358RGSV5RD","5358RGSV5RD")</f>
        <v>5358RGSV5RD</v>
      </c>
      <c r="B4709" s="1" t="s">
        <v>8990</v>
      </c>
      <c r="C4709" s="9" t="s">
        <v>747</v>
      </c>
      <c r="D4709" s="14" t="s">
        <v>8991</v>
      </c>
      <c r="E4709" s="9" t="s">
        <v>11</v>
      </c>
    </row>
    <row r="4710" spans="1:5" outlineLevel="1" x14ac:dyDescent="0.25">
      <c r="A4710" s="2"/>
      <c r="B4710" s="6" t="s">
        <v>8992</v>
      </c>
      <c r="C4710" s="8"/>
      <c r="D4710" s="8"/>
      <c r="E4710" s="8"/>
    </row>
    <row r="4711" spans="1:5" ht="15" customHeight="1" outlineLevel="2" x14ac:dyDescent="0.25">
      <c r="A4711" s="3" t="str">
        <f>HYPERLINK("http://mystore1.ru/price_items/search?utf8=%E2%9C%93&amp;oem=5342AGNBLV","5342AGNBLV")</f>
        <v>5342AGNBLV</v>
      </c>
      <c r="B4711" s="1" t="s">
        <v>8993</v>
      </c>
      <c r="C4711" s="9" t="s">
        <v>570</v>
      </c>
      <c r="D4711" s="14" t="s">
        <v>8994</v>
      </c>
      <c r="E4711" s="9" t="s">
        <v>8</v>
      </c>
    </row>
    <row r="4712" spans="1:5" ht="15" customHeight="1" outlineLevel="2" x14ac:dyDescent="0.25">
      <c r="A4712" s="3" t="str">
        <f>HYPERLINK("http://mystore1.ru/price_items/search?utf8=%E2%9C%93&amp;oem=5342AGNGNV","5342AGNGNV")</f>
        <v>5342AGNGNV</v>
      </c>
      <c r="B4712" s="1" t="s">
        <v>8995</v>
      </c>
      <c r="C4712" s="9" t="s">
        <v>570</v>
      </c>
      <c r="D4712" s="14" t="s">
        <v>8996</v>
      </c>
      <c r="E4712" s="9" t="s">
        <v>8</v>
      </c>
    </row>
    <row r="4713" spans="1:5" ht="15" customHeight="1" outlineLevel="2" x14ac:dyDescent="0.25">
      <c r="A4713" s="3" t="str">
        <f>HYPERLINK("http://mystore1.ru/price_items/search?utf8=%E2%9C%93&amp;oem=5342AGNGYV","5342AGNGYV")</f>
        <v>5342AGNGYV</v>
      </c>
      <c r="B4713" s="1" t="s">
        <v>8997</v>
      </c>
      <c r="C4713" s="9" t="s">
        <v>570</v>
      </c>
      <c r="D4713" s="14" t="s">
        <v>8998</v>
      </c>
      <c r="E4713" s="9" t="s">
        <v>8</v>
      </c>
    </row>
    <row r="4714" spans="1:5" ht="15" customHeight="1" outlineLevel="2" x14ac:dyDescent="0.25">
      <c r="A4714" s="3" t="str">
        <f>HYPERLINK("http://mystore1.ru/price_items/search?utf8=%E2%9C%93&amp;oem=5342AGNV","5342AGNV")</f>
        <v>5342AGNV</v>
      </c>
      <c r="B4714" s="1" t="s">
        <v>8999</v>
      </c>
      <c r="C4714" s="9" t="s">
        <v>570</v>
      </c>
      <c r="D4714" s="14" t="s">
        <v>9000</v>
      </c>
      <c r="E4714" s="9" t="s">
        <v>8</v>
      </c>
    </row>
    <row r="4715" spans="1:5" ht="15" customHeight="1" outlineLevel="2" x14ac:dyDescent="0.25">
      <c r="A4715" s="3" t="str">
        <f>HYPERLINK("http://mystore1.ru/price_items/search?utf8=%E2%9C%93&amp;oem=5342ASMHT","5342ASMHT")</f>
        <v>5342ASMHT</v>
      </c>
      <c r="B4715" s="1" t="s">
        <v>9001</v>
      </c>
      <c r="C4715" s="9" t="s">
        <v>25</v>
      </c>
      <c r="D4715" s="14" t="s">
        <v>9002</v>
      </c>
      <c r="E4715" s="9" t="s">
        <v>27</v>
      </c>
    </row>
    <row r="4716" spans="1:5" ht="15" customHeight="1" outlineLevel="2" x14ac:dyDescent="0.25">
      <c r="A4716" s="3" t="str">
        <f>HYPERLINK("http://mystore1.ru/price_items/search?utf8=%E2%9C%93&amp;oem=5342BGNHAB","5342BGNHAB")</f>
        <v>5342BGNHAB</v>
      </c>
      <c r="B4716" s="1" t="s">
        <v>9003</v>
      </c>
      <c r="C4716" s="9" t="s">
        <v>570</v>
      </c>
      <c r="D4716" s="14" t="s">
        <v>9004</v>
      </c>
      <c r="E4716" s="9" t="s">
        <v>30</v>
      </c>
    </row>
    <row r="4717" spans="1:5" ht="15" customHeight="1" outlineLevel="2" x14ac:dyDescent="0.25">
      <c r="A4717" s="3" t="str">
        <f>HYPERLINK("http://mystore1.ru/price_items/search?utf8=%E2%9C%93&amp;oem=5342LGNH5FD","5342LGNH5FD")</f>
        <v>5342LGNH5FD</v>
      </c>
      <c r="B4717" s="1" t="s">
        <v>9005</v>
      </c>
      <c r="C4717" s="9" t="s">
        <v>570</v>
      </c>
      <c r="D4717" s="14" t="s">
        <v>9006</v>
      </c>
      <c r="E4717" s="9" t="s">
        <v>11</v>
      </c>
    </row>
    <row r="4718" spans="1:5" ht="15" customHeight="1" outlineLevel="2" x14ac:dyDescent="0.25">
      <c r="A4718" s="3" t="str">
        <f>HYPERLINK("http://mystore1.ru/price_items/search?utf8=%E2%9C%93&amp;oem=5342LGNH5FV","5342LGNH5FV")</f>
        <v>5342LGNH5FV</v>
      </c>
      <c r="B4718" s="1" t="s">
        <v>9007</v>
      </c>
      <c r="C4718" s="9" t="s">
        <v>570</v>
      </c>
      <c r="D4718" s="14" t="s">
        <v>9008</v>
      </c>
      <c r="E4718" s="9" t="s">
        <v>11</v>
      </c>
    </row>
    <row r="4719" spans="1:5" ht="15" customHeight="1" outlineLevel="2" x14ac:dyDescent="0.25">
      <c r="A4719" s="3" t="str">
        <f>HYPERLINK("http://mystore1.ru/price_items/search?utf8=%E2%9C%93&amp;oem=5342LGNH5RD","5342LGNH5RD")</f>
        <v>5342LGNH5RD</v>
      </c>
      <c r="B4719" s="1" t="s">
        <v>9009</v>
      </c>
      <c r="C4719" s="9" t="s">
        <v>570</v>
      </c>
      <c r="D4719" s="14" t="s">
        <v>9010</v>
      </c>
      <c r="E4719" s="9" t="s">
        <v>11</v>
      </c>
    </row>
    <row r="4720" spans="1:5" ht="15" customHeight="1" outlineLevel="2" x14ac:dyDescent="0.25">
      <c r="A4720" s="3" t="str">
        <f>HYPERLINK("http://mystore1.ru/price_items/search?utf8=%E2%9C%93&amp;oem=5342LGNH5RD1J","5342LGNH5RD1J")</f>
        <v>5342LGNH5RD1J</v>
      </c>
      <c r="B4720" s="1" t="s">
        <v>9011</v>
      </c>
      <c r="C4720" s="9" t="s">
        <v>4837</v>
      </c>
      <c r="D4720" s="14" t="s">
        <v>9012</v>
      </c>
      <c r="E4720" s="9" t="s">
        <v>11</v>
      </c>
    </row>
    <row r="4721" spans="1:5" ht="15" customHeight="1" outlineLevel="2" x14ac:dyDescent="0.25">
      <c r="A4721" s="3" t="str">
        <f>HYPERLINK("http://mystore1.ru/price_items/search?utf8=%E2%9C%93&amp;oem=5342RGNH5FD","5342RGNH5FD")</f>
        <v>5342RGNH5FD</v>
      </c>
      <c r="B4721" s="1" t="s">
        <v>9013</v>
      </c>
      <c r="C4721" s="9" t="s">
        <v>570</v>
      </c>
      <c r="D4721" s="14" t="s">
        <v>9014</v>
      </c>
      <c r="E4721" s="9" t="s">
        <v>11</v>
      </c>
    </row>
    <row r="4722" spans="1:5" ht="15" customHeight="1" outlineLevel="2" x14ac:dyDescent="0.25">
      <c r="A4722" s="3" t="str">
        <f>HYPERLINK("http://mystore1.ru/price_items/search?utf8=%E2%9C%93&amp;oem=5342RGNH5FV","5342RGNH5FV")</f>
        <v>5342RGNH5FV</v>
      </c>
      <c r="B4722" s="1" t="s">
        <v>9015</v>
      </c>
      <c r="C4722" s="9" t="s">
        <v>570</v>
      </c>
      <c r="D4722" s="14" t="s">
        <v>9016</v>
      </c>
      <c r="E4722" s="9" t="s">
        <v>11</v>
      </c>
    </row>
    <row r="4723" spans="1:5" ht="15" customHeight="1" outlineLevel="2" x14ac:dyDescent="0.25">
      <c r="A4723" s="3" t="str">
        <f>HYPERLINK("http://mystore1.ru/price_items/search?utf8=%E2%9C%93&amp;oem=5342RGNH5RD","5342RGNH5RD")</f>
        <v>5342RGNH5RD</v>
      </c>
      <c r="B4723" s="1" t="s">
        <v>9017</v>
      </c>
      <c r="C4723" s="9" t="s">
        <v>570</v>
      </c>
      <c r="D4723" s="14" t="s">
        <v>9018</v>
      </c>
      <c r="E4723" s="9" t="s">
        <v>11</v>
      </c>
    </row>
    <row r="4724" spans="1:5" ht="15" customHeight="1" outlineLevel="2" x14ac:dyDescent="0.25">
      <c r="A4724" s="3" t="str">
        <f>HYPERLINK("http://mystore1.ru/price_items/search?utf8=%E2%9C%93&amp;oem=5342RGNH5RD1J","5342RGNH5RD1J")</f>
        <v>5342RGNH5RD1J</v>
      </c>
      <c r="B4724" s="1" t="s">
        <v>9019</v>
      </c>
      <c r="C4724" s="9" t="s">
        <v>4837</v>
      </c>
      <c r="D4724" s="14" t="s">
        <v>9020</v>
      </c>
      <c r="E4724" s="9" t="s">
        <v>11</v>
      </c>
    </row>
    <row r="4725" spans="1:5" outlineLevel="1" x14ac:dyDescent="0.25">
      <c r="A4725" s="2"/>
      <c r="B4725" s="6" t="s">
        <v>9021</v>
      </c>
      <c r="C4725" s="8"/>
      <c r="D4725" s="8"/>
      <c r="E4725" s="8"/>
    </row>
    <row r="4726" spans="1:5" ht="15" customHeight="1" outlineLevel="2" x14ac:dyDescent="0.25">
      <c r="A4726" s="3" t="str">
        <f>HYPERLINK("http://mystore1.ru/price_items/search?utf8=%E2%9C%93&amp;oem=5365ACDCHMVW1B","5365ACDCHMVW1B")</f>
        <v>5365ACDCHMVW1B</v>
      </c>
      <c r="B4726" s="1" t="s">
        <v>9022</v>
      </c>
      <c r="C4726" s="9" t="s">
        <v>687</v>
      </c>
      <c r="D4726" s="14" t="s">
        <v>9023</v>
      </c>
      <c r="E4726" s="9" t="s">
        <v>8</v>
      </c>
    </row>
    <row r="4727" spans="1:5" ht="15" customHeight="1" outlineLevel="2" x14ac:dyDescent="0.25">
      <c r="A4727" s="3" t="str">
        <f>HYPERLINK("http://mystore1.ru/price_items/search?utf8=%E2%9C%93&amp;oem=5365ACDHMVW","5365ACDHMVW")</f>
        <v>5365ACDHMVW</v>
      </c>
      <c r="B4727" s="1" t="s">
        <v>9024</v>
      </c>
      <c r="C4727" s="9" t="s">
        <v>687</v>
      </c>
      <c r="D4727" s="14" t="s">
        <v>9025</v>
      </c>
      <c r="E4727" s="9" t="s">
        <v>8</v>
      </c>
    </row>
    <row r="4728" spans="1:5" outlineLevel="1" x14ac:dyDescent="0.25">
      <c r="A4728" s="2"/>
      <c r="B4728" s="6" t="s">
        <v>9026</v>
      </c>
      <c r="C4728" s="8"/>
      <c r="D4728" s="8"/>
      <c r="E4728" s="8"/>
    </row>
    <row r="4729" spans="1:5" ht="15" customHeight="1" outlineLevel="2" x14ac:dyDescent="0.25">
      <c r="A4729" s="3" t="str">
        <f>HYPERLINK("http://mystore1.ru/price_items/search?utf8=%E2%9C%93&amp;oem=5370AGAMVW1K","5370AGAMVW1K")</f>
        <v>5370AGAMVW1K</v>
      </c>
      <c r="B4729" s="1" t="s">
        <v>9027</v>
      </c>
      <c r="C4729" s="9" t="s">
        <v>369</v>
      </c>
      <c r="D4729" s="14" t="s">
        <v>9028</v>
      </c>
      <c r="E4729" s="9" t="s">
        <v>8</v>
      </c>
    </row>
    <row r="4730" spans="1:5" ht="15" customHeight="1" outlineLevel="2" x14ac:dyDescent="0.25">
      <c r="A4730" s="3" t="str">
        <f>HYPERLINK("http://mystore1.ru/price_items/search?utf8=%E2%9C%93&amp;oem=5370AGAAMVW","5370AGAAMVW")</f>
        <v>5370AGAAMVW</v>
      </c>
      <c r="B4730" s="1" t="s">
        <v>9029</v>
      </c>
      <c r="C4730" s="9" t="s">
        <v>369</v>
      </c>
      <c r="D4730" s="14" t="s">
        <v>9030</v>
      </c>
      <c r="E4730" s="9" t="s">
        <v>8</v>
      </c>
    </row>
    <row r="4731" spans="1:5" ht="15" customHeight="1" outlineLevel="2" x14ac:dyDescent="0.25">
      <c r="A4731" s="3" t="str">
        <f>HYPERLINK("http://mystore1.ru/price_items/search?utf8=%E2%9C%93&amp;oem=5370AGACMVW1B","5370AGACMVW1B")</f>
        <v>5370AGACMVW1B</v>
      </c>
      <c r="B4731" s="1" t="s">
        <v>9031</v>
      </c>
      <c r="C4731" s="9" t="s">
        <v>369</v>
      </c>
      <c r="D4731" s="14" t="s">
        <v>9032</v>
      </c>
      <c r="E4731" s="9" t="s">
        <v>8</v>
      </c>
    </row>
    <row r="4732" spans="1:5" ht="15" customHeight="1" outlineLevel="2" x14ac:dyDescent="0.25">
      <c r="A4732" s="3" t="str">
        <f>HYPERLINK("http://mystore1.ru/price_items/search?utf8=%E2%9C%93&amp;oem=5370AGAACMVW1B","5370AGAACMVW1B")</f>
        <v>5370AGAACMVW1B</v>
      </c>
      <c r="B4732" s="1" t="s">
        <v>9033</v>
      </c>
      <c r="C4732" s="9" t="s">
        <v>369</v>
      </c>
      <c r="D4732" s="14" t="s">
        <v>9030</v>
      </c>
      <c r="E4732" s="9" t="s">
        <v>8</v>
      </c>
    </row>
    <row r="4733" spans="1:5" ht="15" customHeight="1" outlineLevel="2" x14ac:dyDescent="0.25">
      <c r="A4733" s="3" t="str">
        <f>HYPERLINK("http://mystore1.ru/price_items/search?utf8=%E2%9C%93&amp;oem=5370LGNC2FD","5370LGNC2FD")</f>
        <v>5370LGNC2FD</v>
      </c>
      <c r="B4733" s="1" t="s">
        <v>9034</v>
      </c>
      <c r="C4733" s="9" t="s">
        <v>369</v>
      </c>
      <c r="D4733" s="14" t="s">
        <v>9035</v>
      </c>
      <c r="E4733" s="9" t="s">
        <v>11</v>
      </c>
    </row>
    <row r="4734" spans="1:5" ht="15" customHeight="1" outlineLevel="2" x14ac:dyDescent="0.25">
      <c r="A4734" s="3" t="str">
        <f>HYPERLINK("http://mystore1.ru/price_items/search?utf8=%E2%9C%93&amp;oem=5370LGNC2RQOWZ","5370LGNC2RQOWZ")</f>
        <v>5370LGNC2RQOWZ</v>
      </c>
      <c r="B4734" s="1" t="s">
        <v>9036</v>
      </c>
      <c r="C4734" s="9" t="s">
        <v>369</v>
      </c>
      <c r="D4734" s="14" t="s">
        <v>9037</v>
      </c>
      <c r="E4734" s="9" t="s">
        <v>11</v>
      </c>
    </row>
    <row r="4735" spans="1:5" ht="15" customHeight="1" outlineLevel="2" x14ac:dyDescent="0.25">
      <c r="A4735" s="3" t="str">
        <f>HYPERLINK("http://mystore1.ru/price_items/search?utf8=%E2%9C%93&amp;oem=5370RGNC2FD","5370RGNC2FD")</f>
        <v>5370RGNC2FD</v>
      </c>
      <c r="B4735" s="1" t="s">
        <v>9038</v>
      </c>
      <c r="C4735" s="9" t="s">
        <v>369</v>
      </c>
      <c r="D4735" s="14" t="s">
        <v>9039</v>
      </c>
      <c r="E4735" s="9" t="s">
        <v>11</v>
      </c>
    </row>
    <row r="4736" spans="1:5" ht="15" customHeight="1" outlineLevel="2" x14ac:dyDescent="0.25">
      <c r="A4736" s="3" t="str">
        <f>HYPERLINK("http://mystore1.ru/price_items/search?utf8=%E2%9C%93&amp;oem=5370RGNC2RQOWZ","5370RGNC2RQOWZ")</f>
        <v>5370RGNC2RQOWZ</v>
      </c>
      <c r="B4736" s="1" t="s">
        <v>9040</v>
      </c>
      <c r="C4736" s="9" t="s">
        <v>369</v>
      </c>
      <c r="D4736" s="14" t="s">
        <v>9041</v>
      </c>
      <c r="E4736" s="9" t="s">
        <v>11</v>
      </c>
    </row>
    <row r="4737" spans="1:5" outlineLevel="1" x14ac:dyDescent="0.25">
      <c r="A4737" s="2"/>
      <c r="B4737" s="6" t="s">
        <v>9042</v>
      </c>
      <c r="C4737" s="8"/>
      <c r="D4737" s="8"/>
      <c r="E4737" s="8"/>
    </row>
    <row r="4738" spans="1:5" ht="15" customHeight="1" outlineLevel="2" x14ac:dyDescent="0.25">
      <c r="A4738" s="3" t="str">
        <f>HYPERLINK("http://mystore1.ru/price_items/search?utf8=%E2%9C%93&amp;oem=5371AGSHMVWZ1K","5371AGSHMVWZ1K")</f>
        <v>5371AGSHMVWZ1K</v>
      </c>
      <c r="B4738" s="1" t="s">
        <v>9043</v>
      </c>
      <c r="C4738" s="9" t="s">
        <v>369</v>
      </c>
      <c r="D4738" s="14" t="s">
        <v>9044</v>
      </c>
      <c r="E4738" s="9" t="s">
        <v>8</v>
      </c>
    </row>
    <row r="4739" spans="1:5" ht="15" customHeight="1" outlineLevel="2" x14ac:dyDescent="0.25">
      <c r="A4739" s="3" t="str">
        <f>HYPERLINK("http://mystore1.ru/price_items/search?utf8=%E2%9C%93&amp;oem=5371LGSS4FD","5371LGSS4FD")</f>
        <v>5371LGSS4FD</v>
      </c>
      <c r="B4739" s="1" t="s">
        <v>9045</v>
      </c>
      <c r="C4739" s="9" t="s">
        <v>369</v>
      </c>
      <c r="D4739" s="14" t="s">
        <v>9046</v>
      </c>
      <c r="E4739" s="9" t="s">
        <v>11</v>
      </c>
    </row>
    <row r="4740" spans="1:5" ht="15" customHeight="1" outlineLevel="2" x14ac:dyDescent="0.25">
      <c r="A4740" s="3" t="str">
        <f>HYPERLINK("http://mystore1.ru/price_items/search?utf8=%E2%9C%93&amp;oem=5371LGSS4RD","5371LGSS4RD")</f>
        <v>5371LGSS4RD</v>
      </c>
      <c r="B4740" s="1" t="s">
        <v>9047</v>
      </c>
      <c r="C4740" s="9" t="s">
        <v>369</v>
      </c>
      <c r="D4740" s="14" t="s">
        <v>9048</v>
      </c>
      <c r="E4740" s="9" t="s">
        <v>11</v>
      </c>
    </row>
    <row r="4741" spans="1:5" ht="15" customHeight="1" outlineLevel="2" x14ac:dyDescent="0.25">
      <c r="A4741" s="3" t="str">
        <f>HYPERLINK("http://mystore1.ru/price_items/search?utf8=%E2%9C%93&amp;oem=5371RGSS4FD","5371RGSS4FD")</f>
        <v>5371RGSS4FD</v>
      </c>
      <c r="B4741" s="1" t="s">
        <v>9049</v>
      </c>
      <c r="C4741" s="9" t="s">
        <v>369</v>
      </c>
      <c r="D4741" s="14" t="s">
        <v>9050</v>
      </c>
      <c r="E4741" s="9" t="s">
        <v>11</v>
      </c>
    </row>
    <row r="4742" spans="1:5" ht="15" customHeight="1" outlineLevel="2" x14ac:dyDescent="0.25">
      <c r="A4742" s="3" t="str">
        <f>HYPERLINK("http://mystore1.ru/price_items/search?utf8=%E2%9C%93&amp;oem=5371RGSS4RD","5371RGSS4RD")</f>
        <v>5371RGSS4RD</v>
      </c>
      <c r="B4742" s="1" t="s">
        <v>9051</v>
      </c>
      <c r="C4742" s="9" t="s">
        <v>369</v>
      </c>
      <c r="D4742" s="14" t="s">
        <v>9052</v>
      </c>
      <c r="E4742" s="9" t="s">
        <v>11</v>
      </c>
    </row>
    <row r="4743" spans="1:5" outlineLevel="1" x14ac:dyDescent="0.25">
      <c r="A4743" s="2"/>
      <c r="B4743" s="6" t="s">
        <v>9053</v>
      </c>
      <c r="C4743" s="7"/>
      <c r="D4743" s="8"/>
      <c r="E4743" s="8"/>
    </row>
    <row r="4744" spans="1:5" ht="15" customHeight="1" outlineLevel="2" x14ac:dyDescent="0.25">
      <c r="A4744" s="3" t="str">
        <f>HYPERLINK("http://mystore1.ru/price_items/search?utf8=%E2%9C%93&amp;oem=5327ACL","5327ACL")</f>
        <v>5327ACL</v>
      </c>
      <c r="B4744" s="1" t="s">
        <v>9054</v>
      </c>
      <c r="C4744" s="9" t="s">
        <v>9055</v>
      </c>
      <c r="D4744" s="14" t="s">
        <v>9056</v>
      </c>
      <c r="E4744" s="9" t="s">
        <v>8</v>
      </c>
    </row>
    <row r="4745" spans="1:5" ht="15" customHeight="1" outlineLevel="2" x14ac:dyDescent="0.25">
      <c r="A4745" s="3" t="str">
        <f>HYPERLINK("http://mystore1.ru/price_items/search?utf8=%E2%9C%93&amp;oem=5327AGN","5327AGN")</f>
        <v>5327AGN</v>
      </c>
      <c r="B4745" s="1" t="s">
        <v>9057</v>
      </c>
      <c r="C4745" s="9" t="s">
        <v>9055</v>
      </c>
      <c r="D4745" s="14" t="s">
        <v>9058</v>
      </c>
      <c r="E4745" s="9" t="s">
        <v>8</v>
      </c>
    </row>
    <row r="4746" spans="1:5" ht="15" customHeight="1" outlineLevel="2" x14ac:dyDescent="0.25">
      <c r="A4746" s="3" t="str">
        <f>HYPERLINK("http://mystore1.ru/price_items/search?utf8=%E2%9C%93&amp;oem=5327AGN1B","5327AGN1B")</f>
        <v>5327AGN1B</v>
      </c>
      <c r="B4746" s="1" t="s">
        <v>9059</v>
      </c>
      <c r="C4746" s="9" t="s">
        <v>3575</v>
      </c>
      <c r="D4746" s="14" t="s">
        <v>9060</v>
      </c>
      <c r="E4746" s="9" t="s">
        <v>8</v>
      </c>
    </row>
    <row r="4747" spans="1:5" ht="15" customHeight="1" outlineLevel="2" x14ac:dyDescent="0.25">
      <c r="A4747" s="3" t="str">
        <f>HYPERLINK("http://mystore1.ru/price_items/search?utf8=%E2%9C%93&amp;oem=5327AGNBL","5327AGNBL")</f>
        <v>5327AGNBL</v>
      </c>
      <c r="B4747" s="1" t="s">
        <v>9061</v>
      </c>
      <c r="C4747" s="9" t="s">
        <v>9055</v>
      </c>
      <c r="D4747" s="14" t="s">
        <v>9062</v>
      </c>
      <c r="E4747" s="9" t="s">
        <v>8</v>
      </c>
    </row>
    <row r="4748" spans="1:5" ht="15" customHeight="1" outlineLevel="2" x14ac:dyDescent="0.25">
      <c r="A4748" s="3" t="str">
        <f>HYPERLINK("http://mystore1.ru/price_items/search?utf8=%E2%9C%93&amp;oem=5327AGNGN","5327AGNGN")</f>
        <v>5327AGNGN</v>
      </c>
      <c r="B4748" s="1" t="s">
        <v>9063</v>
      </c>
      <c r="C4748" s="9" t="s">
        <v>9055</v>
      </c>
      <c r="D4748" s="14" t="s">
        <v>9064</v>
      </c>
      <c r="E4748" s="9" t="s">
        <v>8</v>
      </c>
    </row>
    <row r="4749" spans="1:5" ht="15" customHeight="1" outlineLevel="2" x14ac:dyDescent="0.25">
      <c r="A4749" s="3" t="str">
        <f>HYPERLINK("http://mystore1.ru/price_items/search?utf8=%E2%9C%93&amp;oem=5327AGNGN1B","5327AGNGN1B")</f>
        <v>5327AGNGN1B</v>
      </c>
      <c r="B4749" s="1" t="s">
        <v>9065</v>
      </c>
      <c r="C4749" s="9" t="s">
        <v>3575</v>
      </c>
      <c r="D4749" s="14" t="s">
        <v>9066</v>
      </c>
      <c r="E4749" s="9" t="s">
        <v>8</v>
      </c>
    </row>
    <row r="4750" spans="1:5" ht="15" customHeight="1" outlineLevel="2" x14ac:dyDescent="0.25">
      <c r="A4750" s="3" t="str">
        <f>HYPERLINK("http://mystore1.ru/price_items/search?utf8=%E2%9C%93&amp;oem=5327AGNH1B","5327AGNH1B")</f>
        <v>5327AGNH1B</v>
      </c>
      <c r="B4750" s="1" t="s">
        <v>9067</v>
      </c>
      <c r="C4750" s="9" t="s">
        <v>3575</v>
      </c>
      <c r="D4750" s="14" t="s">
        <v>9068</v>
      </c>
      <c r="E4750" s="9" t="s">
        <v>8</v>
      </c>
    </row>
    <row r="4751" spans="1:5" ht="15" customHeight="1" outlineLevel="2" x14ac:dyDescent="0.25">
      <c r="A4751" s="3" t="str">
        <f>HYPERLINK("http://mystore1.ru/price_items/search?utf8=%E2%9C%93&amp;oem=5327ASRR","5327ASRR")</f>
        <v>5327ASRR</v>
      </c>
      <c r="B4751" s="1" t="s">
        <v>9069</v>
      </c>
      <c r="C4751" s="9" t="s">
        <v>25</v>
      </c>
      <c r="D4751" s="14" t="s">
        <v>9070</v>
      </c>
      <c r="E4751" s="9" t="s">
        <v>27</v>
      </c>
    </row>
    <row r="4752" spans="1:5" ht="15" customHeight="1" outlineLevel="2" x14ac:dyDescent="0.25">
      <c r="A4752" s="3" t="str">
        <f>HYPERLINK("http://mystore1.ru/price_items/search?utf8=%E2%9C%93&amp;oem=5327FCLR5RQ","5327FCLR5RQ")</f>
        <v>5327FCLR5RQ</v>
      </c>
      <c r="B4752" s="1" t="s">
        <v>9071</v>
      </c>
      <c r="C4752" s="9" t="s">
        <v>9055</v>
      </c>
      <c r="D4752" s="14" t="s">
        <v>9072</v>
      </c>
      <c r="E4752" s="9" t="s">
        <v>11</v>
      </c>
    </row>
    <row r="4753" spans="1:5" ht="15" customHeight="1" outlineLevel="2" x14ac:dyDescent="0.25">
      <c r="A4753" s="3" t="str">
        <f>HYPERLINK("http://mystore1.ru/price_items/search?utf8=%E2%9C%93&amp;oem=5327FGNR5FD","5327FGNR5FD")</f>
        <v>5327FGNR5FD</v>
      </c>
      <c r="B4753" s="1" t="s">
        <v>9073</v>
      </c>
      <c r="C4753" s="9" t="s">
        <v>9055</v>
      </c>
      <c r="D4753" s="14" t="s">
        <v>9074</v>
      </c>
      <c r="E4753" s="9" t="s">
        <v>11</v>
      </c>
    </row>
    <row r="4754" spans="1:5" ht="15" customHeight="1" outlineLevel="2" x14ac:dyDescent="0.25">
      <c r="A4754" s="3" t="str">
        <f>HYPERLINK("http://mystore1.ru/price_items/search?utf8=%E2%9C%93&amp;oem=5327FGNR5RQ","5327FGNR5RQ")</f>
        <v>5327FGNR5RQ</v>
      </c>
      <c r="B4754" s="1" t="s">
        <v>9075</v>
      </c>
      <c r="C4754" s="9" t="s">
        <v>9055</v>
      </c>
      <c r="D4754" s="14" t="s">
        <v>9076</v>
      </c>
      <c r="E4754" s="9" t="s">
        <v>11</v>
      </c>
    </row>
    <row r="4755" spans="1:5" outlineLevel="1" x14ac:dyDescent="0.25">
      <c r="A4755" s="2"/>
      <c r="B4755" s="6" t="s">
        <v>9077</v>
      </c>
      <c r="C4755" s="8"/>
      <c r="D4755" s="8"/>
      <c r="E4755" s="8"/>
    </row>
    <row r="4756" spans="1:5" ht="15" customHeight="1" outlineLevel="2" x14ac:dyDescent="0.25">
      <c r="A4756" s="3" t="str">
        <f>HYPERLINK("http://mystore1.ru/price_items/search?utf8=%E2%9C%93&amp;oem=5369LYPR5RD","5369LYPR5RD")</f>
        <v>5369LYPR5RD</v>
      </c>
      <c r="B4756" s="1" t="s">
        <v>9078</v>
      </c>
      <c r="C4756" s="9" t="s">
        <v>642</v>
      </c>
      <c r="D4756" s="14" t="s">
        <v>9079</v>
      </c>
      <c r="E4756" s="9" t="s">
        <v>11</v>
      </c>
    </row>
    <row r="4757" spans="1:5" ht="15" customHeight="1" outlineLevel="2" x14ac:dyDescent="0.25">
      <c r="A4757" s="3" t="str">
        <f>HYPERLINK("http://mystore1.ru/price_items/search?utf8=%E2%9C%93&amp;oem=5369LGNR5RD","5369LGNR5RD")</f>
        <v>5369LGNR5RD</v>
      </c>
      <c r="B4757" s="1" t="s">
        <v>9080</v>
      </c>
      <c r="C4757" s="9" t="s">
        <v>642</v>
      </c>
      <c r="D4757" s="14" t="s">
        <v>9081</v>
      </c>
      <c r="E4757" s="9" t="s">
        <v>11</v>
      </c>
    </row>
    <row r="4758" spans="1:5" ht="15" customHeight="1" outlineLevel="2" x14ac:dyDescent="0.25">
      <c r="A4758" s="3" t="str">
        <f>HYPERLINK("http://mystore1.ru/price_items/search?utf8=%E2%9C%93&amp;oem=5369LGNR5FD","5369LGNR5FD")</f>
        <v>5369LGNR5FD</v>
      </c>
      <c r="B4758" s="1" t="s">
        <v>9082</v>
      </c>
      <c r="C4758" s="9" t="s">
        <v>642</v>
      </c>
      <c r="D4758" s="14" t="s">
        <v>9083</v>
      </c>
      <c r="E4758" s="9" t="s">
        <v>11</v>
      </c>
    </row>
    <row r="4759" spans="1:5" ht="15" customHeight="1" outlineLevel="2" x14ac:dyDescent="0.25">
      <c r="A4759" s="3" t="str">
        <f>HYPERLINK("http://mystore1.ru/price_items/search?utf8=%E2%9C%93&amp;oem=5369RGNR5FD","5369RGNR5FD")</f>
        <v>5369RGNR5FD</v>
      </c>
      <c r="B4759" s="1" t="s">
        <v>9084</v>
      </c>
      <c r="C4759" s="9" t="s">
        <v>642</v>
      </c>
      <c r="D4759" s="14" t="s">
        <v>9085</v>
      </c>
      <c r="E4759" s="9" t="s">
        <v>11</v>
      </c>
    </row>
    <row r="4760" spans="1:5" ht="15" customHeight="1" outlineLevel="2" x14ac:dyDescent="0.25">
      <c r="A4760" s="3" t="str">
        <f>HYPERLINK("http://mystore1.ru/price_items/search?utf8=%E2%9C%93&amp;oem=5369RGNR5RD","5369RGNR5RD")</f>
        <v>5369RGNR5RD</v>
      </c>
      <c r="B4760" s="1" t="s">
        <v>9086</v>
      </c>
      <c r="C4760" s="9" t="s">
        <v>642</v>
      </c>
      <c r="D4760" s="14" t="s">
        <v>9087</v>
      </c>
      <c r="E4760" s="9" t="s">
        <v>11</v>
      </c>
    </row>
    <row r="4761" spans="1:5" ht="15" customHeight="1" outlineLevel="2" x14ac:dyDescent="0.25">
      <c r="A4761" s="3" t="str">
        <f>HYPERLINK("http://mystore1.ru/price_items/search?utf8=%E2%9C%93&amp;oem=5369RYPR5RD","5369RYPR5RD")</f>
        <v>5369RYPR5RD</v>
      </c>
      <c r="B4761" s="1" t="s">
        <v>9088</v>
      </c>
      <c r="C4761" s="9" t="s">
        <v>642</v>
      </c>
      <c r="D4761" s="14" t="s">
        <v>9089</v>
      </c>
      <c r="E4761" s="9" t="s">
        <v>11</v>
      </c>
    </row>
    <row r="4762" spans="1:5" outlineLevel="1" x14ac:dyDescent="0.25">
      <c r="A4762" s="2"/>
      <c r="B4762" s="6" t="s">
        <v>9090</v>
      </c>
      <c r="C4762" s="8"/>
      <c r="D4762" s="8"/>
      <c r="E4762" s="8"/>
    </row>
    <row r="4763" spans="1:5" ht="15" customHeight="1" outlineLevel="2" x14ac:dyDescent="0.25">
      <c r="A4763" s="3" t="str">
        <f>HYPERLINK("http://mystore1.ru/price_items/search?utf8=%E2%9C%93&amp;oem=5343AGSGYMVZ1C","5343AGSGYMVZ1C")</f>
        <v>5343AGSGYMVZ1C</v>
      </c>
      <c r="B4763" s="1" t="s">
        <v>9091</v>
      </c>
      <c r="C4763" s="9" t="s">
        <v>981</v>
      </c>
      <c r="D4763" s="14" t="s">
        <v>9092</v>
      </c>
      <c r="E4763" s="9" t="s">
        <v>8</v>
      </c>
    </row>
    <row r="4764" spans="1:5" ht="15" customHeight="1" outlineLevel="2" x14ac:dyDescent="0.25">
      <c r="A4764" s="3" t="str">
        <f>HYPERLINK("http://mystore1.ru/price_items/search?utf8=%E2%9C%93&amp;oem=5343AGSGYVZ","5343AGSGYVZ")</f>
        <v>5343AGSGYVZ</v>
      </c>
      <c r="B4764" s="1" t="s">
        <v>9093</v>
      </c>
      <c r="C4764" s="9" t="s">
        <v>981</v>
      </c>
      <c r="D4764" s="14" t="s">
        <v>9094</v>
      </c>
      <c r="E4764" s="9" t="s">
        <v>8</v>
      </c>
    </row>
    <row r="4765" spans="1:5" ht="15" customHeight="1" outlineLevel="2" x14ac:dyDescent="0.25">
      <c r="A4765" s="3" t="str">
        <f>HYPERLINK("http://mystore1.ru/price_items/search?utf8=%E2%9C%93&amp;oem=5343AGSGYVZ1C","5343AGSGYVZ1C")</f>
        <v>5343AGSGYVZ1C</v>
      </c>
      <c r="B4765" s="1" t="s">
        <v>9095</v>
      </c>
      <c r="C4765" s="9" t="s">
        <v>981</v>
      </c>
      <c r="D4765" s="14" t="s">
        <v>9096</v>
      </c>
      <c r="E4765" s="9" t="s">
        <v>8</v>
      </c>
    </row>
    <row r="4766" spans="1:5" ht="15" customHeight="1" outlineLevel="2" x14ac:dyDescent="0.25">
      <c r="A4766" s="3" t="str">
        <f>HYPERLINK("http://mystore1.ru/price_items/search?utf8=%E2%9C%93&amp;oem=5343AGSGYVZ1P","5343AGSGYVZ1P")</f>
        <v>5343AGSGYVZ1P</v>
      </c>
      <c r="B4766" s="1" t="s">
        <v>9097</v>
      </c>
      <c r="C4766" s="9" t="s">
        <v>7279</v>
      </c>
      <c r="D4766" s="14" t="s">
        <v>9098</v>
      </c>
      <c r="E4766" s="9" t="s">
        <v>8</v>
      </c>
    </row>
    <row r="4767" spans="1:5" ht="15" customHeight="1" outlineLevel="2" x14ac:dyDescent="0.25">
      <c r="A4767" s="3" t="str">
        <f>HYPERLINK("http://mystore1.ru/price_items/search?utf8=%E2%9C%93&amp;oem=5343BGPRAB","5343BGPRAB")</f>
        <v>5343BGPRAB</v>
      </c>
      <c r="B4767" s="1" t="s">
        <v>9099</v>
      </c>
      <c r="C4767" s="9" t="s">
        <v>981</v>
      </c>
      <c r="D4767" s="14" t="s">
        <v>9100</v>
      </c>
      <c r="E4767" s="9" t="s">
        <v>30</v>
      </c>
    </row>
    <row r="4768" spans="1:5" ht="15" customHeight="1" outlineLevel="2" x14ac:dyDescent="0.25">
      <c r="A4768" s="3" t="str">
        <f>HYPERLINK("http://mystore1.ru/price_items/search?utf8=%E2%9C%93&amp;oem=5343BGSRAB","5343BGSRAB")</f>
        <v>5343BGSRAB</v>
      </c>
      <c r="B4768" s="1" t="s">
        <v>9101</v>
      </c>
      <c r="C4768" s="9" t="s">
        <v>981</v>
      </c>
      <c r="D4768" s="14" t="s">
        <v>9102</v>
      </c>
      <c r="E4768" s="9" t="s">
        <v>30</v>
      </c>
    </row>
    <row r="4769" spans="1:5" ht="15" customHeight="1" outlineLevel="2" x14ac:dyDescent="0.25">
      <c r="A4769" s="3" t="str">
        <f>HYPERLINK("http://mystore1.ru/price_items/search?utf8=%E2%9C%93&amp;oem=5343LGSR5FD","5343LGSR5FD")</f>
        <v>5343LGSR5FD</v>
      </c>
      <c r="B4769" s="1" t="s">
        <v>9103</v>
      </c>
      <c r="C4769" s="9" t="s">
        <v>981</v>
      </c>
      <c r="D4769" s="14" t="s">
        <v>9104</v>
      </c>
      <c r="E4769" s="9" t="s">
        <v>11</v>
      </c>
    </row>
    <row r="4770" spans="1:5" ht="15" customHeight="1" outlineLevel="2" x14ac:dyDescent="0.25">
      <c r="A4770" s="3" t="str">
        <f>HYPERLINK("http://mystore1.ru/price_items/search?utf8=%E2%9C%93&amp;oem=5343LGSR5RD","5343LGSR5RD")</f>
        <v>5343LGSR5RD</v>
      </c>
      <c r="B4770" s="1" t="s">
        <v>9105</v>
      </c>
      <c r="C4770" s="9" t="s">
        <v>981</v>
      </c>
      <c r="D4770" s="14" t="s">
        <v>9106</v>
      </c>
      <c r="E4770" s="9" t="s">
        <v>11</v>
      </c>
    </row>
    <row r="4771" spans="1:5" ht="15" customHeight="1" outlineLevel="2" x14ac:dyDescent="0.25">
      <c r="A4771" s="3" t="str">
        <f>HYPERLINK("http://mystore1.ru/price_items/search?utf8=%E2%9C%93&amp;oem=5343LGSR5RV","5343LGSR5RV")</f>
        <v>5343LGSR5RV</v>
      </c>
      <c r="B4771" s="1" t="s">
        <v>9107</v>
      </c>
      <c r="C4771" s="9" t="s">
        <v>981</v>
      </c>
      <c r="D4771" s="14" t="s">
        <v>9108</v>
      </c>
      <c r="E4771" s="9" t="s">
        <v>11</v>
      </c>
    </row>
    <row r="4772" spans="1:5" ht="15" customHeight="1" outlineLevel="2" x14ac:dyDescent="0.25">
      <c r="A4772" s="3" t="str">
        <f>HYPERLINK("http://mystore1.ru/price_items/search?utf8=%E2%9C%93&amp;oem=5343LYPR5RD","5343LYPR5RD")</f>
        <v>5343LYPR5RD</v>
      </c>
      <c r="B4772" s="1" t="s">
        <v>9109</v>
      </c>
      <c r="C4772" s="9" t="s">
        <v>981</v>
      </c>
      <c r="D4772" s="14" t="s">
        <v>9110</v>
      </c>
      <c r="E4772" s="9" t="s">
        <v>11</v>
      </c>
    </row>
    <row r="4773" spans="1:5" ht="15" customHeight="1" outlineLevel="2" x14ac:dyDescent="0.25">
      <c r="A4773" s="3" t="str">
        <f>HYPERLINK("http://mystore1.ru/price_items/search?utf8=%E2%9C%93&amp;oem=5343RGSR5FD","5343RGSR5FD")</f>
        <v>5343RGSR5FD</v>
      </c>
      <c r="B4773" s="1" t="s">
        <v>9111</v>
      </c>
      <c r="C4773" s="9" t="s">
        <v>981</v>
      </c>
      <c r="D4773" s="14" t="s">
        <v>9112</v>
      </c>
      <c r="E4773" s="9" t="s">
        <v>11</v>
      </c>
    </row>
    <row r="4774" spans="1:5" ht="15" customHeight="1" outlineLevel="2" x14ac:dyDescent="0.25">
      <c r="A4774" s="3" t="str">
        <f>HYPERLINK("http://mystore1.ru/price_items/search?utf8=%E2%9C%93&amp;oem=5343RGSR5RD","5343RGSR5RD")</f>
        <v>5343RGSR5RD</v>
      </c>
      <c r="B4774" s="1" t="s">
        <v>9113</v>
      </c>
      <c r="C4774" s="9" t="s">
        <v>981</v>
      </c>
      <c r="D4774" s="14" t="s">
        <v>9114</v>
      </c>
      <c r="E4774" s="9" t="s">
        <v>11</v>
      </c>
    </row>
    <row r="4775" spans="1:5" ht="15" customHeight="1" outlineLevel="2" x14ac:dyDescent="0.25">
      <c r="A4775" s="3" t="str">
        <f>HYPERLINK("http://mystore1.ru/price_items/search?utf8=%E2%9C%93&amp;oem=5343RGSR5RV","5343RGSR5RV")</f>
        <v>5343RGSR5RV</v>
      </c>
      <c r="B4775" s="1" t="s">
        <v>9115</v>
      </c>
      <c r="C4775" s="9" t="s">
        <v>981</v>
      </c>
      <c r="D4775" s="14" t="s">
        <v>9116</v>
      </c>
      <c r="E4775" s="9" t="s">
        <v>11</v>
      </c>
    </row>
    <row r="4776" spans="1:5" ht="15" customHeight="1" outlineLevel="2" x14ac:dyDescent="0.25">
      <c r="A4776" s="3" t="str">
        <f>HYPERLINK("http://mystore1.ru/price_items/search?utf8=%E2%9C%93&amp;oem=5343RYPR5RD","5343RYPR5RD")</f>
        <v>5343RYPR5RD</v>
      </c>
      <c r="B4776" s="1" t="s">
        <v>9117</v>
      </c>
      <c r="C4776" s="9" t="s">
        <v>981</v>
      </c>
      <c r="D4776" s="14" t="s">
        <v>9118</v>
      </c>
      <c r="E4776" s="9" t="s">
        <v>11</v>
      </c>
    </row>
    <row r="4777" spans="1:5" outlineLevel="1" x14ac:dyDescent="0.25">
      <c r="A4777" s="2"/>
      <c r="B4777" s="6" t="s">
        <v>9119</v>
      </c>
      <c r="C4777" s="8"/>
      <c r="D4777" s="8"/>
      <c r="E4777" s="8"/>
    </row>
    <row r="4778" spans="1:5" ht="15" customHeight="1" outlineLevel="2" x14ac:dyDescent="0.25">
      <c r="A4778" s="3" t="str">
        <f>HYPERLINK("http://mystore1.ru/price_items/search?utf8=%E2%9C%93&amp;oem=5361ABSMVZ","5361ABSMVZ")</f>
        <v>5361ABSMVZ</v>
      </c>
      <c r="B4778" s="1" t="s">
        <v>9120</v>
      </c>
      <c r="C4778" s="9" t="s">
        <v>140</v>
      </c>
      <c r="D4778" s="14" t="s">
        <v>9121</v>
      </c>
      <c r="E4778" s="9" t="s">
        <v>8</v>
      </c>
    </row>
    <row r="4779" spans="1:5" ht="15" customHeight="1" outlineLevel="2" x14ac:dyDescent="0.25">
      <c r="A4779" s="3" t="str">
        <f>HYPERLINK("http://mystore1.ru/price_items/search?utf8=%E2%9C%93&amp;oem=5361AGSMVZ","5361AGSMVZ")</f>
        <v>5361AGSMVZ</v>
      </c>
      <c r="B4779" s="1" t="s">
        <v>9122</v>
      </c>
      <c r="C4779" s="9" t="s">
        <v>140</v>
      </c>
      <c r="D4779" s="14" t="s">
        <v>9123</v>
      </c>
      <c r="E4779" s="9" t="s">
        <v>8</v>
      </c>
    </row>
    <row r="4780" spans="1:5" ht="15" customHeight="1" outlineLevel="2" x14ac:dyDescent="0.25">
      <c r="A4780" s="3" t="str">
        <f>HYPERLINK("http://mystore1.ru/price_items/search?utf8=%E2%9C%93&amp;oem=5361LBSR5FD","5361LBSR5FD")</f>
        <v>5361LBSR5FD</v>
      </c>
      <c r="B4780" s="1" t="s">
        <v>9124</v>
      </c>
      <c r="C4780" s="9" t="s">
        <v>140</v>
      </c>
      <c r="D4780" s="14" t="s">
        <v>9125</v>
      </c>
      <c r="E4780" s="9" t="s">
        <v>11</v>
      </c>
    </row>
    <row r="4781" spans="1:5" ht="15" customHeight="1" outlineLevel="2" x14ac:dyDescent="0.25">
      <c r="A4781" s="3" t="str">
        <f>HYPERLINK("http://mystore1.ru/price_items/search?utf8=%E2%9C%93&amp;oem=5361LBSR5RD","5361LBSR5RD")</f>
        <v>5361LBSR5RD</v>
      </c>
      <c r="B4781" s="1" t="s">
        <v>9126</v>
      </c>
      <c r="C4781" s="9" t="s">
        <v>140</v>
      </c>
      <c r="D4781" s="14" t="s">
        <v>9127</v>
      </c>
      <c r="E4781" s="9" t="s">
        <v>11</v>
      </c>
    </row>
    <row r="4782" spans="1:5" ht="15" customHeight="1" outlineLevel="2" x14ac:dyDescent="0.25">
      <c r="A4782" s="3" t="str">
        <f>HYPERLINK("http://mystore1.ru/price_items/search?utf8=%E2%9C%93&amp;oem=5361LGSR5FD","5361LGSR5FD")</f>
        <v>5361LGSR5FD</v>
      </c>
      <c r="B4782" s="1" t="s">
        <v>9128</v>
      </c>
      <c r="C4782" s="9" t="s">
        <v>140</v>
      </c>
      <c r="D4782" s="14" t="s">
        <v>9129</v>
      </c>
      <c r="E4782" s="9" t="s">
        <v>11</v>
      </c>
    </row>
    <row r="4783" spans="1:5" ht="15" customHeight="1" outlineLevel="2" x14ac:dyDescent="0.25">
      <c r="A4783" s="3" t="str">
        <f>HYPERLINK("http://mystore1.ru/price_items/search?utf8=%E2%9C%93&amp;oem=5361LGSR5RD","5361LGSR5RD")</f>
        <v>5361LGSR5RD</v>
      </c>
      <c r="B4783" s="1" t="s">
        <v>9130</v>
      </c>
      <c r="C4783" s="9" t="s">
        <v>140</v>
      </c>
      <c r="D4783" s="14" t="s">
        <v>9131</v>
      </c>
      <c r="E4783" s="9" t="s">
        <v>11</v>
      </c>
    </row>
    <row r="4784" spans="1:5" ht="15" customHeight="1" outlineLevel="2" x14ac:dyDescent="0.25">
      <c r="A4784" s="3" t="str">
        <f>HYPERLINK("http://mystore1.ru/price_items/search?utf8=%E2%9C%93&amp;oem=5361LYPR5RD","5361LYPR5RD")</f>
        <v>5361LYPR5RD</v>
      </c>
      <c r="B4784" s="1" t="s">
        <v>9132</v>
      </c>
      <c r="C4784" s="9" t="s">
        <v>140</v>
      </c>
      <c r="D4784" s="14" t="s">
        <v>9133</v>
      </c>
      <c r="E4784" s="9" t="s">
        <v>11</v>
      </c>
    </row>
    <row r="4785" spans="1:5" ht="15" customHeight="1" outlineLevel="2" x14ac:dyDescent="0.25">
      <c r="A4785" s="3" t="str">
        <f>HYPERLINK("http://mystore1.ru/price_items/search?utf8=%E2%9C%93&amp;oem=5361RBSR5FD","5361RBSR5FD")</f>
        <v>5361RBSR5FD</v>
      </c>
      <c r="B4785" s="1" t="s">
        <v>9134</v>
      </c>
      <c r="C4785" s="9" t="s">
        <v>140</v>
      </c>
      <c r="D4785" s="14" t="s">
        <v>9135</v>
      </c>
      <c r="E4785" s="9" t="s">
        <v>11</v>
      </c>
    </row>
    <row r="4786" spans="1:5" ht="15" customHeight="1" outlineLevel="2" x14ac:dyDescent="0.25">
      <c r="A4786" s="3" t="str">
        <f>HYPERLINK("http://mystore1.ru/price_items/search?utf8=%E2%9C%93&amp;oem=5361RBSR5RD","5361RBSR5RD")</f>
        <v>5361RBSR5RD</v>
      </c>
      <c r="B4786" s="1" t="s">
        <v>9136</v>
      </c>
      <c r="C4786" s="9" t="s">
        <v>140</v>
      </c>
      <c r="D4786" s="14" t="s">
        <v>9137</v>
      </c>
      <c r="E4786" s="9" t="s">
        <v>11</v>
      </c>
    </row>
    <row r="4787" spans="1:5" ht="15" customHeight="1" outlineLevel="2" x14ac:dyDescent="0.25">
      <c r="A4787" s="3" t="str">
        <f>HYPERLINK("http://mystore1.ru/price_items/search?utf8=%E2%9C%93&amp;oem=5361RCCR5FDKW","5361RCCR5FDKW")</f>
        <v>5361RCCR5FDKW</v>
      </c>
      <c r="B4787" s="1" t="s">
        <v>9138</v>
      </c>
      <c r="C4787" s="9" t="s">
        <v>140</v>
      </c>
      <c r="D4787" s="14" t="s">
        <v>9139</v>
      </c>
      <c r="E4787" s="9" t="s">
        <v>11</v>
      </c>
    </row>
    <row r="4788" spans="1:5" ht="15" customHeight="1" outlineLevel="2" x14ac:dyDescent="0.25">
      <c r="A4788" s="3" t="str">
        <f>HYPERLINK("http://mystore1.ru/price_items/search?utf8=%E2%9C%93&amp;oem=5361RGSR5FD","5361RGSR5FD")</f>
        <v>5361RGSR5FD</v>
      </c>
      <c r="B4788" s="1" t="s">
        <v>9140</v>
      </c>
      <c r="C4788" s="9" t="s">
        <v>140</v>
      </c>
      <c r="D4788" s="14" t="s">
        <v>9141</v>
      </c>
      <c r="E4788" s="9" t="s">
        <v>11</v>
      </c>
    </row>
    <row r="4789" spans="1:5" ht="15" customHeight="1" outlineLevel="2" x14ac:dyDescent="0.25">
      <c r="A4789" s="3" t="str">
        <f>HYPERLINK("http://mystore1.ru/price_items/search?utf8=%E2%9C%93&amp;oem=5361RGSR5RD","5361RGSR5RD")</f>
        <v>5361RGSR5RD</v>
      </c>
      <c r="B4789" s="1" t="s">
        <v>9142</v>
      </c>
      <c r="C4789" s="9" t="s">
        <v>140</v>
      </c>
      <c r="D4789" s="14" t="s">
        <v>9143</v>
      </c>
      <c r="E4789" s="9" t="s">
        <v>11</v>
      </c>
    </row>
    <row r="4790" spans="1:5" ht="15" customHeight="1" outlineLevel="2" x14ac:dyDescent="0.25">
      <c r="A4790" s="3" t="str">
        <f>HYPERLINK("http://mystore1.ru/price_items/search?utf8=%E2%9C%93&amp;oem=5361RYPR5RD","5361RYPR5RD")</f>
        <v>5361RYPR5RD</v>
      </c>
      <c r="B4790" s="1" t="s">
        <v>9144</v>
      </c>
      <c r="C4790" s="9" t="s">
        <v>140</v>
      </c>
      <c r="D4790" s="14" t="s">
        <v>9145</v>
      </c>
      <c r="E4790" s="9" t="s">
        <v>11</v>
      </c>
    </row>
    <row r="4791" spans="1:5" outlineLevel="1" x14ac:dyDescent="0.25">
      <c r="A4791" s="2"/>
      <c r="B4791" s="6" t="s">
        <v>9146</v>
      </c>
      <c r="C4791" s="8"/>
      <c r="D4791" s="8"/>
      <c r="E4791" s="8"/>
    </row>
    <row r="4792" spans="1:5" ht="15" customHeight="1" outlineLevel="2" x14ac:dyDescent="0.25">
      <c r="A4792" s="3" t="str">
        <f>HYPERLINK("http://mystore1.ru/price_items/search?utf8=%E2%9C%93&amp;oem=5363ABSMVZ","5363ABSMVZ")</f>
        <v>5363ABSMVZ</v>
      </c>
      <c r="B4792" s="1" t="s">
        <v>9147</v>
      </c>
      <c r="C4792" s="9" t="s">
        <v>1722</v>
      </c>
      <c r="D4792" s="14" t="s">
        <v>9148</v>
      </c>
      <c r="E4792" s="9" t="s">
        <v>8</v>
      </c>
    </row>
    <row r="4793" spans="1:5" ht="15" customHeight="1" outlineLevel="2" x14ac:dyDescent="0.25">
      <c r="A4793" s="3" t="str">
        <f>HYPERLINK("http://mystore1.ru/price_items/search?utf8=%E2%9C%93&amp;oem=5363AGSMVZ","5363AGSMVZ")</f>
        <v>5363AGSMVZ</v>
      </c>
      <c r="B4793" s="1" t="s">
        <v>9149</v>
      </c>
      <c r="C4793" s="9" t="s">
        <v>1722</v>
      </c>
      <c r="D4793" s="14" t="s">
        <v>9150</v>
      </c>
      <c r="E4793" s="9" t="s">
        <v>8</v>
      </c>
    </row>
    <row r="4794" spans="1:5" ht="15" customHeight="1" outlineLevel="2" x14ac:dyDescent="0.25">
      <c r="A4794" s="3" t="str">
        <f>HYPERLINK("http://mystore1.ru/price_items/search?utf8=%E2%9C%93&amp;oem=5363LBSM5FD","5363LBSM5FD")</f>
        <v>5363LBSM5FD</v>
      </c>
      <c r="B4794" s="1" t="s">
        <v>9151</v>
      </c>
      <c r="C4794" s="9" t="s">
        <v>1722</v>
      </c>
      <c r="D4794" s="14" t="s">
        <v>9152</v>
      </c>
      <c r="E4794" s="9" t="s">
        <v>11</v>
      </c>
    </row>
    <row r="4795" spans="1:5" ht="15" customHeight="1" outlineLevel="2" x14ac:dyDescent="0.25">
      <c r="A4795" s="3" t="str">
        <f>HYPERLINK("http://mystore1.ru/price_items/search?utf8=%E2%9C%93&amp;oem=5363LGSM5FD","5363LGSM5FD")</f>
        <v>5363LGSM5FD</v>
      </c>
      <c r="B4795" s="1" t="s">
        <v>9153</v>
      </c>
      <c r="C4795" s="9" t="s">
        <v>1722</v>
      </c>
      <c r="D4795" s="14" t="s">
        <v>9154</v>
      </c>
      <c r="E4795" s="9" t="s">
        <v>11</v>
      </c>
    </row>
    <row r="4796" spans="1:5" ht="15" customHeight="1" outlineLevel="2" x14ac:dyDescent="0.25">
      <c r="A4796" s="3" t="str">
        <f>HYPERLINK("http://mystore1.ru/price_items/search?utf8=%E2%9C%93&amp;oem=5363LYPM5RD1J","5363LYPM5RD1J")</f>
        <v>5363LYPM5RD1J</v>
      </c>
      <c r="B4796" s="1" t="s">
        <v>9155</v>
      </c>
      <c r="C4796" s="9" t="s">
        <v>1722</v>
      </c>
      <c r="D4796" s="14" t="s">
        <v>9156</v>
      </c>
      <c r="E4796" s="9" t="s">
        <v>11</v>
      </c>
    </row>
    <row r="4797" spans="1:5" ht="15" customHeight="1" outlineLevel="2" x14ac:dyDescent="0.25">
      <c r="A4797" s="3" t="str">
        <f>HYPERLINK("http://mystore1.ru/price_items/search?utf8=%E2%9C%93&amp;oem=5363RBSM5FD","5363RBSM5FD")</f>
        <v>5363RBSM5FD</v>
      </c>
      <c r="B4797" s="1" t="s">
        <v>9157</v>
      </c>
      <c r="C4797" s="9" t="s">
        <v>1722</v>
      </c>
      <c r="D4797" s="14" t="s">
        <v>9158</v>
      </c>
      <c r="E4797" s="9" t="s">
        <v>11</v>
      </c>
    </row>
    <row r="4798" spans="1:5" ht="15" customHeight="1" outlineLevel="2" x14ac:dyDescent="0.25">
      <c r="A4798" s="3" t="str">
        <f>HYPERLINK("http://mystore1.ru/price_items/search?utf8=%E2%9C%93&amp;oem=5363RBSM5RD1J","5363RBSM5RD1J")</f>
        <v>5363RBSM5RD1J</v>
      </c>
      <c r="B4798" s="1" t="s">
        <v>9159</v>
      </c>
      <c r="C4798" s="9" t="s">
        <v>1722</v>
      </c>
      <c r="D4798" s="14" t="s">
        <v>9160</v>
      </c>
      <c r="E4798" s="9" t="s">
        <v>11</v>
      </c>
    </row>
    <row r="4799" spans="1:5" ht="15" customHeight="1" outlineLevel="2" x14ac:dyDescent="0.25">
      <c r="A4799" s="3" t="str">
        <f>HYPERLINK("http://mystore1.ru/price_items/search?utf8=%E2%9C%93&amp;oem=5363RGSM5FD","5363RGSM5FD")</f>
        <v>5363RGSM5FD</v>
      </c>
      <c r="B4799" s="1" t="s">
        <v>9161</v>
      </c>
      <c r="C4799" s="9" t="s">
        <v>1722</v>
      </c>
      <c r="D4799" s="14" t="s">
        <v>9162</v>
      </c>
      <c r="E4799" s="9" t="s">
        <v>11</v>
      </c>
    </row>
    <row r="4800" spans="1:5" ht="15" customHeight="1" outlineLevel="2" x14ac:dyDescent="0.25">
      <c r="A4800" s="3" t="str">
        <f>HYPERLINK("http://mystore1.ru/price_items/search?utf8=%E2%9C%93&amp;oem=5363RGSM5RD1J","5363RGSM5RD1J")</f>
        <v>5363RGSM5RD1J</v>
      </c>
      <c r="B4800" s="1" t="s">
        <v>9163</v>
      </c>
      <c r="C4800" s="9" t="s">
        <v>1722</v>
      </c>
      <c r="D4800" s="14" t="s">
        <v>9164</v>
      </c>
      <c r="E4800" s="9" t="s">
        <v>11</v>
      </c>
    </row>
    <row r="4801" spans="1:5" ht="15" customHeight="1" outlineLevel="2" x14ac:dyDescent="0.25">
      <c r="A4801" s="3" t="str">
        <f>HYPERLINK("http://mystore1.ru/price_items/search?utf8=%E2%9C%93&amp;oem=5363RYPM5RD1J","5363RYPM5RD1J")</f>
        <v>5363RYPM5RD1J</v>
      </c>
      <c r="B4801" s="1" t="s">
        <v>9165</v>
      </c>
      <c r="C4801" s="9" t="s">
        <v>1722</v>
      </c>
      <c r="D4801" s="14" t="s">
        <v>9166</v>
      </c>
      <c r="E4801" s="9" t="s">
        <v>11</v>
      </c>
    </row>
    <row r="4802" spans="1:5" outlineLevel="1" x14ac:dyDescent="0.25">
      <c r="A4802" s="2"/>
      <c r="B4802" s="6" t="s">
        <v>9167</v>
      </c>
      <c r="C4802" s="8"/>
      <c r="D4802" s="8"/>
      <c r="E4802" s="8"/>
    </row>
    <row r="4803" spans="1:5" ht="15" customHeight="1" outlineLevel="2" x14ac:dyDescent="0.25">
      <c r="A4803" s="3" t="str">
        <f>HYPERLINK("http://mystore1.ru/price_items/search?utf8=%E2%9C%93&amp;oem=5346AGSGYAHJMVW","5346AGSGYAHJMVW")</f>
        <v>5346AGSGYAHJMVW</v>
      </c>
      <c r="B4803" s="1" t="s">
        <v>9168</v>
      </c>
      <c r="C4803" s="9" t="s">
        <v>959</v>
      </c>
      <c r="D4803" s="14" t="s">
        <v>9169</v>
      </c>
      <c r="E4803" s="9" t="s">
        <v>8</v>
      </c>
    </row>
    <row r="4804" spans="1:5" ht="15" customHeight="1" outlineLevel="2" x14ac:dyDescent="0.25">
      <c r="A4804" s="3" t="str">
        <f>HYPERLINK("http://mystore1.ru/price_items/search?utf8=%E2%9C%93&amp;oem=5346AGSGYAJPVW","5346AGSGYAJPVW")</f>
        <v>5346AGSGYAJPVW</v>
      </c>
      <c r="B4804" s="1" t="s">
        <v>9170</v>
      </c>
      <c r="C4804" s="9" t="s">
        <v>959</v>
      </c>
      <c r="D4804" s="14" t="s">
        <v>9171</v>
      </c>
      <c r="E4804" s="9" t="s">
        <v>8</v>
      </c>
    </row>
    <row r="4805" spans="1:5" ht="15" customHeight="1" outlineLevel="2" x14ac:dyDescent="0.25">
      <c r="A4805" s="3" t="str">
        <f>HYPERLINK("http://mystore1.ru/price_items/search?utf8=%E2%9C%93&amp;oem=5346BGSTW","5346BGSTW")</f>
        <v>5346BGSTW</v>
      </c>
      <c r="B4805" s="1" t="s">
        <v>9172</v>
      </c>
      <c r="C4805" s="9" t="s">
        <v>959</v>
      </c>
      <c r="D4805" s="14" t="s">
        <v>9173</v>
      </c>
      <c r="E4805" s="9" t="s">
        <v>30</v>
      </c>
    </row>
    <row r="4806" spans="1:5" ht="15" customHeight="1" outlineLevel="2" x14ac:dyDescent="0.25">
      <c r="A4806" s="3" t="str">
        <f>HYPERLINK("http://mystore1.ru/price_items/search?utf8=%E2%9C%93&amp;oem=5346LGST2FD","5346LGST2FD")</f>
        <v>5346LGST2FD</v>
      </c>
      <c r="B4806" s="1" t="s">
        <v>9174</v>
      </c>
      <c r="C4806" s="9" t="s">
        <v>959</v>
      </c>
      <c r="D4806" s="14" t="s">
        <v>9175</v>
      </c>
      <c r="E4806" s="9" t="s">
        <v>11</v>
      </c>
    </row>
    <row r="4807" spans="1:5" ht="15" customHeight="1" outlineLevel="2" x14ac:dyDescent="0.25">
      <c r="A4807" s="3" t="str">
        <f>HYPERLINK("http://mystore1.ru/price_items/search?utf8=%E2%9C%93&amp;oem=5346RGST2FD","5346RGST2FD")</f>
        <v>5346RGST2FD</v>
      </c>
      <c r="B4807" s="1" t="s">
        <v>9176</v>
      </c>
      <c r="C4807" s="9" t="s">
        <v>959</v>
      </c>
      <c r="D4807" s="14" t="s">
        <v>9177</v>
      </c>
      <c r="E4807" s="9" t="s">
        <v>11</v>
      </c>
    </row>
    <row r="4808" spans="1:5" outlineLevel="1" x14ac:dyDescent="0.25">
      <c r="A4808" s="2"/>
      <c r="B4808" s="6" t="s">
        <v>9178</v>
      </c>
      <c r="C4808" s="8"/>
      <c r="D4808" s="8"/>
      <c r="E4808" s="8"/>
    </row>
    <row r="4809" spans="1:5" ht="15" customHeight="1" outlineLevel="2" x14ac:dyDescent="0.25">
      <c r="A4809" s="3" t="str">
        <f>HYPERLINK("http://mystore1.ru/price_items/search?utf8=%E2%9C%93&amp;oem=5339AGNV","5339AGNV")</f>
        <v>5339AGNV</v>
      </c>
      <c r="B4809" s="1" t="s">
        <v>9179</v>
      </c>
      <c r="C4809" s="9" t="s">
        <v>2789</v>
      </c>
      <c r="D4809" s="14" t="s">
        <v>9180</v>
      </c>
      <c r="E4809" s="9" t="s">
        <v>8</v>
      </c>
    </row>
    <row r="4810" spans="1:5" ht="15" customHeight="1" outlineLevel="2" x14ac:dyDescent="0.25">
      <c r="A4810" s="3" t="str">
        <f>HYPERLINK("http://mystore1.ru/price_items/search?utf8=%E2%9C%93&amp;oem=5339ASMTT","5339ASMTT")</f>
        <v>5339ASMTT</v>
      </c>
      <c r="B4810" s="1" t="s">
        <v>9181</v>
      </c>
      <c r="C4810" s="9" t="s">
        <v>25</v>
      </c>
      <c r="D4810" s="14" t="s">
        <v>9182</v>
      </c>
      <c r="E4810" s="9" t="s">
        <v>27</v>
      </c>
    </row>
    <row r="4811" spans="1:5" ht="15" customHeight="1" outlineLevel="2" x14ac:dyDescent="0.25">
      <c r="A4811" s="3" t="str">
        <f>HYPERLINK("http://mystore1.ru/price_items/search?utf8=%E2%9C%93&amp;oem=5339BGNTZ","5339BGNTZ")</f>
        <v>5339BGNTZ</v>
      </c>
      <c r="B4811" s="1" t="s">
        <v>9183</v>
      </c>
      <c r="C4811" s="9" t="s">
        <v>6954</v>
      </c>
      <c r="D4811" s="14" t="s">
        <v>9184</v>
      </c>
      <c r="E4811" s="9" t="s">
        <v>30</v>
      </c>
    </row>
    <row r="4812" spans="1:5" ht="15" customHeight="1" outlineLevel="2" x14ac:dyDescent="0.25">
      <c r="A4812" s="3" t="str">
        <f>HYPERLINK("http://mystore1.ru/price_items/search?utf8=%E2%9C%93&amp;oem=5339LGNT2FD","5339LGNT2FD")</f>
        <v>5339LGNT2FD</v>
      </c>
      <c r="B4812" s="1" t="s">
        <v>9185</v>
      </c>
      <c r="C4812" s="9" t="s">
        <v>6954</v>
      </c>
      <c r="D4812" s="14" t="s">
        <v>9186</v>
      </c>
      <c r="E4812" s="9" t="s">
        <v>11</v>
      </c>
    </row>
    <row r="4813" spans="1:5" ht="15" customHeight="1" outlineLevel="2" x14ac:dyDescent="0.25">
      <c r="A4813" s="3" t="str">
        <f>HYPERLINK("http://mystore1.ru/price_items/search?utf8=%E2%9C%93&amp;oem=5339LGNT2RQOW","5339LGNT2RQOW")</f>
        <v>5339LGNT2RQOW</v>
      </c>
      <c r="B4813" s="1" t="s">
        <v>9187</v>
      </c>
      <c r="C4813" s="9" t="s">
        <v>6954</v>
      </c>
      <c r="D4813" s="14" t="s">
        <v>9188</v>
      </c>
      <c r="E4813" s="9" t="s">
        <v>11</v>
      </c>
    </row>
    <row r="4814" spans="1:5" ht="15" customHeight="1" outlineLevel="2" x14ac:dyDescent="0.25">
      <c r="A4814" s="3" t="str">
        <f>HYPERLINK("http://mystore1.ru/price_items/search?utf8=%E2%9C%93&amp;oem=5339RGNT2FD","5339RGNT2FD")</f>
        <v>5339RGNT2FD</v>
      </c>
      <c r="B4814" s="1" t="s">
        <v>9189</v>
      </c>
      <c r="C4814" s="9" t="s">
        <v>6954</v>
      </c>
      <c r="D4814" s="14" t="s">
        <v>9190</v>
      </c>
      <c r="E4814" s="9" t="s">
        <v>11</v>
      </c>
    </row>
    <row r="4815" spans="1:5" ht="15" customHeight="1" outlineLevel="2" x14ac:dyDescent="0.25">
      <c r="A4815" s="3" t="str">
        <f>HYPERLINK("http://mystore1.ru/price_items/search?utf8=%E2%9C%93&amp;oem=5339RGNT2RQOW","5339RGNT2RQOW")</f>
        <v>5339RGNT2RQOW</v>
      </c>
      <c r="B4815" s="1" t="s">
        <v>9191</v>
      </c>
      <c r="C4815" s="9" t="s">
        <v>6954</v>
      </c>
      <c r="D4815" s="14" t="s">
        <v>9192</v>
      </c>
      <c r="E4815" s="9" t="s">
        <v>11</v>
      </c>
    </row>
    <row r="4816" spans="1:5" outlineLevel="1" x14ac:dyDescent="0.25">
      <c r="A4816" s="2"/>
      <c r="B4816" s="6" t="s">
        <v>9193</v>
      </c>
      <c r="C4816" s="8"/>
      <c r="D4816" s="8"/>
      <c r="E4816" s="8"/>
    </row>
    <row r="4817" spans="1:5" ht="15" customHeight="1" outlineLevel="2" x14ac:dyDescent="0.25">
      <c r="A4817" s="3" t="str">
        <f>HYPERLINK("http://mystore1.ru/price_items/search?utf8=%E2%9C%93&amp;oem=5320ACL","5320ACL")</f>
        <v>5320ACL</v>
      </c>
      <c r="B4817" s="1" t="s">
        <v>9194</v>
      </c>
      <c r="C4817" s="9" t="s">
        <v>1393</v>
      </c>
      <c r="D4817" s="14" t="s">
        <v>9195</v>
      </c>
      <c r="E4817" s="9" t="s">
        <v>8</v>
      </c>
    </row>
    <row r="4818" spans="1:5" ht="15" customHeight="1" outlineLevel="2" x14ac:dyDescent="0.25">
      <c r="A4818" s="3" t="str">
        <f>HYPERLINK("http://mystore1.ru/price_items/search?utf8=%E2%9C%93&amp;oem=5320AGN","5320AGN")</f>
        <v>5320AGN</v>
      </c>
      <c r="B4818" s="1" t="s">
        <v>9196</v>
      </c>
      <c r="C4818" s="9" t="s">
        <v>1393</v>
      </c>
      <c r="D4818" s="14" t="s">
        <v>9197</v>
      </c>
      <c r="E4818" s="9" t="s">
        <v>8</v>
      </c>
    </row>
    <row r="4819" spans="1:5" ht="15" customHeight="1" outlineLevel="2" x14ac:dyDescent="0.25">
      <c r="A4819" s="3" t="str">
        <f>HYPERLINK("http://mystore1.ru/price_items/search?utf8=%E2%9C%93&amp;oem=5320AGNBL","5320AGNBL")</f>
        <v>5320AGNBL</v>
      </c>
      <c r="B4819" s="1" t="s">
        <v>9198</v>
      </c>
      <c r="C4819" s="9" t="s">
        <v>1393</v>
      </c>
      <c r="D4819" s="14" t="s">
        <v>9199</v>
      </c>
      <c r="E4819" s="9" t="s">
        <v>8</v>
      </c>
    </row>
    <row r="4820" spans="1:5" ht="15" customHeight="1" outlineLevel="2" x14ac:dyDescent="0.25">
      <c r="A4820" s="3" t="str">
        <f>HYPERLINK("http://mystore1.ru/price_items/search?utf8=%E2%9C%93&amp;oem=5320AGNGN","5320AGNGN")</f>
        <v>5320AGNGN</v>
      </c>
      <c r="B4820" s="1" t="s">
        <v>9200</v>
      </c>
      <c r="C4820" s="9" t="s">
        <v>1393</v>
      </c>
      <c r="D4820" s="14" t="s">
        <v>9201</v>
      </c>
      <c r="E4820" s="9" t="s">
        <v>8</v>
      </c>
    </row>
    <row r="4821" spans="1:5" ht="15" customHeight="1" outlineLevel="2" x14ac:dyDescent="0.25">
      <c r="A4821" s="3" t="str">
        <f>HYPERLINK("http://mystore1.ru/price_items/search?utf8=%E2%9C%93&amp;oem=5320ASRS","5320ASRS")</f>
        <v>5320ASRS</v>
      </c>
      <c r="B4821" s="1" t="s">
        <v>9202</v>
      </c>
      <c r="C4821" s="9" t="s">
        <v>25</v>
      </c>
      <c r="D4821" s="14" t="s">
        <v>9203</v>
      </c>
      <c r="E4821" s="9" t="s">
        <v>27</v>
      </c>
    </row>
    <row r="4822" spans="1:5" ht="15" customHeight="1" outlineLevel="2" x14ac:dyDescent="0.25">
      <c r="A4822" s="3" t="str">
        <f>HYPERLINK("http://mystore1.ru/price_items/search?utf8=%E2%9C%93&amp;oem=5320BGNS","5320BGNS")</f>
        <v>5320BGNS</v>
      </c>
      <c r="B4822" s="1" t="s">
        <v>9204</v>
      </c>
      <c r="C4822" s="9" t="s">
        <v>9205</v>
      </c>
      <c r="D4822" s="14" t="s">
        <v>9206</v>
      </c>
      <c r="E4822" s="9" t="s">
        <v>30</v>
      </c>
    </row>
    <row r="4823" spans="1:5" ht="15" customHeight="1" outlineLevel="2" x14ac:dyDescent="0.25">
      <c r="A4823" s="3" t="str">
        <f>HYPERLINK("http://mystore1.ru/price_items/search?utf8=%E2%9C%93&amp;oem=5320BSRS","5320BSRS")</f>
        <v>5320BSRS</v>
      </c>
      <c r="B4823" s="1" t="s">
        <v>9207</v>
      </c>
      <c r="C4823" s="9" t="s">
        <v>25</v>
      </c>
      <c r="D4823" s="14" t="s">
        <v>9208</v>
      </c>
      <c r="E4823" s="9" t="s">
        <v>27</v>
      </c>
    </row>
    <row r="4824" spans="1:5" ht="15" customHeight="1" outlineLevel="2" x14ac:dyDescent="0.25">
      <c r="A4824" s="3" t="str">
        <f>HYPERLINK("http://mystore1.ru/price_items/search?utf8=%E2%9C%93&amp;oem=5320LCLS4FD","5320LCLS4FD")</f>
        <v>5320LCLS4FD</v>
      </c>
      <c r="B4824" s="1" t="s">
        <v>9209</v>
      </c>
      <c r="C4824" s="9" t="s">
        <v>9205</v>
      </c>
      <c r="D4824" s="14" t="s">
        <v>9210</v>
      </c>
      <c r="E4824" s="9" t="s">
        <v>11</v>
      </c>
    </row>
    <row r="4825" spans="1:5" ht="15" customHeight="1" outlineLevel="2" x14ac:dyDescent="0.25">
      <c r="A4825" s="3" t="str">
        <f>HYPERLINK("http://mystore1.ru/price_items/search?utf8=%E2%9C%93&amp;oem=5320LCLS4RV","5320LCLS4RV")</f>
        <v>5320LCLS4RV</v>
      </c>
      <c r="B4825" s="1" t="s">
        <v>9211</v>
      </c>
      <c r="C4825" s="9" t="s">
        <v>9205</v>
      </c>
      <c r="D4825" s="14" t="s">
        <v>9212</v>
      </c>
      <c r="E4825" s="9" t="s">
        <v>11</v>
      </c>
    </row>
    <row r="4826" spans="1:5" ht="15" customHeight="1" outlineLevel="2" x14ac:dyDescent="0.25">
      <c r="A4826" s="3" t="str">
        <f>HYPERLINK("http://mystore1.ru/price_items/search?utf8=%E2%9C%93&amp;oem=5320LGNE5RV","5320LGNE5RV")</f>
        <v>5320LGNE5RV</v>
      </c>
      <c r="B4826" s="1" t="s">
        <v>9213</v>
      </c>
      <c r="C4826" s="9" t="s">
        <v>9205</v>
      </c>
      <c r="D4826" s="14" t="s">
        <v>9214</v>
      </c>
      <c r="E4826" s="9" t="s">
        <v>11</v>
      </c>
    </row>
    <row r="4827" spans="1:5" ht="15" customHeight="1" outlineLevel="2" x14ac:dyDescent="0.25">
      <c r="A4827" s="3" t="str">
        <f>HYPERLINK("http://mystore1.ru/price_items/search?utf8=%E2%9C%93&amp;oem=5320LGNS4FD","5320LGNS4FD")</f>
        <v>5320LGNS4FD</v>
      </c>
      <c r="B4827" s="1" t="s">
        <v>9215</v>
      </c>
      <c r="C4827" s="9" t="s">
        <v>9205</v>
      </c>
      <c r="D4827" s="14" t="s">
        <v>9216</v>
      </c>
      <c r="E4827" s="9" t="s">
        <v>11</v>
      </c>
    </row>
    <row r="4828" spans="1:5" ht="15" customHeight="1" outlineLevel="2" x14ac:dyDescent="0.25">
      <c r="A4828" s="3" t="str">
        <f>HYPERLINK("http://mystore1.ru/price_items/search?utf8=%E2%9C%93&amp;oem=5320LGNS4RD","5320LGNS4RD")</f>
        <v>5320LGNS4RD</v>
      </c>
      <c r="B4828" s="1" t="s">
        <v>9217</v>
      </c>
      <c r="C4828" s="9" t="s">
        <v>9205</v>
      </c>
      <c r="D4828" s="14" t="s">
        <v>9218</v>
      </c>
      <c r="E4828" s="9" t="s">
        <v>11</v>
      </c>
    </row>
    <row r="4829" spans="1:5" ht="15" customHeight="1" outlineLevel="2" x14ac:dyDescent="0.25">
      <c r="A4829" s="3" t="str">
        <f>HYPERLINK("http://mystore1.ru/price_items/search?utf8=%E2%9C%93&amp;oem=5320LGNS4RV","5320LGNS4RV")</f>
        <v>5320LGNS4RV</v>
      </c>
      <c r="B4829" s="1" t="s">
        <v>9219</v>
      </c>
      <c r="C4829" s="9" t="s">
        <v>9205</v>
      </c>
      <c r="D4829" s="14" t="s">
        <v>9220</v>
      </c>
      <c r="E4829" s="9" t="s">
        <v>11</v>
      </c>
    </row>
    <row r="4830" spans="1:5" ht="15" customHeight="1" outlineLevel="2" x14ac:dyDescent="0.25">
      <c r="A4830" s="3" t="str">
        <f>HYPERLINK("http://mystore1.ru/price_items/search?utf8=%E2%9C%93&amp;oem=5320RCLS4FD","5320RCLS4FD")</f>
        <v>5320RCLS4FD</v>
      </c>
      <c r="B4830" s="1" t="s">
        <v>9221</v>
      </c>
      <c r="C4830" s="9" t="s">
        <v>9205</v>
      </c>
      <c r="D4830" s="14" t="s">
        <v>9222</v>
      </c>
      <c r="E4830" s="9" t="s">
        <v>11</v>
      </c>
    </row>
    <row r="4831" spans="1:5" ht="15" customHeight="1" outlineLevel="2" x14ac:dyDescent="0.25">
      <c r="A4831" s="3" t="str">
        <f>HYPERLINK("http://mystore1.ru/price_items/search?utf8=%E2%9C%93&amp;oem=5320RCLS4RV","5320RCLS4RV")</f>
        <v>5320RCLS4RV</v>
      </c>
      <c r="B4831" s="1" t="s">
        <v>9223</v>
      </c>
      <c r="C4831" s="9" t="s">
        <v>9205</v>
      </c>
      <c r="D4831" s="14" t="s">
        <v>9224</v>
      </c>
      <c r="E4831" s="9" t="s">
        <v>11</v>
      </c>
    </row>
    <row r="4832" spans="1:5" ht="15" customHeight="1" outlineLevel="2" x14ac:dyDescent="0.25">
      <c r="A4832" s="3" t="str">
        <f>HYPERLINK("http://mystore1.ru/price_items/search?utf8=%E2%9C%93&amp;oem=5320RGNS4FD","5320RGNS4FD")</f>
        <v>5320RGNS4FD</v>
      </c>
      <c r="B4832" s="1" t="s">
        <v>9225</v>
      </c>
      <c r="C4832" s="9" t="s">
        <v>9205</v>
      </c>
      <c r="D4832" s="14" t="s">
        <v>9226</v>
      </c>
      <c r="E4832" s="9" t="s">
        <v>11</v>
      </c>
    </row>
    <row r="4833" spans="1:5" ht="15" customHeight="1" outlineLevel="2" x14ac:dyDescent="0.25">
      <c r="A4833" s="3" t="str">
        <f>HYPERLINK("http://mystore1.ru/price_items/search?utf8=%E2%9C%93&amp;oem=5320RGNS4RD","5320RGNS4RD")</f>
        <v>5320RGNS4RD</v>
      </c>
      <c r="B4833" s="1" t="s">
        <v>9227</v>
      </c>
      <c r="C4833" s="9" t="s">
        <v>9205</v>
      </c>
      <c r="D4833" s="14" t="s">
        <v>9228</v>
      </c>
      <c r="E4833" s="9" t="s">
        <v>11</v>
      </c>
    </row>
    <row r="4834" spans="1:5" ht="15" customHeight="1" outlineLevel="2" x14ac:dyDescent="0.25">
      <c r="A4834" s="3" t="str">
        <f>HYPERLINK("http://mystore1.ru/price_items/search?utf8=%E2%9C%93&amp;oem=5320RGNS4RV","5320RGNS4RV")</f>
        <v>5320RGNS4RV</v>
      </c>
      <c r="B4834" s="1" t="s">
        <v>9229</v>
      </c>
      <c r="C4834" s="9" t="s">
        <v>9205</v>
      </c>
      <c r="D4834" s="14" t="s">
        <v>9230</v>
      </c>
      <c r="E4834" s="9" t="s">
        <v>11</v>
      </c>
    </row>
    <row r="4835" spans="1:5" outlineLevel="1" x14ac:dyDescent="0.25">
      <c r="A4835" s="2"/>
      <c r="B4835" s="6" t="s">
        <v>9231</v>
      </c>
      <c r="C4835" s="8"/>
      <c r="D4835" s="8"/>
      <c r="E4835" s="8"/>
    </row>
    <row r="4836" spans="1:5" ht="15" customHeight="1" outlineLevel="2" x14ac:dyDescent="0.25">
      <c r="A4836" s="3" t="str">
        <f>HYPERLINK("http://mystore1.ru/price_items/search?utf8=%E2%9C%93&amp;oem=5321AGN","5321AGN")</f>
        <v>5321AGN</v>
      </c>
      <c r="B4836" s="1" t="s">
        <v>9232</v>
      </c>
      <c r="C4836" s="9" t="s">
        <v>9233</v>
      </c>
      <c r="D4836" s="14" t="s">
        <v>9234</v>
      </c>
      <c r="E4836" s="9" t="s">
        <v>8</v>
      </c>
    </row>
    <row r="4837" spans="1:5" outlineLevel="1" x14ac:dyDescent="0.25">
      <c r="A4837" s="2"/>
      <c r="B4837" s="6" t="s">
        <v>9235</v>
      </c>
      <c r="C4837" s="8"/>
      <c r="D4837" s="8"/>
      <c r="E4837" s="8"/>
    </row>
    <row r="4838" spans="1:5" ht="15" customHeight="1" outlineLevel="2" x14ac:dyDescent="0.25">
      <c r="A4838" s="3" t="str">
        <f>HYPERLINK("http://mystore1.ru/price_items/search?utf8=%E2%9C%93&amp;oem=5330AGN","5330AGN")</f>
        <v>5330AGN</v>
      </c>
      <c r="B4838" s="1" t="s">
        <v>9236</v>
      </c>
      <c r="C4838" s="9" t="s">
        <v>859</v>
      </c>
      <c r="D4838" s="14" t="s">
        <v>9237</v>
      </c>
      <c r="E4838" s="9" t="s">
        <v>8</v>
      </c>
    </row>
    <row r="4839" spans="1:5" ht="15" customHeight="1" outlineLevel="2" x14ac:dyDescent="0.25">
      <c r="A4839" s="3" t="str">
        <f>HYPERLINK("http://mystore1.ru/price_items/search?utf8=%E2%9C%93&amp;oem=5330AGNBL","5330AGNBL")</f>
        <v>5330AGNBL</v>
      </c>
      <c r="B4839" s="1" t="s">
        <v>9238</v>
      </c>
      <c r="C4839" s="9" t="s">
        <v>859</v>
      </c>
      <c r="D4839" s="14" t="s">
        <v>9239</v>
      </c>
      <c r="E4839" s="9" t="s">
        <v>8</v>
      </c>
    </row>
    <row r="4840" spans="1:5" ht="15" customHeight="1" outlineLevel="2" x14ac:dyDescent="0.25">
      <c r="A4840" s="3" t="str">
        <f>HYPERLINK("http://mystore1.ru/price_items/search?utf8=%E2%9C%93&amp;oem=5330AGNGN","5330AGNGN")</f>
        <v>5330AGNGN</v>
      </c>
      <c r="B4840" s="1" t="s">
        <v>9240</v>
      </c>
      <c r="C4840" s="9" t="s">
        <v>859</v>
      </c>
      <c r="D4840" s="14" t="s">
        <v>9241</v>
      </c>
      <c r="E4840" s="9" t="s">
        <v>8</v>
      </c>
    </row>
    <row r="4841" spans="1:5" ht="15" customHeight="1" outlineLevel="2" x14ac:dyDescent="0.25">
      <c r="A4841" s="3" t="str">
        <f>HYPERLINK("http://mystore1.ru/price_items/search?utf8=%E2%9C%93&amp;oem=5330BGNCK","5330BGNCK")</f>
        <v>5330BGNCK</v>
      </c>
      <c r="B4841" s="1" t="s">
        <v>9242</v>
      </c>
      <c r="C4841" s="9" t="s">
        <v>859</v>
      </c>
      <c r="D4841" s="14" t="s">
        <v>9243</v>
      </c>
      <c r="E4841" s="9" t="s">
        <v>30</v>
      </c>
    </row>
    <row r="4842" spans="1:5" ht="15" customHeight="1" outlineLevel="2" x14ac:dyDescent="0.25">
      <c r="A4842" s="3" t="str">
        <f>HYPERLINK("http://mystore1.ru/price_items/search?utf8=%E2%9C%93&amp;oem=5330LGNC2FDW","5330LGNC2FDW")</f>
        <v>5330LGNC2FDW</v>
      </c>
      <c r="B4842" s="1" t="s">
        <v>9244</v>
      </c>
      <c r="C4842" s="9" t="s">
        <v>859</v>
      </c>
      <c r="D4842" s="14" t="s">
        <v>9245</v>
      </c>
      <c r="E4842" s="9" t="s">
        <v>11</v>
      </c>
    </row>
    <row r="4843" spans="1:5" ht="15" customHeight="1" outlineLevel="2" x14ac:dyDescent="0.25">
      <c r="A4843" s="3" t="str">
        <f>HYPERLINK("http://mystore1.ru/price_items/search?utf8=%E2%9C%93&amp;oem=5330RGNC2FDW","5330RGNC2FDW")</f>
        <v>5330RGNC2FDW</v>
      </c>
      <c r="B4843" s="1" t="s">
        <v>9246</v>
      </c>
      <c r="C4843" s="9" t="s">
        <v>859</v>
      </c>
      <c r="D4843" s="14" t="s">
        <v>9247</v>
      </c>
      <c r="E4843" s="9" t="s">
        <v>11</v>
      </c>
    </row>
    <row r="4844" spans="1:5" outlineLevel="1" x14ac:dyDescent="0.25">
      <c r="A4844" s="2"/>
      <c r="B4844" s="6" t="s">
        <v>9248</v>
      </c>
      <c r="C4844" s="8"/>
      <c r="D4844" s="8"/>
      <c r="E4844" s="8"/>
    </row>
    <row r="4845" spans="1:5" ht="15" customHeight="1" outlineLevel="2" x14ac:dyDescent="0.25">
      <c r="A4845" s="3" t="str">
        <f>HYPERLINK("http://mystore1.ru/price_items/search?utf8=%E2%9C%93&amp;oem=5328ACL","5328ACL")</f>
        <v>5328ACL</v>
      </c>
      <c r="B4845" s="1" t="s">
        <v>9249</v>
      </c>
      <c r="C4845" s="9" t="s">
        <v>9250</v>
      </c>
      <c r="D4845" s="14" t="s">
        <v>9251</v>
      </c>
      <c r="E4845" s="9" t="s">
        <v>8</v>
      </c>
    </row>
    <row r="4846" spans="1:5" ht="15" customHeight="1" outlineLevel="2" x14ac:dyDescent="0.25">
      <c r="A4846" s="3" t="str">
        <f>HYPERLINK("http://mystore1.ru/price_items/search?utf8=%E2%9C%93&amp;oem=5328AGN","5328AGN")</f>
        <v>5328AGN</v>
      </c>
      <c r="B4846" s="1" t="s">
        <v>9252</v>
      </c>
      <c r="C4846" s="9" t="s">
        <v>9250</v>
      </c>
      <c r="D4846" s="14" t="s">
        <v>9253</v>
      </c>
      <c r="E4846" s="9" t="s">
        <v>8</v>
      </c>
    </row>
    <row r="4847" spans="1:5" ht="15" customHeight="1" outlineLevel="2" x14ac:dyDescent="0.25">
      <c r="A4847" s="3" t="str">
        <f>HYPERLINK("http://mystore1.ru/price_items/search?utf8=%E2%9C%93&amp;oem=5328AGNBL","5328AGNBL")</f>
        <v>5328AGNBL</v>
      </c>
      <c r="B4847" s="1" t="s">
        <v>9254</v>
      </c>
      <c r="C4847" s="9" t="s">
        <v>9250</v>
      </c>
      <c r="D4847" s="14" t="s">
        <v>9255</v>
      </c>
      <c r="E4847" s="9" t="s">
        <v>8</v>
      </c>
    </row>
    <row r="4848" spans="1:5" ht="15" customHeight="1" outlineLevel="2" x14ac:dyDescent="0.25">
      <c r="A4848" s="3" t="str">
        <f>HYPERLINK("http://mystore1.ru/price_items/search?utf8=%E2%9C%93&amp;oem=5328AGNGN","5328AGNGN")</f>
        <v>5328AGNGN</v>
      </c>
      <c r="B4848" s="1" t="s">
        <v>9256</v>
      </c>
      <c r="C4848" s="9" t="s">
        <v>9250</v>
      </c>
      <c r="D4848" s="14" t="s">
        <v>9257</v>
      </c>
      <c r="E4848" s="9" t="s">
        <v>8</v>
      </c>
    </row>
    <row r="4849" spans="1:5" ht="15" customHeight="1" outlineLevel="2" x14ac:dyDescent="0.25">
      <c r="A4849" s="3" t="str">
        <f>HYPERLINK("http://mystore1.ru/price_items/search?utf8=%E2%9C%93&amp;oem=5328AGNGNVW","5328AGNGNVW")</f>
        <v>5328AGNGNVW</v>
      </c>
      <c r="B4849" s="1" t="s">
        <v>9258</v>
      </c>
      <c r="C4849" s="9" t="s">
        <v>9250</v>
      </c>
      <c r="D4849" s="14" t="s">
        <v>9259</v>
      </c>
      <c r="E4849" s="9" t="s">
        <v>8</v>
      </c>
    </row>
    <row r="4850" spans="1:5" ht="15" customHeight="1" outlineLevel="2" x14ac:dyDescent="0.25">
      <c r="A4850" s="3" t="str">
        <f>HYPERLINK("http://mystore1.ru/price_items/search?utf8=%E2%9C%93&amp;oem=5328AGNGNW","5328AGNGNW")</f>
        <v>5328AGNGNW</v>
      </c>
      <c r="B4850" s="1" t="s">
        <v>9260</v>
      </c>
      <c r="C4850" s="9" t="s">
        <v>9250</v>
      </c>
      <c r="D4850" s="14" t="s">
        <v>9261</v>
      </c>
      <c r="E4850" s="9" t="s">
        <v>8</v>
      </c>
    </row>
    <row r="4851" spans="1:5" ht="15" customHeight="1" outlineLevel="2" x14ac:dyDescent="0.25">
      <c r="A4851" s="3" t="str">
        <f>HYPERLINK("http://mystore1.ru/price_items/search?utf8=%E2%9C%93&amp;oem=5328AGNW","5328AGNW")</f>
        <v>5328AGNW</v>
      </c>
      <c r="B4851" s="1" t="s">
        <v>9262</v>
      </c>
      <c r="C4851" s="9" t="s">
        <v>9250</v>
      </c>
      <c r="D4851" s="14" t="s">
        <v>9263</v>
      </c>
      <c r="E4851" s="9" t="s">
        <v>8</v>
      </c>
    </row>
    <row r="4852" spans="1:5" ht="15" customHeight="1" outlineLevel="2" x14ac:dyDescent="0.25">
      <c r="A4852" s="3" t="str">
        <f>HYPERLINK("http://mystore1.ru/price_items/search?utf8=%E2%9C%93&amp;oem=5328ASGSB","5328ASGSB")</f>
        <v>5328ASGSB</v>
      </c>
      <c r="B4852" s="1" t="s">
        <v>9264</v>
      </c>
      <c r="C4852" s="9" t="s">
        <v>25</v>
      </c>
      <c r="D4852" s="14" t="s">
        <v>9265</v>
      </c>
      <c r="E4852" s="9" t="s">
        <v>27</v>
      </c>
    </row>
    <row r="4853" spans="1:5" ht="15" customHeight="1" outlineLevel="2" x14ac:dyDescent="0.25">
      <c r="A4853" s="3" t="str">
        <f>HYPERLINK("http://mystore1.ru/price_items/search?utf8=%E2%9C%93&amp;oem=5328BCLS","5328BCLS")</f>
        <v>5328BCLS</v>
      </c>
      <c r="B4853" s="1" t="s">
        <v>9266</v>
      </c>
      <c r="C4853" s="9" t="s">
        <v>9250</v>
      </c>
      <c r="D4853" s="14" t="s">
        <v>9267</v>
      </c>
      <c r="E4853" s="9" t="s">
        <v>30</v>
      </c>
    </row>
    <row r="4854" spans="1:5" ht="15" customHeight="1" outlineLevel="2" x14ac:dyDescent="0.25">
      <c r="A4854" s="3" t="str">
        <f>HYPERLINK("http://mystore1.ru/price_items/search?utf8=%E2%9C%93&amp;oem=5328BGNE","5328BGNE")</f>
        <v>5328BGNE</v>
      </c>
      <c r="B4854" s="1" t="s">
        <v>9268</v>
      </c>
      <c r="C4854" s="9" t="s">
        <v>9250</v>
      </c>
      <c r="D4854" s="14" t="s">
        <v>9269</v>
      </c>
      <c r="E4854" s="9" t="s">
        <v>30</v>
      </c>
    </row>
    <row r="4855" spans="1:5" ht="15" customHeight="1" outlineLevel="2" x14ac:dyDescent="0.25">
      <c r="A4855" s="3" t="str">
        <f>HYPERLINK("http://mystore1.ru/price_items/search?utf8=%E2%9C%93&amp;oem=5328BGNS","5328BGNS")</f>
        <v>5328BGNS</v>
      </c>
      <c r="B4855" s="1" t="s">
        <v>9270</v>
      </c>
      <c r="C4855" s="9" t="s">
        <v>9250</v>
      </c>
      <c r="D4855" s="14" t="s">
        <v>9271</v>
      </c>
      <c r="E4855" s="9" t="s">
        <v>30</v>
      </c>
    </row>
    <row r="4856" spans="1:5" ht="15" customHeight="1" outlineLevel="2" x14ac:dyDescent="0.25">
      <c r="A4856" s="3" t="str">
        <f>HYPERLINK("http://mystore1.ru/price_items/search?utf8=%E2%9C%93&amp;oem=5328LCLS4FD","5328LCLS4FD")</f>
        <v>5328LCLS4FD</v>
      </c>
      <c r="B4856" s="1" t="s">
        <v>9272</v>
      </c>
      <c r="C4856" s="9" t="s">
        <v>9250</v>
      </c>
      <c r="D4856" s="14" t="s">
        <v>9273</v>
      </c>
      <c r="E4856" s="9" t="s">
        <v>11</v>
      </c>
    </row>
    <row r="4857" spans="1:5" ht="15" customHeight="1" outlineLevel="2" x14ac:dyDescent="0.25">
      <c r="A4857" s="3" t="str">
        <f>HYPERLINK("http://mystore1.ru/price_items/search?utf8=%E2%9C%93&amp;oem=5328LCLS4RD","5328LCLS4RD")</f>
        <v>5328LCLS4RD</v>
      </c>
      <c r="B4857" s="1" t="s">
        <v>9274</v>
      </c>
      <c r="C4857" s="9" t="s">
        <v>9250</v>
      </c>
      <c r="D4857" s="14" t="s">
        <v>9275</v>
      </c>
      <c r="E4857" s="9" t="s">
        <v>11</v>
      </c>
    </row>
    <row r="4858" spans="1:5" ht="15" customHeight="1" outlineLevel="2" x14ac:dyDescent="0.25">
      <c r="A4858" s="3" t="str">
        <f>HYPERLINK("http://mystore1.ru/price_items/search?utf8=%E2%9C%93&amp;oem=5328LCLS4RV","5328LCLS4RV")</f>
        <v>5328LCLS4RV</v>
      </c>
      <c r="B4858" s="1" t="s">
        <v>9276</v>
      </c>
      <c r="C4858" s="9" t="s">
        <v>9250</v>
      </c>
      <c r="D4858" s="14" t="s">
        <v>9277</v>
      </c>
      <c r="E4858" s="9" t="s">
        <v>11</v>
      </c>
    </row>
    <row r="4859" spans="1:5" ht="15" customHeight="1" outlineLevel="2" x14ac:dyDescent="0.25">
      <c r="A4859" s="3" t="str">
        <f>HYPERLINK("http://mystore1.ru/price_items/search?utf8=%E2%9C%93&amp;oem=5328LGNE5RD","5328LGNE5RD")</f>
        <v>5328LGNE5RD</v>
      </c>
      <c r="B4859" s="1" t="s">
        <v>9278</v>
      </c>
      <c r="C4859" s="9" t="s">
        <v>9250</v>
      </c>
      <c r="D4859" s="14" t="s">
        <v>9279</v>
      </c>
      <c r="E4859" s="9" t="s">
        <v>11</v>
      </c>
    </row>
    <row r="4860" spans="1:5" ht="15" customHeight="1" outlineLevel="2" x14ac:dyDescent="0.25">
      <c r="A4860" s="3" t="str">
        <f>HYPERLINK("http://mystore1.ru/price_items/search?utf8=%E2%9C%93&amp;oem=5328LGNE5RQ","5328LGNE5RQ")</f>
        <v>5328LGNE5RQ</v>
      </c>
      <c r="B4860" s="1" t="s">
        <v>9280</v>
      </c>
      <c r="C4860" s="9" t="s">
        <v>9250</v>
      </c>
      <c r="D4860" s="14" t="s">
        <v>9281</v>
      </c>
      <c r="E4860" s="9" t="s">
        <v>11</v>
      </c>
    </row>
    <row r="4861" spans="1:5" ht="15" customHeight="1" outlineLevel="2" x14ac:dyDescent="0.25">
      <c r="A4861" s="3" t="str">
        <f>HYPERLINK("http://mystore1.ru/price_items/search?utf8=%E2%9C%93&amp;oem=5328LGNE5RV","5328LGNE5RV")</f>
        <v>5328LGNE5RV</v>
      </c>
      <c r="B4861" s="1" t="s">
        <v>9282</v>
      </c>
      <c r="C4861" s="9" t="s">
        <v>9250</v>
      </c>
      <c r="D4861" s="14" t="s">
        <v>9281</v>
      </c>
      <c r="E4861" s="9" t="s">
        <v>11</v>
      </c>
    </row>
    <row r="4862" spans="1:5" ht="15" customHeight="1" outlineLevel="2" x14ac:dyDescent="0.25">
      <c r="A4862" s="3" t="str">
        <f>HYPERLINK("http://mystore1.ru/price_items/search?utf8=%E2%9C%93&amp;oem=5328LGNS4FD","5328LGNS4FD")</f>
        <v>5328LGNS4FD</v>
      </c>
      <c r="B4862" s="1" t="s">
        <v>9283</v>
      </c>
      <c r="C4862" s="9" t="s">
        <v>9250</v>
      </c>
      <c r="D4862" s="14" t="s">
        <v>9284</v>
      </c>
      <c r="E4862" s="9" t="s">
        <v>11</v>
      </c>
    </row>
    <row r="4863" spans="1:5" ht="15" customHeight="1" outlineLevel="2" x14ac:dyDescent="0.25">
      <c r="A4863" s="3" t="str">
        <f>HYPERLINK("http://mystore1.ru/price_items/search?utf8=%E2%9C%93&amp;oem=5328LGNS4RD","5328LGNS4RD")</f>
        <v>5328LGNS4RD</v>
      </c>
      <c r="B4863" s="1" t="s">
        <v>9285</v>
      </c>
      <c r="C4863" s="9" t="s">
        <v>9250</v>
      </c>
      <c r="D4863" s="14" t="s">
        <v>9286</v>
      </c>
      <c r="E4863" s="9" t="s">
        <v>11</v>
      </c>
    </row>
    <row r="4864" spans="1:5" ht="15" customHeight="1" outlineLevel="2" x14ac:dyDescent="0.25">
      <c r="A4864" s="3" t="str">
        <f>HYPERLINK("http://mystore1.ru/price_items/search?utf8=%E2%9C%93&amp;oem=5328LGNS4RV","5328LGNS4RV")</f>
        <v>5328LGNS4RV</v>
      </c>
      <c r="B4864" s="1" t="s">
        <v>9287</v>
      </c>
      <c r="C4864" s="9" t="s">
        <v>9250</v>
      </c>
      <c r="D4864" s="14" t="s">
        <v>9288</v>
      </c>
      <c r="E4864" s="9" t="s">
        <v>11</v>
      </c>
    </row>
    <row r="4865" spans="1:5" ht="15" customHeight="1" outlineLevel="2" x14ac:dyDescent="0.25">
      <c r="A4865" s="3" t="str">
        <f>HYPERLINK("http://mystore1.ru/price_items/search?utf8=%E2%9C%93&amp;oem=5328RCLS4FD","5328RCLS4FD")</f>
        <v>5328RCLS4FD</v>
      </c>
      <c r="B4865" s="1" t="s">
        <v>9289</v>
      </c>
      <c r="C4865" s="9" t="s">
        <v>9250</v>
      </c>
      <c r="D4865" s="14" t="s">
        <v>9290</v>
      </c>
      <c r="E4865" s="9" t="s">
        <v>11</v>
      </c>
    </row>
    <row r="4866" spans="1:5" ht="15" customHeight="1" outlineLevel="2" x14ac:dyDescent="0.25">
      <c r="A4866" s="3" t="str">
        <f>HYPERLINK("http://mystore1.ru/price_items/search?utf8=%E2%9C%93&amp;oem=5328RCLS4RD","5328RCLS4RD")</f>
        <v>5328RCLS4RD</v>
      </c>
      <c r="B4866" s="1" t="s">
        <v>9291</v>
      </c>
      <c r="C4866" s="9" t="s">
        <v>9250</v>
      </c>
      <c r="D4866" s="14" t="s">
        <v>9292</v>
      </c>
      <c r="E4866" s="9" t="s">
        <v>11</v>
      </c>
    </row>
    <row r="4867" spans="1:5" ht="15" customHeight="1" outlineLevel="2" x14ac:dyDescent="0.25">
      <c r="A4867" s="3" t="str">
        <f>HYPERLINK("http://mystore1.ru/price_items/search?utf8=%E2%9C%93&amp;oem=5328RCLS4RV","5328RCLS4RV")</f>
        <v>5328RCLS4RV</v>
      </c>
      <c r="B4867" s="1" t="s">
        <v>9293</v>
      </c>
      <c r="C4867" s="9" t="s">
        <v>9250</v>
      </c>
      <c r="D4867" s="14" t="s">
        <v>9294</v>
      </c>
      <c r="E4867" s="9" t="s">
        <v>11</v>
      </c>
    </row>
    <row r="4868" spans="1:5" ht="15" customHeight="1" outlineLevel="2" x14ac:dyDescent="0.25">
      <c r="A4868" s="3" t="str">
        <f>HYPERLINK("http://mystore1.ru/price_items/search?utf8=%E2%9C%93&amp;oem=5328RGNE5RD","5328RGNE5RD")</f>
        <v>5328RGNE5RD</v>
      </c>
      <c r="B4868" s="1" t="s">
        <v>9295</v>
      </c>
      <c r="C4868" s="9" t="s">
        <v>9250</v>
      </c>
      <c r="D4868" s="14" t="s">
        <v>9296</v>
      </c>
      <c r="E4868" s="9" t="s">
        <v>11</v>
      </c>
    </row>
    <row r="4869" spans="1:5" ht="15" customHeight="1" outlineLevel="2" x14ac:dyDescent="0.25">
      <c r="A4869" s="3" t="str">
        <f>HYPERLINK("http://mystore1.ru/price_items/search?utf8=%E2%9C%93&amp;oem=5328RGNE5RQ","5328RGNE5RQ")</f>
        <v>5328RGNE5RQ</v>
      </c>
      <c r="B4869" s="1" t="s">
        <v>9297</v>
      </c>
      <c r="C4869" s="9" t="s">
        <v>9250</v>
      </c>
      <c r="D4869" s="14" t="s">
        <v>9298</v>
      </c>
      <c r="E4869" s="9" t="s">
        <v>11</v>
      </c>
    </row>
    <row r="4870" spans="1:5" ht="15" customHeight="1" outlineLevel="2" x14ac:dyDescent="0.25">
      <c r="A4870" s="3" t="str">
        <f>HYPERLINK("http://mystore1.ru/price_items/search?utf8=%E2%9C%93&amp;oem=5328RGNE5RV","5328RGNE5RV")</f>
        <v>5328RGNE5RV</v>
      </c>
      <c r="B4870" s="1" t="s">
        <v>9299</v>
      </c>
      <c r="C4870" s="9" t="s">
        <v>9250</v>
      </c>
      <c r="D4870" s="14" t="s">
        <v>9298</v>
      </c>
      <c r="E4870" s="9" t="s">
        <v>11</v>
      </c>
    </row>
    <row r="4871" spans="1:5" ht="15" customHeight="1" outlineLevel="2" x14ac:dyDescent="0.25">
      <c r="A4871" s="3" t="str">
        <f>HYPERLINK("http://mystore1.ru/price_items/search?utf8=%E2%9C%93&amp;oem=5328RGNS4FD","5328RGNS4FD")</f>
        <v>5328RGNS4FD</v>
      </c>
      <c r="B4871" s="1" t="s">
        <v>9300</v>
      </c>
      <c r="C4871" s="9" t="s">
        <v>9250</v>
      </c>
      <c r="D4871" s="14" t="s">
        <v>9301</v>
      </c>
      <c r="E4871" s="9" t="s">
        <v>11</v>
      </c>
    </row>
    <row r="4872" spans="1:5" ht="15" customHeight="1" outlineLevel="2" x14ac:dyDescent="0.25">
      <c r="A4872" s="3" t="str">
        <f>HYPERLINK("http://mystore1.ru/price_items/search?utf8=%E2%9C%93&amp;oem=5328RGNS4RD","5328RGNS4RD")</f>
        <v>5328RGNS4RD</v>
      </c>
      <c r="B4872" s="1" t="s">
        <v>9302</v>
      </c>
      <c r="C4872" s="9" t="s">
        <v>9250</v>
      </c>
      <c r="D4872" s="14" t="s">
        <v>9303</v>
      </c>
      <c r="E4872" s="9" t="s">
        <v>11</v>
      </c>
    </row>
    <row r="4873" spans="1:5" ht="15" customHeight="1" outlineLevel="2" x14ac:dyDescent="0.25">
      <c r="A4873" s="3" t="str">
        <f>HYPERLINK("http://mystore1.ru/price_items/search?utf8=%E2%9C%93&amp;oem=5328RGNS4RV","5328RGNS4RV")</f>
        <v>5328RGNS4RV</v>
      </c>
      <c r="B4873" s="1" t="s">
        <v>9304</v>
      </c>
      <c r="C4873" s="9" t="s">
        <v>9250</v>
      </c>
      <c r="D4873" s="14" t="s">
        <v>9305</v>
      </c>
      <c r="E4873" s="9" t="s">
        <v>11</v>
      </c>
    </row>
    <row r="4874" spans="1:5" outlineLevel="1" x14ac:dyDescent="0.25">
      <c r="A4874" s="2"/>
      <c r="B4874" s="6" t="s">
        <v>9306</v>
      </c>
      <c r="C4874" s="7"/>
      <c r="D4874" s="8"/>
      <c r="E4874" s="8"/>
    </row>
    <row r="4875" spans="1:5" ht="15" customHeight="1" outlineLevel="2" x14ac:dyDescent="0.25">
      <c r="A4875" s="3" t="str">
        <f>HYPERLINK("http://mystore1.ru/price_items/search?utf8=%E2%9C%93&amp;oem=5323ACL","5323ACL")</f>
        <v>5323ACL</v>
      </c>
      <c r="B4875" s="1" t="s">
        <v>9307</v>
      </c>
      <c r="C4875" s="9" t="s">
        <v>9308</v>
      </c>
      <c r="D4875" s="14" t="s">
        <v>9309</v>
      </c>
      <c r="E4875" s="9" t="s">
        <v>8</v>
      </c>
    </row>
    <row r="4876" spans="1:5" ht="15" customHeight="1" outlineLevel="2" x14ac:dyDescent="0.25">
      <c r="A4876" s="3" t="str">
        <f>HYPERLINK("http://mystore1.ru/price_items/search?utf8=%E2%9C%93&amp;oem=5323AGN","5323AGN")</f>
        <v>5323AGN</v>
      </c>
      <c r="B4876" s="1" t="s">
        <v>9310</v>
      </c>
      <c r="C4876" s="9" t="s">
        <v>9308</v>
      </c>
      <c r="D4876" s="14" t="s">
        <v>9311</v>
      </c>
      <c r="E4876" s="9" t="s">
        <v>8</v>
      </c>
    </row>
    <row r="4877" spans="1:5" ht="15" customHeight="1" outlineLevel="2" x14ac:dyDescent="0.25">
      <c r="A4877" s="3" t="str">
        <f>HYPERLINK("http://mystore1.ru/price_items/search?utf8=%E2%9C%93&amp;oem=5323AGNGN","5323AGNGN")</f>
        <v>5323AGNGN</v>
      </c>
      <c r="B4877" s="1" t="s">
        <v>9312</v>
      </c>
      <c r="C4877" s="9" t="s">
        <v>9308</v>
      </c>
      <c r="D4877" s="14" t="s">
        <v>9313</v>
      </c>
      <c r="E4877" s="9" t="s">
        <v>8</v>
      </c>
    </row>
    <row r="4878" spans="1:5" ht="15" customHeight="1" outlineLevel="2" x14ac:dyDescent="0.25">
      <c r="A4878" s="3" t="str">
        <f>HYPERLINK("http://mystore1.ru/price_items/search?utf8=%E2%9C%93&amp;oem=5323LGNS4FD","5323LGNS4FD")</f>
        <v>5323LGNS4FD</v>
      </c>
      <c r="B4878" s="1" t="s">
        <v>9314</v>
      </c>
      <c r="C4878" s="9" t="s">
        <v>9308</v>
      </c>
      <c r="D4878" s="14" t="s">
        <v>9315</v>
      </c>
      <c r="E4878" s="9" t="s">
        <v>11</v>
      </c>
    </row>
    <row r="4879" spans="1:5" ht="15" customHeight="1" outlineLevel="2" x14ac:dyDescent="0.25">
      <c r="A4879" s="3" t="str">
        <f>HYPERLINK("http://mystore1.ru/price_items/search?utf8=%E2%9C%93&amp;oem=5323LGNS4RV","5323LGNS4RV")</f>
        <v>5323LGNS4RV</v>
      </c>
      <c r="B4879" s="1" t="s">
        <v>9316</v>
      </c>
      <c r="C4879" s="9" t="s">
        <v>9308</v>
      </c>
      <c r="D4879" s="14" t="s">
        <v>9317</v>
      </c>
      <c r="E4879" s="9" t="s">
        <v>11</v>
      </c>
    </row>
    <row r="4880" spans="1:5" ht="15" customHeight="1" outlineLevel="2" x14ac:dyDescent="0.25">
      <c r="A4880" s="3" t="str">
        <f>HYPERLINK("http://mystore1.ru/price_items/search?utf8=%E2%9C%93&amp;oem=5323RGNS4FD","5323RGNS4FD")</f>
        <v>5323RGNS4FD</v>
      </c>
      <c r="B4880" s="1" t="s">
        <v>9318</v>
      </c>
      <c r="C4880" s="9" t="s">
        <v>9308</v>
      </c>
      <c r="D4880" s="14" t="s">
        <v>9319</v>
      </c>
      <c r="E4880" s="9" t="s">
        <v>11</v>
      </c>
    </row>
    <row r="4881" spans="1:5" ht="15" customHeight="1" outlineLevel="2" x14ac:dyDescent="0.25">
      <c r="A4881" s="3" t="str">
        <f>HYPERLINK("http://mystore1.ru/price_items/search?utf8=%E2%9C%93&amp;oem=5323RGNS4RV","5323RGNS4RV")</f>
        <v>5323RGNS4RV</v>
      </c>
      <c r="B4881" s="1" t="s">
        <v>9320</v>
      </c>
      <c r="C4881" s="9" t="s">
        <v>9308</v>
      </c>
      <c r="D4881" s="14" t="s">
        <v>9321</v>
      </c>
      <c r="E4881" s="9" t="s">
        <v>11</v>
      </c>
    </row>
    <row r="4882" spans="1:5" outlineLevel="1" x14ac:dyDescent="0.25">
      <c r="A4882" s="2"/>
      <c r="B4882" s="6" t="s">
        <v>9322</v>
      </c>
      <c r="C4882" s="7"/>
      <c r="D4882" s="8"/>
      <c r="E4882" s="8"/>
    </row>
    <row r="4883" spans="1:5" ht="15" customHeight="1" outlineLevel="2" x14ac:dyDescent="0.25">
      <c r="A4883" s="3" t="str">
        <f>HYPERLINK("http://mystore1.ru/price_items/search?utf8=%E2%9C%93&amp;oem=5322LGNS4FD","5322LGNS4FD")</f>
        <v>5322LGNS4FD</v>
      </c>
      <c r="B4883" s="1" t="s">
        <v>9323</v>
      </c>
      <c r="C4883" s="9" t="s">
        <v>9308</v>
      </c>
      <c r="D4883" s="14" t="s">
        <v>9315</v>
      </c>
      <c r="E4883" s="9" t="s">
        <v>11</v>
      </c>
    </row>
    <row r="4884" spans="1:5" ht="15" customHeight="1" outlineLevel="2" x14ac:dyDescent="0.25">
      <c r="A4884" s="3" t="str">
        <f>HYPERLINK("http://mystore1.ru/price_items/search?utf8=%E2%9C%93&amp;oem=5322LGNS4RV","5322LGNS4RV")</f>
        <v>5322LGNS4RV</v>
      </c>
      <c r="B4884" s="1" t="s">
        <v>9324</v>
      </c>
      <c r="C4884" s="9" t="s">
        <v>9308</v>
      </c>
      <c r="D4884" s="14" t="s">
        <v>9317</v>
      </c>
      <c r="E4884" s="9" t="s">
        <v>11</v>
      </c>
    </row>
    <row r="4885" spans="1:5" ht="15" customHeight="1" outlineLevel="2" x14ac:dyDescent="0.25">
      <c r="A4885" s="3" t="str">
        <f>HYPERLINK("http://mystore1.ru/price_items/search?utf8=%E2%9C%93&amp;oem=5322RGNS4FD","5322RGNS4FD")</f>
        <v>5322RGNS4FD</v>
      </c>
      <c r="B4885" s="1" t="s">
        <v>9325</v>
      </c>
      <c r="C4885" s="9" t="s">
        <v>9308</v>
      </c>
      <c r="D4885" s="14" t="s">
        <v>9319</v>
      </c>
      <c r="E4885" s="9" t="s">
        <v>11</v>
      </c>
    </row>
    <row r="4886" spans="1:5" ht="15" customHeight="1" outlineLevel="2" x14ac:dyDescent="0.25">
      <c r="A4886" s="3" t="str">
        <f>HYPERLINK("http://mystore1.ru/price_items/search?utf8=%E2%9C%93&amp;oem=5322RGNS4RV","5322RGNS4RV")</f>
        <v>5322RGNS4RV</v>
      </c>
      <c r="B4886" s="1" t="s">
        <v>9326</v>
      </c>
      <c r="C4886" s="9" t="s">
        <v>9308</v>
      </c>
      <c r="D4886" s="14" t="s">
        <v>9321</v>
      </c>
      <c r="E4886" s="9" t="s">
        <v>11</v>
      </c>
    </row>
    <row r="4887" spans="1:5" outlineLevel="1" x14ac:dyDescent="0.25">
      <c r="A4887" s="2"/>
      <c r="B4887" s="6" t="s">
        <v>9327</v>
      </c>
      <c r="C4887" s="47"/>
      <c r="D4887" s="8"/>
      <c r="E4887" s="8"/>
    </row>
    <row r="4888" spans="1:5" ht="15" customHeight="1" outlineLevel="2" x14ac:dyDescent="0.25">
      <c r="A4888" s="3" t="str">
        <f>HYPERLINK("http://mystore1.ru/price_items/search?utf8=%E2%9C%93&amp;oem=5325AGNGN","5325AGNGN")</f>
        <v>5325AGNGN</v>
      </c>
      <c r="B4888" s="1" t="s">
        <v>9328</v>
      </c>
      <c r="C4888" s="9" t="s">
        <v>3331</v>
      </c>
      <c r="D4888" s="14" t="s">
        <v>9329</v>
      </c>
      <c r="E4888" s="9" t="s">
        <v>8</v>
      </c>
    </row>
    <row r="4889" spans="1:5" outlineLevel="1" x14ac:dyDescent="0.25">
      <c r="A4889" s="2"/>
      <c r="B4889" s="6" t="s">
        <v>9330</v>
      </c>
      <c r="C4889" s="7"/>
      <c r="D4889" s="8"/>
      <c r="E4889" s="8"/>
    </row>
    <row r="4890" spans="1:5" ht="15" customHeight="1" outlineLevel="2" x14ac:dyDescent="0.25">
      <c r="A4890" s="3" t="str">
        <f>HYPERLINK("http://mystore1.ru/price_items/search?utf8=%E2%9C%93&amp;oem=5331AGNGN","5331AGNGN")</f>
        <v>5331AGNGN</v>
      </c>
      <c r="B4890" s="1" t="s">
        <v>9331</v>
      </c>
      <c r="C4890" s="9" t="s">
        <v>9332</v>
      </c>
      <c r="D4890" s="14" t="s">
        <v>9333</v>
      </c>
      <c r="E4890" s="9" t="s">
        <v>8</v>
      </c>
    </row>
    <row r="4891" spans="1:5" ht="15" customHeight="1" outlineLevel="2" x14ac:dyDescent="0.25">
      <c r="A4891" s="3" t="str">
        <f>HYPERLINK("http://mystore1.ru/price_items/search?utf8=%E2%9C%93&amp;oem=5331LGNT2FD","5331LGNT2FD")</f>
        <v>5331LGNT2FD</v>
      </c>
      <c r="B4891" s="1" t="s">
        <v>9334</v>
      </c>
      <c r="C4891" s="9" t="s">
        <v>9332</v>
      </c>
      <c r="D4891" s="14" t="s">
        <v>9335</v>
      </c>
      <c r="E4891" s="9" t="s">
        <v>11</v>
      </c>
    </row>
    <row r="4892" spans="1:5" ht="15" customHeight="1" outlineLevel="2" x14ac:dyDescent="0.25">
      <c r="A4892" s="3" t="str">
        <f>HYPERLINK("http://mystore1.ru/price_items/search?utf8=%E2%9C%93&amp;oem=5331RGNT2FD","5331RGNT2FD")</f>
        <v>5331RGNT2FD</v>
      </c>
      <c r="B4892" s="1" t="s">
        <v>9336</v>
      </c>
      <c r="C4892" s="9" t="s">
        <v>9332</v>
      </c>
      <c r="D4892" s="14" t="s">
        <v>9337</v>
      </c>
      <c r="E4892" s="9" t="s">
        <v>11</v>
      </c>
    </row>
    <row r="4893" spans="1:5" outlineLevel="1" x14ac:dyDescent="0.25">
      <c r="A4893" s="2"/>
      <c r="B4893" s="6" t="s">
        <v>9338</v>
      </c>
      <c r="C4893" s="47"/>
      <c r="D4893" s="8"/>
      <c r="E4893" s="8"/>
    </row>
    <row r="4894" spans="1:5" ht="15" customHeight="1" outlineLevel="2" x14ac:dyDescent="0.25">
      <c r="A4894" s="3" t="str">
        <f>HYPERLINK("http://mystore1.ru/price_items/search?utf8=%E2%9C%93&amp;oem=5333AGNGN","5333AGNGN")</f>
        <v>5333AGNGN</v>
      </c>
      <c r="B4894" s="1" t="s">
        <v>9339</v>
      </c>
      <c r="C4894" s="9" t="s">
        <v>2171</v>
      </c>
      <c r="D4894" s="14" t="s">
        <v>9340</v>
      </c>
      <c r="E4894" s="9" t="s">
        <v>8</v>
      </c>
    </row>
    <row r="4895" spans="1:5" ht="15" customHeight="1" outlineLevel="2" x14ac:dyDescent="0.25">
      <c r="A4895" s="3" t="str">
        <f>HYPERLINK("http://mystore1.ru/price_items/search?utf8=%E2%9C%93&amp;oem=5333AGNGNV","5333AGNGNV")</f>
        <v>5333AGNGNV</v>
      </c>
      <c r="B4895" s="1" t="s">
        <v>9341</v>
      </c>
      <c r="C4895" s="9" t="s">
        <v>2171</v>
      </c>
      <c r="D4895" s="14" t="s">
        <v>9342</v>
      </c>
      <c r="E4895" s="9" t="s">
        <v>8</v>
      </c>
    </row>
    <row r="4896" spans="1:5" ht="15" customHeight="1" outlineLevel="2" x14ac:dyDescent="0.25">
      <c r="A4896" s="3" t="str">
        <f>HYPERLINK("http://mystore1.ru/price_items/search?utf8=%E2%9C%93&amp;oem=5333AGNGYMV","5333AGNGYMV")</f>
        <v>5333AGNGYMV</v>
      </c>
      <c r="B4896" s="1" t="s">
        <v>9343</v>
      </c>
      <c r="C4896" s="9" t="s">
        <v>2171</v>
      </c>
      <c r="D4896" s="14" t="s">
        <v>9344</v>
      </c>
      <c r="E4896" s="9" t="s">
        <v>8</v>
      </c>
    </row>
    <row r="4897" spans="1:5" ht="15" customHeight="1" outlineLevel="2" x14ac:dyDescent="0.25">
      <c r="A4897" s="3" t="str">
        <f>HYPERLINK("http://mystore1.ru/price_items/search?utf8=%E2%9C%93&amp;oem=5333AGNGYV","5333AGNGYV")</f>
        <v>5333AGNGYV</v>
      </c>
      <c r="B4897" s="1" t="s">
        <v>9345</v>
      </c>
      <c r="C4897" s="9" t="s">
        <v>2171</v>
      </c>
      <c r="D4897" s="14" t="s">
        <v>9346</v>
      </c>
      <c r="E4897" s="9" t="s">
        <v>8</v>
      </c>
    </row>
    <row r="4898" spans="1:5" ht="15" customHeight="1" outlineLevel="2" x14ac:dyDescent="0.25">
      <c r="A4898" s="3" t="str">
        <f>HYPERLINK("http://mystore1.ru/price_items/search?utf8=%E2%9C%93&amp;oem=5333BGNSAK","5333BGNSAK")</f>
        <v>5333BGNSAK</v>
      </c>
      <c r="B4898" s="1" t="s">
        <v>9347</v>
      </c>
      <c r="C4898" s="9" t="s">
        <v>2171</v>
      </c>
      <c r="D4898" s="14" t="s">
        <v>9348</v>
      </c>
      <c r="E4898" s="9" t="s">
        <v>30</v>
      </c>
    </row>
    <row r="4899" spans="1:5" ht="15" customHeight="1" outlineLevel="2" x14ac:dyDescent="0.25">
      <c r="A4899" s="3" t="str">
        <f>HYPERLINK("http://mystore1.ru/price_items/search?utf8=%E2%9C%93&amp;oem=5333LGNS4FDD","5333LGNS4FDD")</f>
        <v>5333LGNS4FDD</v>
      </c>
      <c r="B4899" s="1" t="s">
        <v>9349</v>
      </c>
      <c r="C4899" s="9" t="s">
        <v>2171</v>
      </c>
      <c r="D4899" s="14" t="s">
        <v>9350</v>
      </c>
      <c r="E4899" s="9" t="s">
        <v>11</v>
      </c>
    </row>
    <row r="4900" spans="1:5" ht="15" customHeight="1" outlineLevel="2" x14ac:dyDescent="0.25">
      <c r="A4900" s="3" t="str">
        <f>HYPERLINK("http://mystore1.ru/price_items/search?utf8=%E2%9C%93&amp;oem=5333LGNS4RDD","5333LGNS4RDD")</f>
        <v>5333LGNS4RDD</v>
      </c>
      <c r="B4900" s="1" t="s">
        <v>9351</v>
      </c>
      <c r="C4900" s="9" t="s">
        <v>2171</v>
      </c>
      <c r="D4900" s="14" t="s">
        <v>9352</v>
      </c>
      <c r="E4900" s="9" t="s">
        <v>11</v>
      </c>
    </row>
    <row r="4901" spans="1:5" ht="15" customHeight="1" outlineLevel="2" x14ac:dyDescent="0.25">
      <c r="A4901" s="3" t="str">
        <f>HYPERLINK("http://mystore1.ru/price_items/search?utf8=%E2%9C%93&amp;oem=5333LGNS4RDD1J","5333LGNS4RDD1J")</f>
        <v>5333LGNS4RDD1J</v>
      </c>
      <c r="B4901" s="1" t="s">
        <v>9353</v>
      </c>
      <c r="C4901" s="9" t="s">
        <v>2171</v>
      </c>
      <c r="D4901" s="14" t="s">
        <v>9352</v>
      </c>
      <c r="E4901" s="9" t="s">
        <v>11</v>
      </c>
    </row>
    <row r="4902" spans="1:5" ht="15" customHeight="1" outlineLevel="2" x14ac:dyDescent="0.25">
      <c r="A4902" s="3" t="str">
        <f>HYPERLINK("http://mystore1.ru/price_items/search?utf8=%E2%9C%93&amp;oem=5333LGNS4RVD","5333LGNS4RVD")</f>
        <v>5333LGNS4RVD</v>
      </c>
      <c r="B4902" s="1" t="s">
        <v>9354</v>
      </c>
      <c r="C4902" s="9" t="s">
        <v>2171</v>
      </c>
      <c r="D4902" s="14" t="s">
        <v>9355</v>
      </c>
      <c r="E4902" s="9" t="s">
        <v>11</v>
      </c>
    </row>
    <row r="4903" spans="1:5" ht="15" customHeight="1" outlineLevel="2" x14ac:dyDescent="0.25">
      <c r="A4903" s="3" t="str">
        <f>HYPERLINK("http://mystore1.ru/price_items/search?utf8=%E2%9C%93&amp;oem=5333RGNS4RDD1J","5333RGNS4RDD1J")</f>
        <v>5333RGNS4RDD1J</v>
      </c>
      <c r="B4903" s="1" t="s">
        <v>9356</v>
      </c>
      <c r="C4903" s="9" t="s">
        <v>2171</v>
      </c>
      <c r="D4903" s="14" t="s">
        <v>9357</v>
      </c>
      <c r="E4903" s="9" t="s">
        <v>11</v>
      </c>
    </row>
    <row r="4904" spans="1:5" outlineLevel="1" x14ac:dyDescent="0.25">
      <c r="A4904" s="2"/>
      <c r="B4904" s="6" t="s">
        <v>9358</v>
      </c>
      <c r="C4904" s="8"/>
      <c r="D4904" s="8"/>
      <c r="E4904" s="8"/>
    </row>
    <row r="4905" spans="1:5" ht="15" customHeight="1" outlineLevel="2" x14ac:dyDescent="0.25">
      <c r="A4905" s="3" t="str">
        <f>HYPERLINK("http://mystore1.ru/price_items/search?utf8=%E2%9C%93&amp;oem=5332BGNSAK","5332BGNSAK")</f>
        <v>5332BGNSAK</v>
      </c>
      <c r="B4905" s="1" t="s">
        <v>9359</v>
      </c>
      <c r="C4905" s="9" t="s">
        <v>2171</v>
      </c>
      <c r="D4905" s="14" t="s">
        <v>9360</v>
      </c>
      <c r="E4905" s="9" t="s">
        <v>30</v>
      </c>
    </row>
    <row r="4906" spans="1:5" ht="15" customHeight="1" outlineLevel="2" x14ac:dyDescent="0.25">
      <c r="A4906" s="3" t="str">
        <f>HYPERLINK("http://mystore1.ru/price_items/search?utf8=%E2%9C%93&amp;oem=5332LGNS4FDD","5332LGNS4FDD")</f>
        <v>5332LGNS4FDD</v>
      </c>
      <c r="B4906" s="1" t="s">
        <v>9361</v>
      </c>
      <c r="C4906" s="9" t="s">
        <v>2171</v>
      </c>
      <c r="D4906" s="14" t="s">
        <v>9362</v>
      </c>
      <c r="E4906" s="9" t="s">
        <v>11</v>
      </c>
    </row>
    <row r="4907" spans="1:5" ht="15" customHeight="1" outlineLevel="2" x14ac:dyDescent="0.25">
      <c r="A4907" s="3" t="str">
        <f>HYPERLINK("http://mystore1.ru/price_items/search?utf8=%E2%9C%93&amp;oem=5332LGNS4RDD","5332LGNS4RDD")</f>
        <v>5332LGNS4RDD</v>
      </c>
      <c r="B4907" s="1" t="s">
        <v>9363</v>
      </c>
      <c r="C4907" s="9" t="s">
        <v>2171</v>
      </c>
      <c r="D4907" s="14" t="s">
        <v>9364</v>
      </c>
      <c r="E4907" s="9" t="s">
        <v>11</v>
      </c>
    </row>
    <row r="4908" spans="1:5" ht="15" customHeight="1" outlineLevel="2" x14ac:dyDescent="0.25">
      <c r="A4908" s="3" t="str">
        <f>HYPERLINK("http://mystore1.ru/price_items/search?utf8=%E2%9C%93&amp;oem=5332LGNS4RDD1J","5332LGNS4RDD1J")</f>
        <v>5332LGNS4RDD1J</v>
      </c>
      <c r="B4908" s="1" t="s">
        <v>9365</v>
      </c>
      <c r="C4908" s="9" t="s">
        <v>2171</v>
      </c>
      <c r="D4908" s="14" t="s">
        <v>9364</v>
      </c>
      <c r="E4908" s="9" t="s">
        <v>11</v>
      </c>
    </row>
    <row r="4909" spans="1:5" ht="15" customHeight="1" outlineLevel="2" x14ac:dyDescent="0.25">
      <c r="A4909" s="3" t="str">
        <f>HYPERLINK("http://mystore1.ru/price_items/search?utf8=%E2%9C%93&amp;oem=5332LGNS4RVD","5332LGNS4RVD")</f>
        <v>5332LGNS4RVD</v>
      </c>
      <c r="B4909" s="1" t="s">
        <v>9366</v>
      </c>
      <c r="C4909" s="9" t="s">
        <v>2171</v>
      </c>
      <c r="D4909" s="14" t="s">
        <v>9367</v>
      </c>
      <c r="E4909" s="9" t="s">
        <v>11</v>
      </c>
    </row>
    <row r="4910" spans="1:5" ht="15" customHeight="1" outlineLevel="2" x14ac:dyDescent="0.25">
      <c r="A4910" s="3" t="str">
        <f>HYPERLINK("http://mystore1.ru/price_items/search?utf8=%E2%9C%93&amp;oem=5332RGNS4RDD1J","5332RGNS4RDD1J")</f>
        <v>5332RGNS4RDD1J</v>
      </c>
      <c r="B4910" s="1" t="s">
        <v>9368</v>
      </c>
      <c r="C4910" s="9" t="s">
        <v>2171</v>
      </c>
      <c r="D4910" s="14" t="s">
        <v>9369</v>
      </c>
      <c r="E4910" s="9" t="s">
        <v>11</v>
      </c>
    </row>
    <row r="4911" spans="1:5" outlineLevel="1" x14ac:dyDescent="0.25">
      <c r="A4911" s="2"/>
      <c r="B4911" s="6" t="s">
        <v>9370</v>
      </c>
      <c r="C4911" s="8"/>
      <c r="D4911" s="8"/>
      <c r="E4911" s="8"/>
    </row>
    <row r="4912" spans="1:5" ht="15" customHeight="1" outlineLevel="2" x14ac:dyDescent="0.25">
      <c r="A4912" s="3" t="str">
        <f>HYPERLINK("http://mystore1.ru/price_items/search?utf8=%E2%9C%93&amp;oem=5335AGNGN","5335AGNGN")</f>
        <v>5335AGNGN</v>
      </c>
      <c r="B4912" s="1" t="s">
        <v>9371</v>
      </c>
      <c r="C4912" s="9" t="s">
        <v>94</v>
      </c>
      <c r="D4912" s="14" t="s">
        <v>9372</v>
      </c>
      <c r="E4912" s="9" t="s">
        <v>8</v>
      </c>
    </row>
    <row r="4913" spans="1:5" ht="15" customHeight="1" outlineLevel="2" x14ac:dyDescent="0.25">
      <c r="A4913" s="3" t="str">
        <f>HYPERLINK("http://mystore1.ru/price_items/search?utf8=%E2%9C%93&amp;oem=5335AGNGY","5335AGNGY")</f>
        <v>5335AGNGY</v>
      </c>
      <c r="B4913" s="1" t="s">
        <v>9373</v>
      </c>
      <c r="C4913" s="9" t="s">
        <v>94</v>
      </c>
      <c r="D4913" s="14" t="s">
        <v>9374</v>
      </c>
      <c r="E4913" s="9" t="s">
        <v>8</v>
      </c>
    </row>
    <row r="4914" spans="1:5" ht="15" customHeight="1" outlineLevel="2" x14ac:dyDescent="0.25">
      <c r="A4914" s="3" t="str">
        <f>HYPERLINK("http://mystore1.ru/price_items/search?utf8=%E2%9C%93&amp;oem=5335AGNGYMV","5335AGNGYMV")</f>
        <v>5335AGNGYMV</v>
      </c>
      <c r="B4914" s="1" t="s">
        <v>9375</v>
      </c>
      <c r="C4914" s="9" t="s">
        <v>94</v>
      </c>
      <c r="D4914" s="14" t="s">
        <v>9376</v>
      </c>
      <c r="E4914" s="9" t="s">
        <v>8</v>
      </c>
    </row>
    <row r="4915" spans="1:5" ht="15" customHeight="1" outlineLevel="2" x14ac:dyDescent="0.25">
      <c r="A4915" s="3" t="str">
        <f>HYPERLINK("http://mystore1.ru/price_items/search?utf8=%E2%9C%93&amp;oem=5335AGNGYPV","5335AGNGYPV")</f>
        <v>5335AGNGYPV</v>
      </c>
      <c r="B4915" s="1" t="s">
        <v>9377</v>
      </c>
      <c r="C4915" s="9" t="s">
        <v>94</v>
      </c>
      <c r="D4915" s="14" t="s">
        <v>9378</v>
      </c>
      <c r="E4915" s="9" t="s">
        <v>8</v>
      </c>
    </row>
    <row r="4916" spans="1:5" ht="15" customHeight="1" outlineLevel="2" x14ac:dyDescent="0.25">
      <c r="A4916" s="3" t="str">
        <f>HYPERLINK("http://mystore1.ru/price_items/search?utf8=%E2%9C%93&amp;oem=5335BGNCAK","5335BGNCAK")</f>
        <v>5335BGNCAK</v>
      </c>
      <c r="B4916" s="1" t="s">
        <v>9379</v>
      </c>
      <c r="C4916" s="9" t="s">
        <v>94</v>
      </c>
      <c r="D4916" s="14" t="s">
        <v>9380</v>
      </c>
      <c r="E4916" s="9" t="s">
        <v>30</v>
      </c>
    </row>
    <row r="4917" spans="1:5" outlineLevel="1" x14ac:dyDescent="0.25">
      <c r="A4917" s="2"/>
      <c r="B4917" s="6" t="s">
        <v>9381</v>
      </c>
      <c r="C4917" s="8"/>
      <c r="D4917" s="8"/>
      <c r="E4917" s="8"/>
    </row>
    <row r="4918" spans="1:5" ht="15" customHeight="1" outlineLevel="2" x14ac:dyDescent="0.25">
      <c r="A4918" s="3" t="str">
        <f>HYPERLINK("http://mystore1.ru/price_items/search?utf8=%E2%9C%93&amp;oem=5356AGSMVW1H","5356AGSMVW1H")</f>
        <v>5356AGSMVW1H</v>
      </c>
      <c r="B4918" s="1" t="s">
        <v>9382</v>
      </c>
      <c r="C4918" s="9" t="s">
        <v>747</v>
      </c>
      <c r="D4918" s="14" t="s">
        <v>9383</v>
      </c>
      <c r="E4918" s="9" t="s">
        <v>8</v>
      </c>
    </row>
    <row r="4919" spans="1:5" ht="15" customHeight="1" outlineLevel="2" x14ac:dyDescent="0.25">
      <c r="A4919" s="3" t="str">
        <f>HYPERLINK("http://mystore1.ru/price_items/search?utf8=%E2%9C%93&amp;oem=5356LGST2FD","5356LGST2FD")</f>
        <v>5356LGST2FD</v>
      </c>
      <c r="B4919" s="1" t="s">
        <v>9384</v>
      </c>
      <c r="C4919" s="9" t="s">
        <v>747</v>
      </c>
      <c r="D4919" s="14" t="s">
        <v>9385</v>
      </c>
      <c r="E4919" s="9" t="s">
        <v>11</v>
      </c>
    </row>
    <row r="4920" spans="1:5" ht="15" customHeight="1" outlineLevel="2" x14ac:dyDescent="0.25">
      <c r="A4920" s="3" t="str">
        <f>HYPERLINK("http://mystore1.ru/price_items/search?utf8=%E2%9C%93&amp;oem=5356RGST2FD","5356RGST2FD")</f>
        <v>5356RGST2FD</v>
      </c>
      <c r="B4920" s="1" t="s">
        <v>9386</v>
      </c>
      <c r="C4920" s="9" t="s">
        <v>747</v>
      </c>
      <c r="D4920" s="14" t="s">
        <v>9387</v>
      </c>
      <c r="E4920" s="9" t="s">
        <v>11</v>
      </c>
    </row>
    <row r="4921" spans="1:5" outlineLevel="1" x14ac:dyDescent="0.25">
      <c r="A4921" s="2"/>
      <c r="B4921" s="6" t="s">
        <v>9388</v>
      </c>
      <c r="C4921" s="8"/>
      <c r="D4921" s="8"/>
      <c r="E4921" s="8"/>
    </row>
    <row r="4922" spans="1:5" ht="15" customHeight="1" outlineLevel="2" x14ac:dyDescent="0.25">
      <c r="A4922" s="3" t="str">
        <f>HYPERLINK("http://mystore1.ru/price_items/search?utf8=%E2%9C%93&amp;oem=5326ACL","5326ACL")</f>
        <v>5326ACL</v>
      </c>
      <c r="B4922" s="1" t="s">
        <v>9389</v>
      </c>
      <c r="C4922" s="9" t="s">
        <v>9390</v>
      </c>
      <c r="D4922" s="14" t="s">
        <v>9391</v>
      </c>
      <c r="E4922" s="9" t="s">
        <v>8</v>
      </c>
    </row>
    <row r="4923" spans="1:5" ht="15" customHeight="1" outlineLevel="2" x14ac:dyDescent="0.25">
      <c r="A4923" s="3" t="str">
        <f>HYPERLINK("http://mystore1.ru/price_items/search?utf8=%E2%9C%93&amp;oem=5326AGN","5326AGN")</f>
        <v>5326AGN</v>
      </c>
      <c r="B4923" s="1" t="s">
        <v>9392</v>
      </c>
      <c r="C4923" s="9" t="s">
        <v>9390</v>
      </c>
      <c r="D4923" s="14" t="s">
        <v>9393</v>
      </c>
      <c r="E4923" s="9" t="s">
        <v>8</v>
      </c>
    </row>
    <row r="4924" spans="1:5" ht="15" customHeight="1" outlineLevel="2" x14ac:dyDescent="0.25">
      <c r="A4924" s="3" t="str">
        <f>HYPERLINK("http://mystore1.ru/price_items/search?utf8=%E2%9C%93&amp;oem=5326AGNBL","5326AGNBL")</f>
        <v>5326AGNBL</v>
      </c>
      <c r="B4924" s="1" t="s">
        <v>9394</v>
      </c>
      <c r="C4924" s="9" t="s">
        <v>9390</v>
      </c>
      <c r="D4924" s="14" t="s">
        <v>9395</v>
      </c>
      <c r="E4924" s="9" t="s">
        <v>8</v>
      </c>
    </row>
    <row r="4925" spans="1:5" ht="15" customHeight="1" outlineLevel="2" x14ac:dyDescent="0.25">
      <c r="A4925" s="3" t="str">
        <f>HYPERLINK("http://mystore1.ru/price_items/search?utf8=%E2%9C%93&amp;oem=5326AGNGN","5326AGNGN")</f>
        <v>5326AGNGN</v>
      </c>
      <c r="B4925" s="1" t="s">
        <v>9396</v>
      </c>
      <c r="C4925" s="9" t="s">
        <v>9390</v>
      </c>
      <c r="D4925" s="14" t="s">
        <v>9397</v>
      </c>
      <c r="E4925" s="9" t="s">
        <v>8</v>
      </c>
    </row>
    <row r="4926" spans="1:5" ht="15" customHeight="1" outlineLevel="2" x14ac:dyDescent="0.25">
      <c r="A4926" s="3" t="str">
        <f>HYPERLINK("http://mystore1.ru/price_items/search?utf8=%E2%9C%93&amp;oem=5326BCLS","5326BCLS")</f>
        <v>5326BCLS</v>
      </c>
      <c r="B4926" s="1" t="s">
        <v>9398</v>
      </c>
      <c r="C4926" s="9" t="s">
        <v>9390</v>
      </c>
      <c r="D4926" s="14" t="s">
        <v>9399</v>
      </c>
      <c r="E4926" s="9" t="s">
        <v>30</v>
      </c>
    </row>
    <row r="4927" spans="1:5" ht="15" customHeight="1" outlineLevel="2" x14ac:dyDescent="0.25">
      <c r="A4927" s="3" t="str">
        <f>HYPERLINK("http://mystore1.ru/price_items/search?utf8=%E2%9C%93&amp;oem=5326BGNS","5326BGNS")</f>
        <v>5326BGNS</v>
      </c>
      <c r="B4927" s="1" t="s">
        <v>9400</v>
      </c>
      <c r="C4927" s="9" t="s">
        <v>9390</v>
      </c>
      <c r="D4927" s="14" t="s">
        <v>9401</v>
      </c>
      <c r="E4927" s="9" t="s">
        <v>30</v>
      </c>
    </row>
    <row r="4928" spans="1:5" ht="15" customHeight="1" outlineLevel="2" x14ac:dyDescent="0.25">
      <c r="A4928" s="3" t="str">
        <f>HYPERLINK("http://mystore1.ru/price_items/search?utf8=%E2%9C%93&amp;oem=5326LCLS4FD","5326LCLS4FD")</f>
        <v>5326LCLS4FD</v>
      </c>
      <c r="B4928" s="1" t="s">
        <v>9402</v>
      </c>
      <c r="C4928" s="9" t="s">
        <v>9390</v>
      </c>
      <c r="D4928" s="14" t="s">
        <v>9403</v>
      </c>
      <c r="E4928" s="9" t="s">
        <v>11</v>
      </c>
    </row>
    <row r="4929" spans="1:5" ht="15" customHeight="1" outlineLevel="2" x14ac:dyDescent="0.25">
      <c r="A4929" s="3" t="str">
        <f>HYPERLINK("http://mystore1.ru/price_items/search?utf8=%E2%9C%93&amp;oem=5326LCLS4RD","5326LCLS4RD")</f>
        <v>5326LCLS4RD</v>
      </c>
      <c r="B4929" s="1" t="s">
        <v>9404</v>
      </c>
      <c r="C4929" s="9" t="s">
        <v>9390</v>
      </c>
      <c r="D4929" s="14" t="s">
        <v>9405</v>
      </c>
      <c r="E4929" s="9" t="s">
        <v>11</v>
      </c>
    </row>
    <row r="4930" spans="1:5" ht="15" customHeight="1" outlineLevel="2" x14ac:dyDescent="0.25">
      <c r="A4930" s="3" t="str">
        <f>HYPERLINK("http://mystore1.ru/price_items/search?utf8=%E2%9C%93&amp;oem=5326LCLS4RV","5326LCLS4RV")</f>
        <v>5326LCLS4RV</v>
      </c>
      <c r="B4930" s="1" t="s">
        <v>9406</v>
      </c>
      <c r="C4930" s="9" t="s">
        <v>9390</v>
      </c>
      <c r="D4930" s="14" t="s">
        <v>9407</v>
      </c>
      <c r="E4930" s="9" t="s">
        <v>11</v>
      </c>
    </row>
    <row r="4931" spans="1:5" ht="15" customHeight="1" outlineLevel="2" x14ac:dyDescent="0.25">
      <c r="A4931" s="3" t="str">
        <f>HYPERLINK("http://mystore1.ru/price_items/search?utf8=%E2%9C%93&amp;oem=5326LGNS4FD","5326LGNS4FD")</f>
        <v>5326LGNS4FD</v>
      </c>
      <c r="B4931" s="1" t="s">
        <v>9408</v>
      </c>
      <c r="C4931" s="9" t="s">
        <v>9390</v>
      </c>
      <c r="D4931" s="14" t="s">
        <v>9409</v>
      </c>
      <c r="E4931" s="9" t="s">
        <v>11</v>
      </c>
    </row>
    <row r="4932" spans="1:5" ht="15" customHeight="1" outlineLevel="2" x14ac:dyDescent="0.25">
      <c r="A4932" s="3" t="str">
        <f>HYPERLINK("http://mystore1.ru/price_items/search?utf8=%E2%9C%93&amp;oem=5326LGNS4RD","5326LGNS4RD")</f>
        <v>5326LGNS4RD</v>
      </c>
      <c r="B4932" s="1" t="s">
        <v>9410</v>
      </c>
      <c r="C4932" s="9" t="s">
        <v>9390</v>
      </c>
      <c r="D4932" s="14" t="s">
        <v>9411</v>
      </c>
      <c r="E4932" s="9" t="s">
        <v>11</v>
      </c>
    </row>
    <row r="4933" spans="1:5" ht="15" customHeight="1" outlineLevel="2" x14ac:dyDescent="0.25">
      <c r="A4933" s="3" t="str">
        <f>HYPERLINK("http://mystore1.ru/price_items/search?utf8=%E2%9C%93&amp;oem=5326LGNS4RV","5326LGNS4RV")</f>
        <v>5326LGNS4RV</v>
      </c>
      <c r="B4933" s="1" t="s">
        <v>9412</v>
      </c>
      <c r="C4933" s="9" t="s">
        <v>9390</v>
      </c>
      <c r="D4933" s="14" t="s">
        <v>9413</v>
      </c>
      <c r="E4933" s="9" t="s">
        <v>11</v>
      </c>
    </row>
    <row r="4934" spans="1:5" ht="15" customHeight="1" outlineLevel="2" x14ac:dyDescent="0.25">
      <c r="A4934" s="3" t="str">
        <f>HYPERLINK("http://mystore1.ru/price_items/search?utf8=%E2%9C%93&amp;oem=5326RCLS4FD","5326RCLS4FD")</f>
        <v>5326RCLS4FD</v>
      </c>
      <c r="B4934" s="1" t="s">
        <v>9414</v>
      </c>
      <c r="C4934" s="9" t="s">
        <v>9390</v>
      </c>
      <c r="D4934" s="14" t="s">
        <v>9415</v>
      </c>
      <c r="E4934" s="9" t="s">
        <v>11</v>
      </c>
    </row>
    <row r="4935" spans="1:5" ht="15" customHeight="1" outlineLevel="2" x14ac:dyDescent="0.25">
      <c r="A4935" s="3" t="str">
        <f>HYPERLINK("http://mystore1.ru/price_items/search?utf8=%E2%9C%93&amp;oem=5326RCLS4RD","5326RCLS4RD")</f>
        <v>5326RCLS4RD</v>
      </c>
      <c r="B4935" s="1" t="s">
        <v>9416</v>
      </c>
      <c r="C4935" s="9" t="s">
        <v>9390</v>
      </c>
      <c r="D4935" s="14" t="s">
        <v>9417</v>
      </c>
      <c r="E4935" s="9" t="s">
        <v>11</v>
      </c>
    </row>
    <row r="4936" spans="1:5" ht="15" customHeight="1" outlineLevel="2" x14ac:dyDescent="0.25">
      <c r="A4936" s="3" t="str">
        <f>HYPERLINK("http://mystore1.ru/price_items/search?utf8=%E2%9C%93&amp;oem=5326RCLS4RV","5326RCLS4RV")</f>
        <v>5326RCLS4RV</v>
      </c>
      <c r="B4936" s="1" t="s">
        <v>9418</v>
      </c>
      <c r="C4936" s="9" t="s">
        <v>9390</v>
      </c>
      <c r="D4936" s="14" t="s">
        <v>9419</v>
      </c>
      <c r="E4936" s="9" t="s">
        <v>11</v>
      </c>
    </row>
    <row r="4937" spans="1:5" ht="15" customHeight="1" outlineLevel="2" x14ac:dyDescent="0.25">
      <c r="A4937" s="3" t="str">
        <f>HYPERLINK("http://mystore1.ru/price_items/search?utf8=%E2%9C%93&amp;oem=5326RGNS4FD","5326RGNS4FD")</f>
        <v>5326RGNS4FD</v>
      </c>
      <c r="B4937" s="1" t="s">
        <v>9420</v>
      </c>
      <c r="C4937" s="9" t="s">
        <v>9390</v>
      </c>
      <c r="D4937" s="14" t="s">
        <v>9421</v>
      </c>
      <c r="E4937" s="9" t="s">
        <v>11</v>
      </c>
    </row>
    <row r="4938" spans="1:5" ht="15" customHeight="1" outlineLevel="2" x14ac:dyDescent="0.25">
      <c r="A4938" s="3" t="str">
        <f>HYPERLINK("http://mystore1.ru/price_items/search?utf8=%E2%9C%93&amp;oem=5326RGNS4RD","5326RGNS4RD")</f>
        <v>5326RGNS4RD</v>
      </c>
      <c r="B4938" s="1" t="s">
        <v>9422</v>
      </c>
      <c r="C4938" s="9" t="s">
        <v>9390</v>
      </c>
      <c r="D4938" s="14" t="s">
        <v>9423</v>
      </c>
      <c r="E4938" s="9" t="s">
        <v>11</v>
      </c>
    </row>
    <row r="4939" spans="1:5" ht="15" customHeight="1" outlineLevel="2" x14ac:dyDescent="0.25">
      <c r="A4939" s="3" t="str">
        <f>HYPERLINK("http://mystore1.ru/price_items/search?utf8=%E2%9C%93&amp;oem=5326RGNS4RV","5326RGNS4RV")</f>
        <v>5326RGNS4RV</v>
      </c>
      <c r="B4939" s="1" t="s">
        <v>9424</v>
      </c>
      <c r="C4939" s="9" t="s">
        <v>9390</v>
      </c>
      <c r="D4939" s="14" t="s">
        <v>9425</v>
      </c>
      <c r="E4939" s="9" t="s">
        <v>11</v>
      </c>
    </row>
    <row r="4940" spans="1:5" outlineLevel="1" x14ac:dyDescent="0.25">
      <c r="A4940" s="2"/>
      <c r="B4940" s="6" t="s">
        <v>9426</v>
      </c>
      <c r="C4940" s="8"/>
      <c r="D4940" s="8"/>
      <c r="E4940" s="8"/>
    </row>
    <row r="4941" spans="1:5" ht="15" customHeight="1" outlineLevel="2" x14ac:dyDescent="0.25">
      <c r="A4941" s="3" t="str">
        <f>HYPERLINK("http://mystore1.ru/price_items/search?utf8=%E2%9C%93&amp;oem=5329ACL","5329ACL")</f>
        <v>5329ACL</v>
      </c>
      <c r="B4941" s="1" t="s">
        <v>9427</v>
      </c>
      <c r="C4941" s="9" t="s">
        <v>9250</v>
      </c>
      <c r="D4941" s="14" t="s">
        <v>9428</v>
      </c>
      <c r="E4941" s="9" t="s">
        <v>8</v>
      </c>
    </row>
    <row r="4942" spans="1:5" ht="15" customHeight="1" outlineLevel="2" x14ac:dyDescent="0.25">
      <c r="A4942" s="3" t="str">
        <f>HYPERLINK("http://mystore1.ru/price_items/search?utf8=%E2%9C%93&amp;oem=5329AGN","5329AGN")</f>
        <v>5329AGN</v>
      </c>
      <c r="B4942" s="1" t="s">
        <v>9429</v>
      </c>
      <c r="C4942" s="9" t="s">
        <v>9250</v>
      </c>
      <c r="D4942" s="14" t="s">
        <v>9430</v>
      </c>
      <c r="E4942" s="9" t="s">
        <v>8</v>
      </c>
    </row>
    <row r="4943" spans="1:5" ht="15" customHeight="1" outlineLevel="2" x14ac:dyDescent="0.25">
      <c r="A4943" s="3" t="str">
        <f>HYPERLINK("http://mystore1.ru/price_items/search?utf8=%E2%9C%93&amp;oem=5329AGNBL","5329AGNBL")</f>
        <v>5329AGNBL</v>
      </c>
      <c r="B4943" s="1" t="s">
        <v>9431</v>
      </c>
      <c r="C4943" s="9" t="s">
        <v>9250</v>
      </c>
      <c r="D4943" s="14" t="s">
        <v>9432</v>
      </c>
      <c r="E4943" s="9" t="s">
        <v>8</v>
      </c>
    </row>
    <row r="4944" spans="1:5" ht="15" customHeight="1" outlineLevel="2" x14ac:dyDescent="0.25">
      <c r="A4944" s="3" t="str">
        <f>HYPERLINK("http://mystore1.ru/price_items/search?utf8=%E2%9C%93&amp;oem=5329AGNGN","5329AGNGN")</f>
        <v>5329AGNGN</v>
      </c>
      <c r="B4944" s="1" t="s">
        <v>9433</v>
      </c>
      <c r="C4944" s="9" t="s">
        <v>9250</v>
      </c>
      <c r="D4944" s="14" t="s">
        <v>9434</v>
      </c>
      <c r="E4944" s="9" t="s">
        <v>8</v>
      </c>
    </row>
    <row r="4945" spans="1:5" ht="15" customHeight="1" outlineLevel="2" x14ac:dyDescent="0.25">
      <c r="A4945" s="3" t="str">
        <f>HYPERLINK("http://mystore1.ru/price_items/search?utf8=%E2%9C%93&amp;oem=5329LCLS4FD","5329LCLS4FD")</f>
        <v>5329LCLS4FD</v>
      </c>
      <c r="B4945" s="1" t="s">
        <v>9435</v>
      </c>
      <c r="C4945" s="9" t="s">
        <v>9250</v>
      </c>
      <c r="D4945" s="14" t="s">
        <v>9436</v>
      </c>
      <c r="E4945" s="9" t="s">
        <v>11</v>
      </c>
    </row>
    <row r="4946" spans="1:5" ht="15" customHeight="1" outlineLevel="2" x14ac:dyDescent="0.25">
      <c r="A4946" s="3" t="str">
        <f>HYPERLINK("http://mystore1.ru/price_items/search?utf8=%E2%9C%93&amp;oem=5329LCLS4RD","5329LCLS4RD")</f>
        <v>5329LCLS4RD</v>
      </c>
      <c r="B4946" s="1" t="s">
        <v>9437</v>
      </c>
      <c r="C4946" s="9" t="s">
        <v>9250</v>
      </c>
      <c r="D4946" s="14" t="s">
        <v>9438</v>
      </c>
      <c r="E4946" s="9" t="s">
        <v>11</v>
      </c>
    </row>
    <row r="4947" spans="1:5" ht="15" customHeight="1" outlineLevel="2" x14ac:dyDescent="0.25">
      <c r="A4947" s="3" t="str">
        <f>HYPERLINK("http://mystore1.ru/price_items/search?utf8=%E2%9C%93&amp;oem=5329LCLS4RV","5329LCLS4RV")</f>
        <v>5329LCLS4RV</v>
      </c>
      <c r="B4947" s="1" t="s">
        <v>9439</v>
      </c>
      <c r="C4947" s="9" t="s">
        <v>9250</v>
      </c>
      <c r="D4947" s="14" t="s">
        <v>9440</v>
      </c>
      <c r="E4947" s="9" t="s">
        <v>11</v>
      </c>
    </row>
    <row r="4948" spans="1:5" ht="15" customHeight="1" outlineLevel="2" x14ac:dyDescent="0.25">
      <c r="A4948" s="3" t="str">
        <f>HYPERLINK("http://mystore1.ru/price_items/search?utf8=%E2%9C%93&amp;oem=5329LGNS4FD","5329LGNS4FD")</f>
        <v>5329LGNS4FD</v>
      </c>
      <c r="B4948" s="1" t="s">
        <v>9441</v>
      </c>
      <c r="C4948" s="9" t="s">
        <v>9250</v>
      </c>
      <c r="D4948" s="14" t="s">
        <v>9442</v>
      </c>
      <c r="E4948" s="9" t="s">
        <v>11</v>
      </c>
    </row>
    <row r="4949" spans="1:5" ht="15" customHeight="1" outlineLevel="2" x14ac:dyDescent="0.25">
      <c r="A4949" s="3" t="str">
        <f>HYPERLINK("http://mystore1.ru/price_items/search?utf8=%E2%9C%93&amp;oem=5329LGNS4RD","5329LGNS4RD")</f>
        <v>5329LGNS4RD</v>
      </c>
      <c r="B4949" s="1" t="s">
        <v>9443</v>
      </c>
      <c r="C4949" s="9" t="s">
        <v>9250</v>
      </c>
      <c r="D4949" s="14" t="s">
        <v>9444</v>
      </c>
      <c r="E4949" s="9" t="s">
        <v>11</v>
      </c>
    </row>
    <row r="4950" spans="1:5" ht="15" customHeight="1" outlineLevel="2" x14ac:dyDescent="0.25">
      <c r="A4950" s="3" t="str">
        <f>HYPERLINK("http://mystore1.ru/price_items/search?utf8=%E2%9C%93&amp;oem=5329LGNS4RV","5329LGNS4RV")</f>
        <v>5329LGNS4RV</v>
      </c>
      <c r="B4950" s="1" t="s">
        <v>9445</v>
      </c>
      <c r="C4950" s="9" t="s">
        <v>9250</v>
      </c>
      <c r="D4950" s="14" t="s">
        <v>9446</v>
      </c>
      <c r="E4950" s="9" t="s">
        <v>11</v>
      </c>
    </row>
    <row r="4951" spans="1:5" ht="15" customHeight="1" outlineLevel="2" x14ac:dyDescent="0.25">
      <c r="A4951" s="3" t="str">
        <f>HYPERLINK("http://mystore1.ru/price_items/search?utf8=%E2%9C%93&amp;oem=5329RCLS4FD","5329RCLS4FD")</f>
        <v>5329RCLS4FD</v>
      </c>
      <c r="B4951" s="1" t="s">
        <v>9447</v>
      </c>
      <c r="C4951" s="9" t="s">
        <v>9250</v>
      </c>
      <c r="D4951" s="14" t="s">
        <v>9448</v>
      </c>
      <c r="E4951" s="9" t="s">
        <v>11</v>
      </c>
    </row>
    <row r="4952" spans="1:5" ht="15" customHeight="1" outlineLevel="2" x14ac:dyDescent="0.25">
      <c r="A4952" s="3" t="str">
        <f>HYPERLINK("http://mystore1.ru/price_items/search?utf8=%E2%9C%93&amp;oem=5329RCLS4RD","5329RCLS4RD")</f>
        <v>5329RCLS4RD</v>
      </c>
      <c r="B4952" s="1" t="s">
        <v>9449</v>
      </c>
      <c r="C4952" s="9" t="s">
        <v>9250</v>
      </c>
      <c r="D4952" s="14" t="s">
        <v>9450</v>
      </c>
      <c r="E4952" s="9" t="s">
        <v>11</v>
      </c>
    </row>
    <row r="4953" spans="1:5" ht="15" customHeight="1" outlineLevel="2" x14ac:dyDescent="0.25">
      <c r="A4953" s="3" t="str">
        <f>HYPERLINK("http://mystore1.ru/price_items/search?utf8=%E2%9C%93&amp;oem=5329RCLS4RV","5329RCLS4RV")</f>
        <v>5329RCLS4RV</v>
      </c>
      <c r="B4953" s="1" t="s">
        <v>9451</v>
      </c>
      <c r="C4953" s="9" t="s">
        <v>9250</v>
      </c>
      <c r="D4953" s="14" t="s">
        <v>9452</v>
      </c>
      <c r="E4953" s="9" t="s">
        <v>11</v>
      </c>
    </row>
    <row r="4954" spans="1:5" ht="15" customHeight="1" outlineLevel="2" x14ac:dyDescent="0.25">
      <c r="A4954" s="3" t="str">
        <f>HYPERLINK("http://mystore1.ru/price_items/search?utf8=%E2%9C%93&amp;oem=5329RGNS4FD","5329RGNS4FD")</f>
        <v>5329RGNS4FD</v>
      </c>
      <c r="B4954" s="1" t="s">
        <v>9453</v>
      </c>
      <c r="C4954" s="9" t="s">
        <v>9250</v>
      </c>
      <c r="D4954" s="14" t="s">
        <v>9454</v>
      </c>
      <c r="E4954" s="9" t="s">
        <v>11</v>
      </c>
    </row>
    <row r="4955" spans="1:5" ht="15" customHeight="1" outlineLevel="2" x14ac:dyDescent="0.25">
      <c r="A4955" s="3" t="str">
        <f>HYPERLINK("http://mystore1.ru/price_items/search?utf8=%E2%9C%93&amp;oem=5329RGNS4RD","5329RGNS4RD")</f>
        <v>5329RGNS4RD</v>
      </c>
      <c r="B4955" s="1" t="s">
        <v>9455</v>
      </c>
      <c r="C4955" s="9" t="s">
        <v>9250</v>
      </c>
      <c r="D4955" s="14" t="s">
        <v>9456</v>
      </c>
      <c r="E4955" s="9" t="s">
        <v>11</v>
      </c>
    </row>
    <row r="4956" spans="1:5" ht="15" customHeight="1" outlineLevel="2" x14ac:dyDescent="0.25">
      <c r="A4956" s="3" t="str">
        <f>HYPERLINK("http://mystore1.ru/price_items/search?utf8=%E2%9C%93&amp;oem=5329RGNS4RV","5329RGNS4RV")</f>
        <v>5329RGNS4RV</v>
      </c>
      <c r="B4956" s="1" t="s">
        <v>9457</v>
      </c>
      <c r="C4956" s="9" t="s">
        <v>9250</v>
      </c>
      <c r="D4956" s="14" t="s">
        <v>9458</v>
      </c>
      <c r="E4956" s="9" t="s">
        <v>11</v>
      </c>
    </row>
    <row r="4957" spans="1:5" outlineLevel="1" x14ac:dyDescent="0.25">
      <c r="A4957" s="2"/>
      <c r="B4957" s="6" t="s">
        <v>9459</v>
      </c>
      <c r="C4957" s="47"/>
      <c r="D4957" s="8"/>
      <c r="E4957" s="8"/>
    </row>
    <row r="4958" spans="1:5" ht="15" customHeight="1" outlineLevel="2" x14ac:dyDescent="0.25">
      <c r="A4958" s="3" t="str">
        <f>HYPERLINK("http://mystore1.ru/price_items/search?utf8=%E2%9C%93&amp;oem=5334ACL","5334ACL")</f>
        <v>5334ACL</v>
      </c>
      <c r="B4958" s="1" t="s">
        <v>9460</v>
      </c>
      <c r="C4958" s="9" t="s">
        <v>3244</v>
      </c>
      <c r="D4958" s="14" t="s">
        <v>9461</v>
      </c>
      <c r="E4958" s="9" t="s">
        <v>8</v>
      </c>
    </row>
    <row r="4959" spans="1:5" ht="15" customHeight="1" outlineLevel="2" x14ac:dyDescent="0.25">
      <c r="A4959" s="3" t="str">
        <f>HYPERLINK("http://mystore1.ru/price_items/search?utf8=%E2%9C%93&amp;oem=5334AGN","5334AGN")</f>
        <v>5334AGN</v>
      </c>
      <c r="B4959" s="1" t="s">
        <v>9462</v>
      </c>
      <c r="C4959" s="9" t="s">
        <v>3244</v>
      </c>
      <c r="D4959" s="14" t="s">
        <v>9463</v>
      </c>
      <c r="E4959" s="9" t="s">
        <v>8</v>
      </c>
    </row>
    <row r="4960" spans="1:5" ht="15" customHeight="1" outlineLevel="2" x14ac:dyDescent="0.25">
      <c r="A4960" s="3" t="str">
        <f>HYPERLINK("http://mystore1.ru/price_items/search?utf8=%E2%9C%93&amp;oem=5334AGNBL","5334AGNBL")</f>
        <v>5334AGNBL</v>
      </c>
      <c r="B4960" s="1" t="s">
        <v>9464</v>
      </c>
      <c r="C4960" s="9" t="s">
        <v>3244</v>
      </c>
      <c r="D4960" s="14" t="s">
        <v>9465</v>
      </c>
      <c r="E4960" s="9" t="s">
        <v>8</v>
      </c>
    </row>
    <row r="4961" spans="1:5" ht="15" customHeight="1" outlineLevel="2" x14ac:dyDescent="0.25">
      <c r="A4961" s="3" t="str">
        <f>HYPERLINK("http://mystore1.ru/price_items/search?utf8=%E2%9C%93&amp;oem=5334AGNGN","5334AGNGN")</f>
        <v>5334AGNGN</v>
      </c>
      <c r="B4961" s="1" t="s">
        <v>9466</v>
      </c>
      <c r="C4961" s="9" t="s">
        <v>3244</v>
      </c>
      <c r="D4961" s="14" t="s">
        <v>9467</v>
      </c>
      <c r="E4961" s="9" t="s">
        <v>8</v>
      </c>
    </row>
    <row r="4962" spans="1:5" ht="15" customHeight="1" outlineLevel="2" x14ac:dyDescent="0.25">
      <c r="A4962" s="3" t="str">
        <f>HYPERLINK("http://mystore1.ru/price_items/search?utf8=%E2%9C%93&amp;oem=5334AGNGNV","5334AGNGNV")</f>
        <v>5334AGNGNV</v>
      </c>
      <c r="B4962" s="1" t="s">
        <v>9468</v>
      </c>
      <c r="C4962" s="9" t="s">
        <v>3244</v>
      </c>
      <c r="D4962" s="14" t="s">
        <v>9469</v>
      </c>
      <c r="E4962" s="9" t="s">
        <v>8</v>
      </c>
    </row>
    <row r="4963" spans="1:5" ht="15" customHeight="1" outlineLevel="2" x14ac:dyDescent="0.25">
      <c r="A4963" s="3" t="str">
        <f>HYPERLINK("http://mystore1.ru/price_items/search?utf8=%E2%9C%93&amp;oem=5334AGNGYMV","5334AGNGYMV")</f>
        <v>5334AGNGYMV</v>
      </c>
      <c r="B4963" s="1" t="s">
        <v>9470</v>
      </c>
      <c r="C4963" s="9" t="s">
        <v>3244</v>
      </c>
      <c r="D4963" s="14" t="s">
        <v>9471</v>
      </c>
      <c r="E4963" s="9" t="s">
        <v>8</v>
      </c>
    </row>
    <row r="4964" spans="1:5" ht="15" customHeight="1" outlineLevel="2" x14ac:dyDescent="0.25">
      <c r="A4964" s="3" t="str">
        <f>HYPERLINK("http://mystore1.ru/price_items/search?utf8=%E2%9C%93&amp;oem=5334AGNGYPV","5334AGNGYPV")</f>
        <v>5334AGNGYPV</v>
      </c>
      <c r="B4964" s="1" t="s">
        <v>9472</v>
      </c>
      <c r="C4964" s="9" t="s">
        <v>3244</v>
      </c>
      <c r="D4964" s="14" t="s">
        <v>9473</v>
      </c>
      <c r="E4964" s="9" t="s">
        <v>8</v>
      </c>
    </row>
    <row r="4965" spans="1:5" ht="15" customHeight="1" outlineLevel="2" x14ac:dyDescent="0.25">
      <c r="A4965" s="3" t="str">
        <f>HYPERLINK("http://mystore1.ru/price_items/search?utf8=%E2%9C%93&amp;oem=5334AGNGYV","5334AGNGYV")</f>
        <v>5334AGNGYV</v>
      </c>
      <c r="B4965" s="1" t="s">
        <v>9474</v>
      </c>
      <c r="C4965" s="9" t="s">
        <v>3244</v>
      </c>
      <c r="D4965" s="14" t="s">
        <v>9475</v>
      </c>
      <c r="E4965" s="9" t="s">
        <v>8</v>
      </c>
    </row>
    <row r="4966" spans="1:5" ht="15" customHeight="1" outlineLevel="2" x14ac:dyDescent="0.25">
      <c r="A4966" s="3" t="str">
        <f>HYPERLINK("http://mystore1.ru/price_items/search?utf8=%E2%9C%93&amp;oem=5334ASMST","5334ASMST")</f>
        <v>5334ASMST</v>
      </c>
      <c r="B4966" s="1" t="s">
        <v>9476</v>
      </c>
      <c r="C4966" s="9" t="s">
        <v>25</v>
      </c>
      <c r="D4966" s="14" t="s">
        <v>9477</v>
      </c>
      <c r="E4966" s="9" t="s">
        <v>27</v>
      </c>
    </row>
    <row r="4967" spans="1:5" ht="15" customHeight="1" outlineLevel="2" x14ac:dyDescent="0.25">
      <c r="A4967" s="3" t="str">
        <f>HYPERLINK("http://mystore1.ru/price_items/search?utf8=%E2%9C%93&amp;oem=5334ASMST1C","5334ASMST1C")</f>
        <v>5334ASMST1C</v>
      </c>
      <c r="B4967" s="1" t="s">
        <v>9478</v>
      </c>
      <c r="C4967" s="9" t="s">
        <v>25</v>
      </c>
      <c r="D4967" s="14" t="s">
        <v>9479</v>
      </c>
      <c r="E4967" s="9" t="s">
        <v>27</v>
      </c>
    </row>
    <row r="4968" spans="1:5" ht="15" customHeight="1" outlineLevel="2" x14ac:dyDescent="0.25">
      <c r="A4968" s="3" t="str">
        <f>HYPERLINK("http://mystore1.ru/price_items/search?utf8=%E2%9C%93&amp;oem=5334BGNE","5334BGNE")</f>
        <v>5334BGNE</v>
      </c>
      <c r="B4968" s="1" t="s">
        <v>9480</v>
      </c>
      <c r="C4968" s="9" t="s">
        <v>3244</v>
      </c>
      <c r="D4968" s="14" t="s">
        <v>9481</v>
      </c>
      <c r="E4968" s="9" t="s">
        <v>30</v>
      </c>
    </row>
    <row r="4969" spans="1:5" ht="15" customHeight="1" outlineLevel="2" x14ac:dyDescent="0.25">
      <c r="A4969" s="3" t="str">
        <f>HYPERLINK("http://mystore1.ru/price_items/search?utf8=%E2%9C%93&amp;oem=5334BGNEAX","5334BGNEAX")</f>
        <v>5334BGNEAX</v>
      </c>
      <c r="B4969" s="1" t="s">
        <v>9482</v>
      </c>
      <c r="C4969" s="9" t="s">
        <v>3244</v>
      </c>
      <c r="D4969" s="14" t="s">
        <v>9483</v>
      </c>
      <c r="E4969" s="9" t="s">
        <v>30</v>
      </c>
    </row>
    <row r="4970" spans="1:5" ht="15" customHeight="1" outlineLevel="2" x14ac:dyDescent="0.25">
      <c r="A4970" s="3" t="str">
        <f>HYPERLINK("http://mystore1.ru/price_items/search?utf8=%E2%9C%93&amp;oem=5334BGNS","5334BGNS")</f>
        <v>5334BGNS</v>
      </c>
      <c r="B4970" s="1" t="s">
        <v>9484</v>
      </c>
      <c r="C4970" s="9" t="s">
        <v>3244</v>
      </c>
      <c r="D4970" s="14" t="s">
        <v>9485</v>
      </c>
      <c r="E4970" s="9" t="s">
        <v>30</v>
      </c>
    </row>
    <row r="4971" spans="1:5" ht="15" customHeight="1" outlineLevel="2" x14ac:dyDescent="0.25">
      <c r="A4971" s="3" t="str">
        <f>HYPERLINK("http://mystore1.ru/price_items/search?utf8=%E2%9C%93&amp;oem=5334BGNSA","5334BGNSA")</f>
        <v>5334BGNSA</v>
      </c>
      <c r="B4971" s="1" t="s">
        <v>9486</v>
      </c>
      <c r="C4971" s="9" t="s">
        <v>3244</v>
      </c>
      <c r="D4971" s="14" t="s">
        <v>9487</v>
      </c>
      <c r="E4971" s="9" t="s">
        <v>30</v>
      </c>
    </row>
    <row r="4972" spans="1:5" ht="15" customHeight="1" outlineLevel="2" x14ac:dyDescent="0.25">
      <c r="A4972" s="3" t="str">
        <f>HYPERLINK("http://mystore1.ru/price_items/search?utf8=%E2%9C%93&amp;oem=5334LCLS4FD","5334LCLS4FD")</f>
        <v>5334LCLS4FD</v>
      </c>
      <c r="B4972" s="1" t="s">
        <v>9488</v>
      </c>
      <c r="C4972" s="9" t="s">
        <v>3244</v>
      </c>
      <c r="D4972" s="14" t="s">
        <v>9489</v>
      </c>
      <c r="E4972" s="9" t="s">
        <v>11</v>
      </c>
    </row>
    <row r="4973" spans="1:5" ht="15" customHeight="1" outlineLevel="2" x14ac:dyDescent="0.25">
      <c r="A4973" s="3" t="str">
        <f>HYPERLINK("http://mystore1.ru/price_items/search?utf8=%E2%9C%93&amp;oem=5334LCLS4RV","5334LCLS4RV")</f>
        <v>5334LCLS4RV</v>
      </c>
      <c r="B4973" s="1" t="s">
        <v>9490</v>
      </c>
      <c r="C4973" s="9" t="s">
        <v>3244</v>
      </c>
      <c r="D4973" s="14" t="s">
        <v>9491</v>
      </c>
      <c r="E4973" s="9" t="s">
        <v>11</v>
      </c>
    </row>
    <row r="4974" spans="1:5" ht="15" customHeight="1" outlineLevel="2" x14ac:dyDescent="0.25">
      <c r="A4974" s="3" t="str">
        <f>HYPERLINK("http://mystore1.ru/price_items/search?utf8=%E2%9C%93&amp;oem=5334LGNE5RD","5334LGNE5RD")</f>
        <v>5334LGNE5RD</v>
      </c>
      <c r="B4974" s="1" t="s">
        <v>9492</v>
      </c>
      <c r="C4974" s="9" t="s">
        <v>3244</v>
      </c>
      <c r="D4974" s="14" t="s">
        <v>9493</v>
      </c>
      <c r="E4974" s="9" t="s">
        <v>11</v>
      </c>
    </row>
    <row r="4975" spans="1:5" ht="15" customHeight="1" outlineLevel="2" x14ac:dyDescent="0.25">
      <c r="A4975" s="3" t="str">
        <f>HYPERLINK("http://mystore1.ru/price_items/search?utf8=%E2%9C%93&amp;oem=5334LGNE5RQA","5334LGNE5RQA")</f>
        <v>5334LGNE5RQA</v>
      </c>
      <c r="B4975" s="1" t="s">
        <v>9494</v>
      </c>
      <c r="C4975" s="9" t="s">
        <v>3244</v>
      </c>
      <c r="D4975" s="14" t="s">
        <v>9495</v>
      </c>
      <c r="E4975" s="9" t="s">
        <v>11</v>
      </c>
    </row>
    <row r="4976" spans="1:5" ht="15" customHeight="1" outlineLevel="2" x14ac:dyDescent="0.25">
      <c r="A4976" s="3" t="str">
        <f>HYPERLINK("http://mystore1.ru/price_items/search?utf8=%E2%9C%93&amp;oem=5334LGNE5RV","5334LGNE5RV")</f>
        <v>5334LGNE5RV</v>
      </c>
      <c r="B4976" s="1" t="s">
        <v>9496</v>
      </c>
      <c r="C4976" s="9" t="s">
        <v>3244</v>
      </c>
      <c r="D4976" s="14" t="s">
        <v>9497</v>
      </c>
      <c r="E4976" s="9" t="s">
        <v>11</v>
      </c>
    </row>
    <row r="4977" spans="1:5" ht="15" customHeight="1" outlineLevel="2" x14ac:dyDescent="0.25">
      <c r="A4977" s="3" t="str">
        <f>HYPERLINK("http://mystore1.ru/price_items/search?utf8=%E2%9C%93&amp;oem=5334LGNS4FD","5334LGNS4FD")</f>
        <v>5334LGNS4FD</v>
      </c>
      <c r="B4977" s="1" t="s">
        <v>9498</v>
      </c>
      <c r="C4977" s="9" t="s">
        <v>3244</v>
      </c>
      <c r="D4977" s="14" t="s">
        <v>9499</v>
      </c>
      <c r="E4977" s="9" t="s">
        <v>11</v>
      </c>
    </row>
    <row r="4978" spans="1:5" ht="15" customHeight="1" outlineLevel="2" x14ac:dyDescent="0.25">
      <c r="A4978" s="3" t="str">
        <f>HYPERLINK("http://mystore1.ru/price_items/search?utf8=%E2%9C%93&amp;oem=5334LGNS4RD","5334LGNS4RD")</f>
        <v>5334LGNS4RD</v>
      </c>
      <c r="B4978" s="1" t="s">
        <v>9500</v>
      </c>
      <c r="C4978" s="9" t="s">
        <v>3244</v>
      </c>
      <c r="D4978" s="14" t="s">
        <v>9501</v>
      </c>
      <c r="E4978" s="9" t="s">
        <v>11</v>
      </c>
    </row>
    <row r="4979" spans="1:5" ht="15" customHeight="1" outlineLevel="2" x14ac:dyDescent="0.25">
      <c r="A4979" s="3" t="str">
        <f>HYPERLINK("http://mystore1.ru/price_items/search?utf8=%E2%9C%93&amp;oem=5334LGNS4RV","5334LGNS4RV")</f>
        <v>5334LGNS4RV</v>
      </c>
      <c r="B4979" s="1" t="s">
        <v>9502</v>
      </c>
      <c r="C4979" s="9" t="s">
        <v>3244</v>
      </c>
      <c r="D4979" s="14" t="s">
        <v>9503</v>
      </c>
      <c r="E4979" s="9" t="s">
        <v>11</v>
      </c>
    </row>
    <row r="4980" spans="1:5" ht="15" customHeight="1" outlineLevel="2" x14ac:dyDescent="0.25">
      <c r="A4980" s="3" t="str">
        <f>HYPERLINK("http://mystore1.ru/price_items/search?utf8=%E2%9C%93&amp;oem=5334RCLS4FD","5334RCLS4FD")</f>
        <v>5334RCLS4FD</v>
      </c>
      <c r="B4980" s="1" t="s">
        <v>9504</v>
      </c>
      <c r="C4980" s="9" t="s">
        <v>3244</v>
      </c>
      <c r="D4980" s="14" t="s">
        <v>9505</v>
      </c>
      <c r="E4980" s="9" t="s">
        <v>11</v>
      </c>
    </row>
    <row r="4981" spans="1:5" ht="15" customHeight="1" outlineLevel="2" x14ac:dyDescent="0.25">
      <c r="A4981" s="3" t="str">
        <f>HYPERLINK("http://mystore1.ru/price_items/search?utf8=%E2%9C%93&amp;oem=5334RCLS4RD","5334RCLS4RD")</f>
        <v>5334RCLS4RD</v>
      </c>
      <c r="B4981" s="1" t="s">
        <v>9506</v>
      </c>
      <c r="C4981" s="9" t="s">
        <v>3244</v>
      </c>
      <c r="D4981" s="14" t="s">
        <v>9507</v>
      </c>
      <c r="E4981" s="9" t="s">
        <v>11</v>
      </c>
    </row>
    <row r="4982" spans="1:5" ht="15" customHeight="1" outlineLevel="2" x14ac:dyDescent="0.25">
      <c r="A4982" s="3" t="str">
        <f>HYPERLINK("http://mystore1.ru/price_items/search?utf8=%E2%9C%93&amp;oem=5334RCLS4RV","5334RCLS4RV")</f>
        <v>5334RCLS4RV</v>
      </c>
      <c r="B4982" s="1" t="s">
        <v>9508</v>
      </c>
      <c r="C4982" s="9" t="s">
        <v>3244</v>
      </c>
      <c r="D4982" s="14" t="s">
        <v>9509</v>
      </c>
      <c r="E4982" s="9" t="s">
        <v>11</v>
      </c>
    </row>
    <row r="4983" spans="1:5" ht="15" customHeight="1" outlineLevel="2" x14ac:dyDescent="0.25">
      <c r="A4983" s="3" t="str">
        <f>HYPERLINK("http://mystore1.ru/price_items/search?utf8=%E2%9C%93&amp;oem=5334RGNE5RD","5334RGNE5RD")</f>
        <v>5334RGNE5RD</v>
      </c>
      <c r="B4983" s="1" t="s">
        <v>9510</v>
      </c>
      <c r="C4983" s="9" t="s">
        <v>3244</v>
      </c>
      <c r="D4983" s="14" t="s">
        <v>9511</v>
      </c>
      <c r="E4983" s="9" t="s">
        <v>11</v>
      </c>
    </row>
    <row r="4984" spans="1:5" ht="15" customHeight="1" outlineLevel="2" x14ac:dyDescent="0.25">
      <c r="A4984" s="3" t="str">
        <f>HYPERLINK("http://mystore1.ru/price_items/search?utf8=%E2%9C%93&amp;oem=5334RGNE5RV","5334RGNE5RV")</f>
        <v>5334RGNE5RV</v>
      </c>
      <c r="B4984" s="1" t="s">
        <v>9512</v>
      </c>
      <c r="C4984" s="9" t="s">
        <v>3244</v>
      </c>
      <c r="D4984" s="14" t="s">
        <v>9513</v>
      </c>
      <c r="E4984" s="9" t="s">
        <v>11</v>
      </c>
    </row>
    <row r="4985" spans="1:5" ht="15" customHeight="1" outlineLevel="2" x14ac:dyDescent="0.25">
      <c r="A4985" s="3" t="str">
        <f>HYPERLINK("http://mystore1.ru/price_items/search?utf8=%E2%9C%93&amp;oem=5334RGNS4FD","5334RGNS4FD")</f>
        <v>5334RGNS4FD</v>
      </c>
      <c r="B4985" s="1" t="s">
        <v>9514</v>
      </c>
      <c r="C4985" s="9" t="s">
        <v>3244</v>
      </c>
      <c r="D4985" s="14" t="s">
        <v>9515</v>
      </c>
      <c r="E4985" s="9" t="s">
        <v>11</v>
      </c>
    </row>
    <row r="4986" spans="1:5" ht="15" customHeight="1" outlineLevel="2" x14ac:dyDescent="0.25">
      <c r="A4986" s="3" t="str">
        <f>HYPERLINK("http://mystore1.ru/price_items/search?utf8=%E2%9C%93&amp;oem=5334RGNS4RD","5334RGNS4RD")</f>
        <v>5334RGNS4RD</v>
      </c>
      <c r="B4986" s="1" t="s">
        <v>9516</v>
      </c>
      <c r="C4986" s="9" t="s">
        <v>3244</v>
      </c>
      <c r="D4986" s="14" t="s">
        <v>9517</v>
      </c>
      <c r="E4986" s="9" t="s">
        <v>11</v>
      </c>
    </row>
    <row r="4987" spans="1:5" ht="15" customHeight="1" outlineLevel="2" x14ac:dyDescent="0.25">
      <c r="A4987" s="3" t="str">
        <f>HYPERLINK("http://mystore1.ru/price_items/search?utf8=%E2%9C%93&amp;oem=5334RGNS4RV","5334RGNS4RV")</f>
        <v>5334RGNS4RV</v>
      </c>
      <c r="B4987" s="1" t="s">
        <v>9518</v>
      </c>
      <c r="C4987" s="9" t="s">
        <v>3244</v>
      </c>
      <c r="D4987" s="14" t="s">
        <v>9519</v>
      </c>
      <c r="E4987" s="9" t="s">
        <v>11</v>
      </c>
    </row>
    <row r="4988" spans="1:5" outlineLevel="1" x14ac:dyDescent="0.25">
      <c r="A4988" s="2"/>
      <c r="B4988" s="6" t="s">
        <v>9520</v>
      </c>
      <c r="C4988" s="8"/>
      <c r="D4988" s="8"/>
      <c r="E4988" s="8"/>
    </row>
    <row r="4989" spans="1:5" ht="15" customHeight="1" outlineLevel="2" x14ac:dyDescent="0.25">
      <c r="A4989" s="3" t="str">
        <f>HYPERLINK("http://mystore1.ru/price_items/search?utf8=%E2%9C%93&amp;oem=5351ABSGYMVW","5351ABSGYMVW")</f>
        <v>5351ABSGYMVW</v>
      </c>
      <c r="B4989" s="1" t="s">
        <v>9521</v>
      </c>
      <c r="C4989" s="9" t="s">
        <v>377</v>
      </c>
      <c r="D4989" s="14" t="s">
        <v>9522</v>
      </c>
      <c r="E4989" s="9" t="s">
        <v>8</v>
      </c>
    </row>
    <row r="4990" spans="1:5" ht="15" customHeight="1" outlineLevel="2" x14ac:dyDescent="0.25">
      <c r="A4990" s="3" t="str">
        <f>HYPERLINK("http://mystore1.ru/price_items/search?utf8=%E2%9C%93&amp;oem=5351ABSGYMVW6T","5351ABSGYMVW6T")</f>
        <v>5351ABSGYMVW6T</v>
      </c>
      <c r="B4990" s="1" t="s">
        <v>9523</v>
      </c>
      <c r="C4990" s="9" t="s">
        <v>1617</v>
      </c>
      <c r="D4990" s="14" t="s">
        <v>9524</v>
      </c>
      <c r="E4990" s="9" t="s">
        <v>8</v>
      </c>
    </row>
    <row r="4991" spans="1:5" ht="15" customHeight="1" outlineLevel="2" x14ac:dyDescent="0.25">
      <c r="A4991" s="3" t="str">
        <f>HYPERLINK("http://mystore1.ru/price_items/search?utf8=%E2%9C%93&amp;oem=5351ABSGYMVW7T","5351ABSGYMVW7T")</f>
        <v>5351ABSGYMVW7T</v>
      </c>
      <c r="B4991" s="1" t="s">
        <v>9525</v>
      </c>
      <c r="C4991" s="9" t="s">
        <v>1617</v>
      </c>
      <c r="D4991" s="14" t="s">
        <v>9526</v>
      </c>
      <c r="E4991" s="9" t="s">
        <v>8</v>
      </c>
    </row>
    <row r="4992" spans="1:5" ht="15" customHeight="1" outlineLevel="2" x14ac:dyDescent="0.25">
      <c r="A4992" s="3" t="str">
        <f>HYPERLINK("http://mystore1.ru/price_items/search?utf8=%E2%9C%93&amp;oem=5351ABSGYPVW","5351ABSGYPVW")</f>
        <v>5351ABSGYPVW</v>
      </c>
      <c r="B4992" s="1" t="s">
        <v>9527</v>
      </c>
      <c r="C4992" s="9" t="s">
        <v>1617</v>
      </c>
      <c r="D4992" s="14" t="s">
        <v>9528</v>
      </c>
      <c r="E4992" s="9" t="s">
        <v>8</v>
      </c>
    </row>
    <row r="4993" spans="1:5" ht="15" customHeight="1" outlineLevel="2" x14ac:dyDescent="0.25">
      <c r="A4993" s="3" t="str">
        <f>HYPERLINK("http://mystore1.ru/price_items/search?utf8=%E2%9C%93&amp;oem=5351ABSGYPVW1T","5351ABSGYPVW1T")</f>
        <v>5351ABSGYPVW1T</v>
      </c>
      <c r="B4993" s="1" t="s">
        <v>9529</v>
      </c>
      <c r="C4993" s="9" t="s">
        <v>377</v>
      </c>
      <c r="D4993" s="14" t="s">
        <v>9530</v>
      </c>
      <c r="E4993" s="9" t="s">
        <v>8</v>
      </c>
    </row>
    <row r="4994" spans="1:5" ht="15" customHeight="1" outlineLevel="2" x14ac:dyDescent="0.25">
      <c r="A4994" s="3" t="str">
        <f>HYPERLINK("http://mystore1.ru/price_items/search?utf8=%E2%9C%93&amp;oem=5351ABSMVW","5351ABSMVW")</f>
        <v>5351ABSMVW</v>
      </c>
      <c r="B4994" s="1" t="s">
        <v>9531</v>
      </c>
      <c r="C4994" s="9" t="s">
        <v>377</v>
      </c>
      <c r="D4994" s="14" t="s">
        <v>9532</v>
      </c>
      <c r="E4994" s="9" t="s">
        <v>8</v>
      </c>
    </row>
    <row r="4995" spans="1:5" ht="15" customHeight="1" outlineLevel="2" x14ac:dyDescent="0.25">
      <c r="A4995" s="3" t="str">
        <f>HYPERLINK("http://mystore1.ru/price_items/search?utf8=%E2%9C%93&amp;oem=5351ABSMVW6T","5351ABSMVW6T")</f>
        <v>5351ABSMVW6T</v>
      </c>
      <c r="B4995" s="1" t="s">
        <v>9533</v>
      </c>
      <c r="C4995" s="9" t="s">
        <v>1617</v>
      </c>
      <c r="D4995" s="14" t="s">
        <v>9534</v>
      </c>
      <c r="E4995" s="9" t="s">
        <v>8</v>
      </c>
    </row>
    <row r="4996" spans="1:5" ht="15" customHeight="1" outlineLevel="2" x14ac:dyDescent="0.25">
      <c r="A4996" s="3" t="str">
        <f>HYPERLINK("http://mystore1.ru/price_items/search?utf8=%E2%9C%93&amp;oem=5351ABSMVW7T","5351ABSMVW7T")</f>
        <v>5351ABSMVW7T</v>
      </c>
      <c r="B4996" s="1" t="s">
        <v>9535</v>
      </c>
      <c r="C4996" s="9" t="s">
        <v>1617</v>
      </c>
      <c r="D4996" s="14" t="s">
        <v>9536</v>
      </c>
      <c r="E4996" s="9" t="s">
        <v>8</v>
      </c>
    </row>
    <row r="4997" spans="1:5" ht="15" customHeight="1" outlineLevel="2" x14ac:dyDescent="0.25">
      <c r="A4997" s="3" t="str">
        <f>HYPERLINK("http://mystore1.ru/price_items/search?utf8=%E2%9C%93&amp;oem=5351AGSGYMVW","5351AGSGYMVW")</f>
        <v>5351AGSGYMVW</v>
      </c>
      <c r="B4997" s="1" t="s">
        <v>9537</v>
      </c>
      <c r="C4997" s="9" t="s">
        <v>377</v>
      </c>
      <c r="D4997" s="14" t="s">
        <v>9538</v>
      </c>
      <c r="E4997" s="9" t="s">
        <v>8</v>
      </c>
    </row>
    <row r="4998" spans="1:5" ht="15" customHeight="1" outlineLevel="2" x14ac:dyDescent="0.25">
      <c r="A4998" s="3" t="str">
        <f>HYPERLINK("http://mystore1.ru/price_items/search?utf8=%E2%9C%93&amp;oem=5351AGSGYMVW6T","5351AGSGYMVW6T")</f>
        <v>5351AGSGYMVW6T</v>
      </c>
      <c r="B4998" s="1" t="s">
        <v>9539</v>
      </c>
      <c r="C4998" s="9" t="s">
        <v>1617</v>
      </c>
      <c r="D4998" s="14" t="s">
        <v>9540</v>
      </c>
      <c r="E4998" s="9" t="s">
        <v>8</v>
      </c>
    </row>
    <row r="4999" spans="1:5" ht="15" customHeight="1" outlineLevel="2" x14ac:dyDescent="0.25">
      <c r="A4999" s="3" t="str">
        <f>HYPERLINK("http://mystore1.ru/price_items/search?utf8=%E2%9C%93&amp;oem=5351AGSGYMVW7T","5351AGSGYMVW7T")</f>
        <v>5351AGSGYMVW7T</v>
      </c>
      <c r="B4999" s="1" t="s">
        <v>9541</v>
      </c>
      <c r="C4999" s="9" t="s">
        <v>1617</v>
      </c>
      <c r="D4999" s="14" t="s">
        <v>9542</v>
      </c>
      <c r="E4999" s="9" t="s">
        <v>8</v>
      </c>
    </row>
    <row r="5000" spans="1:5" ht="15" customHeight="1" outlineLevel="2" x14ac:dyDescent="0.25">
      <c r="A5000" s="3" t="str">
        <f>HYPERLINK("http://mystore1.ru/price_items/search?utf8=%E2%9C%93&amp;oem=5351AGSGYPVW1T","5351AGSGYPVW1T")</f>
        <v>5351AGSGYPVW1T</v>
      </c>
      <c r="B5000" s="1" t="s">
        <v>9543</v>
      </c>
      <c r="C5000" s="9" t="s">
        <v>377</v>
      </c>
      <c r="D5000" s="14" t="s">
        <v>9544</v>
      </c>
      <c r="E5000" s="9" t="s">
        <v>8</v>
      </c>
    </row>
    <row r="5001" spans="1:5" ht="15" customHeight="1" outlineLevel="2" x14ac:dyDescent="0.25">
      <c r="A5001" s="3" t="str">
        <f>HYPERLINK("http://mystore1.ru/price_items/search?utf8=%E2%9C%93&amp;oem=5351AGSMVW6T","5351AGSMVW6T")</f>
        <v>5351AGSMVW6T</v>
      </c>
      <c r="B5001" s="1" t="s">
        <v>9545</v>
      </c>
      <c r="C5001" s="9" t="s">
        <v>1617</v>
      </c>
      <c r="D5001" s="14" t="s">
        <v>9546</v>
      </c>
      <c r="E5001" s="9" t="s">
        <v>8</v>
      </c>
    </row>
    <row r="5002" spans="1:5" ht="15" customHeight="1" outlineLevel="2" x14ac:dyDescent="0.25">
      <c r="A5002" s="3" t="str">
        <f>HYPERLINK("http://mystore1.ru/price_items/search?utf8=%E2%9C%93&amp;oem=5351AGSMVW7T","5351AGSMVW7T")</f>
        <v>5351AGSMVW7T</v>
      </c>
      <c r="B5002" s="1" t="s">
        <v>9547</v>
      </c>
      <c r="C5002" s="9" t="s">
        <v>1617</v>
      </c>
      <c r="D5002" s="14" t="s">
        <v>9548</v>
      </c>
      <c r="E5002" s="9" t="s">
        <v>8</v>
      </c>
    </row>
    <row r="5003" spans="1:5" ht="15" customHeight="1" outlineLevel="2" x14ac:dyDescent="0.25">
      <c r="A5003" s="3" t="str">
        <f>HYPERLINK("http://mystore1.ru/price_items/search?utf8=%E2%9C%93&amp;oem=5351ASMST","5351ASMST")</f>
        <v>5351ASMST</v>
      </c>
      <c r="B5003" s="1" t="s">
        <v>9549</v>
      </c>
      <c r="C5003" s="9" t="s">
        <v>25</v>
      </c>
      <c r="D5003" s="14" t="s">
        <v>9550</v>
      </c>
      <c r="E5003" s="9" t="s">
        <v>27</v>
      </c>
    </row>
    <row r="5004" spans="1:5" ht="15" customHeight="1" outlineLevel="2" x14ac:dyDescent="0.25">
      <c r="A5004" s="3" t="str">
        <f>HYPERLINK("http://mystore1.ru/price_items/search?utf8=%E2%9C%93&amp;oem=5351BBSSAGJPX","5351BBSSAGJPX")</f>
        <v>5351BBSSAGJPX</v>
      </c>
      <c r="B5004" s="1" t="s">
        <v>9551</v>
      </c>
      <c r="C5004" s="9" t="s">
        <v>377</v>
      </c>
      <c r="D5004" s="14" t="s">
        <v>9552</v>
      </c>
      <c r="E5004" s="9" t="s">
        <v>30</v>
      </c>
    </row>
    <row r="5005" spans="1:5" ht="15" customHeight="1" outlineLevel="2" x14ac:dyDescent="0.25">
      <c r="A5005" s="3" t="str">
        <f>HYPERLINK("http://mystore1.ru/price_items/search?utf8=%E2%9C%93&amp;oem=5351BGSEGJX","5351BGSEGJX")</f>
        <v>5351BGSEGJX</v>
      </c>
      <c r="B5005" s="1" t="s">
        <v>9553</v>
      </c>
      <c r="C5005" s="9" t="s">
        <v>457</v>
      </c>
      <c r="D5005" s="14" t="s">
        <v>9554</v>
      </c>
      <c r="E5005" s="9" t="s">
        <v>30</v>
      </c>
    </row>
    <row r="5006" spans="1:5" ht="15" customHeight="1" outlineLevel="2" x14ac:dyDescent="0.25">
      <c r="A5006" s="3" t="str">
        <f>HYPERLINK("http://mystore1.ru/price_items/search?utf8=%E2%9C%93&amp;oem=5351BGSSAGJPX","5351BGSSAGJPX")</f>
        <v>5351BGSSAGJPX</v>
      </c>
      <c r="B5006" s="1" t="s">
        <v>9555</v>
      </c>
      <c r="C5006" s="9" t="s">
        <v>377</v>
      </c>
      <c r="D5006" s="14" t="s">
        <v>9556</v>
      </c>
      <c r="E5006" s="9" t="s">
        <v>30</v>
      </c>
    </row>
    <row r="5007" spans="1:5" ht="15" customHeight="1" outlineLevel="2" x14ac:dyDescent="0.25">
      <c r="A5007" s="3" t="str">
        <f>HYPERLINK("http://mystore1.ru/price_items/search?utf8=%E2%9C%93&amp;oem=5351LBSE5RD1H","5351LBSE5RD1H")</f>
        <v>5351LBSE5RD1H</v>
      </c>
      <c r="B5007" s="1" t="s">
        <v>9557</v>
      </c>
      <c r="C5007" s="9" t="s">
        <v>1617</v>
      </c>
      <c r="D5007" s="14" t="s">
        <v>9558</v>
      </c>
      <c r="E5007" s="9" t="s">
        <v>11</v>
      </c>
    </row>
    <row r="5008" spans="1:5" ht="15" customHeight="1" outlineLevel="2" x14ac:dyDescent="0.25">
      <c r="A5008" s="3" t="str">
        <f>HYPERLINK("http://mystore1.ru/price_items/search?utf8=%E2%9C%93&amp;oem=5351LBSS4FD","5351LBSS4FD")</f>
        <v>5351LBSS4FD</v>
      </c>
      <c r="B5008" s="1" t="s">
        <v>9559</v>
      </c>
      <c r="C5008" s="9" t="s">
        <v>377</v>
      </c>
      <c r="D5008" s="14" t="s">
        <v>9560</v>
      </c>
      <c r="E5008" s="9" t="s">
        <v>11</v>
      </c>
    </row>
    <row r="5009" spans="1:5" ht="15" customHeight="1" outlineLevel="2" x14ac:dyDescent="0.25">
      <c r="A5009" s="3" t="str">
        <f>HYPERLINK("http://mystore1.ru/price_items/search?utf8=%E2%9C%93&amp;oem=5351LBSS4RD","5351LBSS4RD")</f>
        <v>5351LBSS4RD</v>
      </c>
      <c r="B5009" s="1" t="s">
        <v>9561</v>
      </c>
      <c r="C5009" s="9" t="s">
        <v>377</v>
      </c>
      <c r="D5009" s="14" t="s">
        <v>9562</v>
      </c>
      <c r="E5009" s="9" t="s">
        <v>11</v>
      </c>
    </row>
    <row r="5010" spans="1:5" ht="15" customHeight="1" outlineLevel="2" x14ac:dyDescent="0.25">
      <c r="A5010" s="3" t="str">
        <f>HYPERLINK("http://mystore1.ru/price_items/search?utf8=%E2%9C%93&amp;oem=5351LBSS4RVZ","5351LBSS4RVZ")</f>
        <v>5351LBSS4RVZ</v>
      </c>
      <c r="B5010" s="1" t="s">
        <v>9563</v>
      </c>
      <c r="C5010" s="9" t="s">
        <v>377</v>
      </c>
      <c r="D5010" s="14" t="s">
        <v>9564</v>
      </c>
      <c r="E5010" s="9" t="s">
        <v>11</v>
      </c>
    </row>
    <row r="5011" spans="1:5" ht="15" customHeight="1" outlineLevel="2" x14ac:dyDescent="0.25">
      <c r="A5011" s="3" t="str">
        <f>HYPERLINK("http://mystore1.ru/price_items/search?utf8=%E2%9C%93&amp;oem=5351LGSE5RD","5351LGSE5RD")</f>
        <v>5351LGSE5RD</v>
      </c>
      <c r="B5011" s="1" t="s">
        <v>9565</v>
      </c>
      <c r="C5011" s="9" t="s">
        <v>1147</v>
      </c>
      <c r="D5011" s="14" t="s">
        <v>9566</v>
      </c>
      <c r="E5011" s="9" t="s">
        <v>11</v>
      </c>
    </row>
    <row r="5012" spans="1:5" ht="15" customHeight="1" outlineLevel="2" x14ac:dyDescent="0.25">
      <c r="A5012" s="3" t="str">
        <f>HYPERLINK("http://mystore1.ru/price_items/search?utf8=%E2%9C%93&amp;oem=5351LGSE5RD1H","5351LGSE5RD1H")</f>
        <v>5351LGSE5RD1H</v>
      </c>
      <c r="B5012" s="1" t="s">
        <v>9567</v>
      </c>
      <c r="C5012" s="9" t="s">
        <v>1617</v>
      </c>
      <c r="D5012" s="14" t="s">
        <v>9568</v>
      </c>
      <c r="E5012" s="9" t="s">
        <v>11</v>
      </c>
    </row>
    <row r="5013" spans="1:5" ht="15" customHeight="1" outlineLevel="2" x14ac:dyDescent="0.25">
      <c r="A5013" s="3" t="str">
        <f>HYPERLINK("http://mystore1.ru/price_items/search?utf8=%E2%9C%93&amp;oem=5351LGSS4FD","5351LGSS4FD")</f>
        <v>5351LGSS4FD</v>
      </c>
      <c r="B5013" s="1" t="s">
        <v>9569</v>
      </c>
      <c r="C5013" s="9" t="s">
        <v>377</v>
      </c>
      <c r="D5013" s="14" t="s">
        <v>9570</v>
      </c>
      <c r="E5013" s="9" t="s">
        <v>11</v>
      </c>
    </row>
    <row r="5014" spans="1:5" ht="15" customHeight="1" outlineLevel="2" x14ac:dyDescent="0.25">
      <c r="A5014" s="3" t="str">
        <f>HYPERLINK("http://mystore1.ru/price_items/search?utf8=%E2%9C%93&amp;oem=5351LGSS4FD1H","5351LGSS4FD1H")</f>
        <v>5351LGSS4FD1H</v>
      </c>
      <c r="B5014" s="1" t="s">
        <v>9571</v>
      </c>
      <c r="C5014" s="9" t="s">
        <v>1617</v>
      </c>
      <c r="D5014" s="14" t="s">
        <v>9572</v>
      </c>
      <c r="E5014" s="9" t="s">
        <v>11</v>
      </c>
    </row>
    <row r="5015" spans="1:5" ht="15" customHeight="1" outlineLevel="2" x14ac:dyDescent="0.25">
      <c r="A5015" s="3" t="str">
        <f>HYPERLINK("http://mystore1.ru/price_items/search?utf8=%E2%9C%93&amp;oem=5351LGSS4RD","5351LGSS4RD")</f>
        <v>5351LGSS4RD</v>
      </c>
      <c r="B5015" s="1" t="s">
        <v>9573</v>
      </c>
      <c r="C5015" s="9" t="s">
        <v>9574</v>
      </c>
      <c r="D5015" s="14" t="s">
        <v>9575</v>
      </c>
      <c r="E5015" s="9" t="s">
        <v>11</v>
      </c>
    </row>
    <row r="5016" spans="1:5" ht="15" customHeight="1" outlineLevel="2" x14ac:dyDescent="0.25">
      <c r="A5016" s="3" t="str">
        <f>HYPERLINK("http://mystore1.ru/price_items/search?utf8=%E2%9C%93&amp;oem=5351LGSS4RD1H","5351LGSS4RD1H")</f>
        <v>5351LGSS4RD1H</v>
      </c>
      <c r="B5016" s="1" t="s">
        <v>9576</v>
      </c>
      <c r="C5016" s="9" t="s">
        <v>1617</v>
      </c>
      <c r="D5016" s="14" t="s">
        <v>9577</v>
      </c>
      <c r="E5016" s="9" t="s">
        <v>11</v>
      </c>
    </row>
    <row r="5017" spans="1:5" ht="15" customHeight="1" outlineLevel="2" x14ac:dyDescent="0.25">
      <c r="A5017" s="3" t="str">
        <f>HYPERLINK("http://mystore1.ru/price_items/search?utf8=%E2%9C%93&amp;oem=5351RBSE5RD1H","5351RBSE5RD1H")</f>
        <v>5351RBSE5RD1H</v>
      </c>
      <c r="B5017" s="1" t="s">
        <v>9578</v>
      </c>
      <c r="C5017" s="9" t="s">
        <v>1617</v>
      </c>
      <c r="D5017" s="14" t="s">
        <v>9579</v>
      </c>
      <c r="E5017" s="9" t="s">
        <v>11</v>
      </c>
    </row>
    <row r="5018" spans="1:5" ht="15" customHeight="1" outlineLevel="2" x14ac:dyDescent="0.25">
      <c r="A5018" s="3" t="str">
        <f>HYPERLINK("http://mystore1.ru/price_items/search?utf8=%E2%9C%93&amp;oem=5351RBSS4FD","5351RBSS4FD")</f>
        <v>5351RBSS4FD</v>
      </c>
      <c r="B5018" s="1" t="s">
        <v>9580</v>
      </c>
      <c r="C5018" s="9" t="s">
        <v>377</v>
      </c>
      <c r="D5018" s="14" t="s">
        <v>9581</v>
      </c>
      <c r="E5018" s="9" t="s">
        <v>11</v>
      </c>
    </row>
    <row r="5019" spans="1:5" ht="15" customHeight="1" outlineLevel="2" x14ac:dyDescent="0.25">
      <c r="A5019" s="3" t="str">
        <f>HYPERLINK("http://mystore1.ru/price_items/search?utf8=%E2%9C%93&amp;oem=5351RBSS4RD","5351RBSS4RD")</f>
        <v>5351RBSS4RD</v>
      </c>
      <c r="B5019" s="1" t="s">
        <v>9582</v>
      </c>
      <c r="C5019" s="9" t="s">
        <v>377</v>
      </c>
      <c r="D5019" s="14" t="s">
        <v>9583</v>
      </c>
      <c r="E5019" s="9" t="s">
        <v>11</v>
      </c>
    </row>
    <row r="5020" spans="1:5" ht="15" customHeight="1" outlineLevel="2" x14ac:dyDescent="0.25">
      <c r="A5020" s="3" t="str">
        <f>HYPERLINK("http://mystore1.ru/price_items/search?utf8=%E2%9C%93&amp;oem=5351RBSS4RVZ","5351RBSS4RVZ")</f>
        <v>5351RBSS4RVZ</v>
      </c>
      <c r="B5020" s="1" t="s">
        <v>9584</v>
      </c>
      <c r="C5020" s="9" t="s">
        <v>377</v>
      </c>
      <c r="D5020" s="14" t="s">
        <v>9585</v>
      </c>
      <c r="E5020" s="9" t="s">
        <v>11</v>
      </c>
    </row>
    <row r="5021" spans="1:5" ht="15" customHeight="1" outlineLevel="2" x14ac:dyDescent="0.25">
      <c r="A5021" s="3" t="str">
        <f>HYPERLINK("http://mystore1.ru/price_items/search?utf8=%E2%9C%93&amp;oem=5351RGSE5RD","5351RGSE5RD")</f>
        <v>5351RGSE5RD</v>
      </c>
      <c r="B5021" s="1" t="s">
        <v>9586</v>
      </c>
      <c r="C5021" s="9" t="s">
        <v>1147</v>
      </c>
      <c r="D5021" s="14" t="s">
        <v>9587</v>
      </c>
      <c r="E5021" s="9" t="s">
        <v>11</v>
      </c>
    </row>
    <row r="5022" spans="1:5" ht="15" customHeight="1" outlineLevel="2" x14ac:dyDescent="0.25">
      <c r="A5022" s="3" t="str">
        <f>HYPERLINK("http://mystore1.ru/price_items/search?utf8=%E2%9C%93&amp;oem=5351RGSE5RD1H","5351RGSE5RD1H")</f>
        <v>5351RGSE5RD1H</v>
      </c>
      <c r="B5022" s="1" t="s">
        <v>9588</v>
      </c>
      <c r="C5022" s="9" t="s">
        <v>1617</v>
      </c>
      <c r="D5022" s="14" t="s">
        <v>9589</v>
      </c>
      <c r="E5022" s="9" t="s">
        <v>11</v>
      </c>
    </row>
    <row r="5023" spans="1:5" ht="15" customHeight="1" outlineLevel="2" x14ac:dyDescent="0.25">
      <c r="A5023" s="3" t="str">
        <f>HYPERLINK("http://mystore1.ru/price_items/search?utf8=%E2%9C%93&amp;oem=5351RGSS4FD","5351RGSS4FD")</f>
        <v>5351RGSS4FD</v>
      </c>
      <c r="B5023" s="1" t="s">
        <v>9590</v>
      </c>
      <c r="C5023" s="9" t="s">
        <v>377</v>
      </c>
      <c r="D5023" s="14" t="s">
        <v>9591</v>
      </c>
      <c r="E5023" s="9" t="s">
        <v>11</v>
      </c>
    </row>
    <row r="5024" spans="1:5" ht="15" customHeight="1" outlineLevel="2" x14ac:dyDescent="0.25">
      <c r="A5024" s="3" t="str">
        <f>HYPERLINK("http://mystore1.ru/price_items/search?utf8=%E2%9C%93&amp;oem=5351RGSS4FD1H","5351RGSS4FD1H")</f>
        <v>5351RGSS4FD1H</v>
      </c>
      <c r="B5024" s="1" t="s">
        <v>9592</v>
      </c>
      <c r="C5024" s="9" t="s">
        <v>1617</v>
      </c>
      <c r="D5024" s="14" t="s">
        <v>9593</v>
      </c>
      <c r="E5024" s="9" t="s">
        <v>11</v>
      </c>
    </row>
    <row r="5025" spans="1:5" ht="15" customHeight="1" outlineLevel="2" x14ac:dyDescent="0.25">
      <c r="A5025" s="3" t="str">
        <f>HYPERLINK("http://mystore1.ru/price_items/search?utf8=%E2%9C%93&amp;oem=5351RGSS4RD","5351RGSS4RD")</f>
        <v>5351RGSS4RD</v>
      </c>
      <c r="B5025" s="1" t="s">
        <v>9594</v>
      </c>
      <c r="C5025" s="9" t="s">
        <v>9574</v>
      </c>
      <c r="D5025" s="14" t="s">
        <v>9595</v>
      </c>
      <c r="E5025" s="9" t="s">
        <v>11</v>
      </c>
    </row>
    <row r="5026" spans="1:5" ht="15" customHeight="1" outlineLevel="2" x14ac:dyDescent="0.25">
      <c r="A5026" s="3" t="str">
        <f>HYPERLINK("http://mystore1.ru/price_items/search?utf8=%E2%9C%93&amp;oem=5351RGSS4RD1H","5351RGSS4RD1H")</f>
        <v>5351RGSS4RD1H</v>
      </c>
      <c r="B5026" s="1" t="s">
        <v>9596</v>
      </c>
      <c r="C5026" s="9" t="s">
        <v>1617</v>
      </c>
      <c r="D5026" s="14" t="s">
        <v>9597</v>
      </c>
      <c r="E5026" s="9" t="s">
        <v>11</v>
      </c>
    </row>
    <row r="5027" spans="1:5" ht="15" customHeight="1" outlineLevel="2" x14ac:dyDescent="0.25">
      <c r="A5027" s="3" t="str">
        <f>HYPERLINK("http://mystore1.ru/price_items/search?utf8=%E2%9C%93&amp;oem=5351RGSS4RVZ","5351RGSS4RVZ")</f>
        <v>5351RGSS4RVZ</v>
      </c>
      <c r="B5027" s="1" t="s">
        <v>9598</v>
      </c>
      <c r="C5027" s="9" t="s">
        <v>377</v>
      </c>
      <c r="D5027" s="14" t="s">
        <v>9599</v>
      </c>
      <c r="E5027" s="9" t="s">
        <v>11</v>
      </c>
    </row>
    <row r="5028" spans="1:5" outlineLevel="1" x14ac:dyDescent="0.25">
      <c r="A5028" s="2"/>
      <c r="B5028" s="6" t="s">
        <v>9600</v>
      </c>
      <c r="C5028" s="8"/>
      <c r="D5028" s="8"/>
      <c r="E5028" s="8"/>
    </row>
    <row r="5029" spans="1:5" ht="15" customHeight="1" outlineLevel="2" x14ac:dyDescent="0.25">
      <c r="A5029" s="3" t="str">
        <f>HYPERLINK("http://mystore1.ru/price_items/search?utf8=%E2%9C%93&amp;oem=5352AGSGYMVW","5352AGSGYMVW")</f>
        <v>5352AGSGYMVW</v>
      </c>
      <c r="B5029" s="1" t="s">
        <v>9601</v>
      </c>
      <c r="C5029" s="9" t="s">
        <v>457</v>
      </c>
      <c r="D5029" s="14" t="s">
        <v>9602</v>
      </c>
      <c r="E5029" s="9" t="s">
        <v>8</v>
      </c>
    </row>
    <row r="5030" spans="1:5" ht="15" customHeight="1" outlineLevel="2" x14ac:dyDescent="0.25">
      <c r="A5030" s="3" t="str">
        <f>HYPERLINK("http://mystore1.ru/price_items/search?utf8=%E2%9C%93&amp;oem=5352AGSGYMVW6T","5352AGSGYMVW6T")</f>
        <v>5352AGSGYMVW6T</v>
      </c>
      <c r="B5030" s="1" t="s">
        <v>9603</v>
      </c>
      <c r="C5030" s="9" t="s">
        <v>1617</v>
      </c>
      <c r="D5030" s="14" t="s">
        <v>9604</v>
      </c>
      <c r="E5030" s="9" t="s">
        <v>8</v>
      </c>
    </row>
    <row r="5031" spans="1:5" ht="15" customHeight="1" outlineLevel="2" x14ac:dyDescent="0.25">
      <c r="A5031" s="3" t="str">
        <f>HYPERLINK("http://mystore1.ru/price_items/search?utf8=%E2%9C%93&amp;oem=5352AGSGYMVW7T","5352AGSGYMVW7T")</f>
        <v>5352AGSGYMVW7T</v>
      </c>
      <c r="B5031" s="1" t="s">
        <v>9605</v>
      </c>
      <c r="C5031" s="9" t="s">
        <v>1617</v>
      </c>
      <c r="D5031" s="14" t="s">
        <v>9604</v>
      </c>
      <c r="E5031" s="9" t="s">
        <v>8</v>
      </c>
    </row>
    <row r="5032" spans="1:5" ht="15" customHeight="1" outlineLevel="2" x14ac:dyDescent="0.25">
      <c r="A5032" s="3" t="str">
        <f>HYPERLINK("http://mystore1.ru/price_items/search?utf8=%E2%9C%93&amp;oem=5352ASMCT","5352ASMCT")</f>
        <v>5352ASMCT</v>
      </c>
      <c r="B5032" s="1" t="s">
        <v>9606</v>
      </c>
      <c r="C5032" s="9" t="s">
        <v>25</v>
      </c>
      <c r="D5032" s="14" t="s">
        <v>9607</v>
      </c>
      <c r="E5032" s="9" t="s">
        <v>27</v>
      </c>
    </row>
    <row r="5033" spans="1:5" ht="15" customHeight="1" outlineLevel="2" x14ac:dyDescent="0.25">
      <c r="A5033" s="3" t="str">
        <f>HYPERLINK("http://mystore1.ru/price_items/search?utf8=%E2%9C%93&amp;oem=5352BGSCAGPXW","5352BGSCAGPXW")</f>
        <v>5352BGSCAGPXW</v>
      </c>
      <c r="B5033" s="1" t="s">
        <v>9608</v>
      </c>
      <c r="C5033" s="9" t="s">
        <v>457</v>
      </c>
      <c r="D5033" s="14" t="s">
        <v>9609</v>
      </c>
      <c r="E5033" s="9" t="s">
        <v>30</v>
      </c>
    </row>
    <row r="5034" spans="1:5" ht="15" customHeight="1" outlineLevel="2" x14ac:dyDescent="0.25">
      <c r="A5034" s="3" t="str">
        <f>HYPERLINK("http://mystore1.ru/price_items/search?utf8=%E2%9C%93&amp;oem=5352LGSC2FD","5352LGSC2FD")</f>
        <v>5352LGSC2FD</v>
      </c>
      <c r="B5034" s="1" t="s">
        <v>9610</v>
      </c>
      <c r="C5034" s="9" t="s">
        <v>457</v>
      </c>
      <c r="D5034" s="14" t="s">
        <v>9611</v>
      </c>
      <c r="E5034" s="9" t="s">
        <v>11</v>
      </c>
    </row>
    <row r="5035" spans="1:5" ht="15" customHeight="1" outlineLevel="2" x14ac:dyDescent="0.25">
      <c r="A5035" s="3" t="str">
        <f>HYPERLINK("http://mystore1.ru/price_items/search?utf8=%E2%9C%93&amp;oem=5352RGSC2FD","5352RGSC2FD")</f>
        <v>5352RGSC2FD</v>
      </c>
      <c r="B5035" s="1" t="s">
        <v>9612</v>
      </c>
      <c r="C5035" s="9" t="s">
        <v>457</v>
      </c>
      <c r="D5035" s="14" t="s">
        <v>9613</v>
      </c>
      <c r="E5035" s="9" t="s">
        <v>11</v>
      </c>
    </row>
    <row r="5036" spans="1:5" outlineLevel="1" x14ac:dyDescent="0.25">
      <c r="A5036" s="2"/>
      <c r="B5036" s="6" t="s">
        <v>9614</v>
      </c>
      <c r="C5036" s="8"/>
      <c r="D5036" s="8"/>
      <c r="E5036" s="8"/>
    </row>
    <row r="5037" spans="1:5" ht="15" customHeight="1" outlineLevel="2" x14ac:dyDescent="0.25">
      <c r="A5037" s="3" t="str">
        <f>HYPERLINK("http://mystore1.ru/price_items/search?utf8=%E2%9C%93&amp;oem=5364AGAMVZ1A","5364AGAMVZ1A")</f>
        <v>5364AGAMVZ1A</v>
      </c>
      <c r="B5037" s="1" t="s">
        <v>9615</v>
      </c>
      <c r="C5037" s="9" t="s">
        <v>6231</v>
      </c>
      <c r="D5037" s="14" t="s">
        <v>9616</v>
      </c>
      <c r="E5037" s="9" t="s">
        <v>8</v>
      </c>
    </row>
    <row r="5038" spans="1:5" ht="15" customHeight="1" outlineLevel="2" x14ac:dyDescent="0.25">
      <c r="A5038" s="3" t="str">
        <f>HYPERLINK("http://mystore1.ru/price_items/search?utf8=%E2%9C%93&amp;oem=5364AGSAMVZ1F","5364AGSAMVZ1F")</f>
        <v>5364AGSAMVZ1F</v>
      </c>
      <c r="B5038" s="1" t="s">
        <v>9617</v>
      </c>
      <c r="C5038" s="9" t="s">
        <v>6231</v>
      </c>
      <c r="D5038" s="14" t="s">
        <v>9618</v>
      </c>
      <c r="E5038" s="9" t="s">
        <v>8</v>
      </c>
    </row>
    <row r="5039" spans="1:5" ht="15" customHeight="1" outlineLevel="2" x14ac:dyDescent="0.25">
      <c r="A5039" s="3" t="str">
        <f>HYPERLINK("http://mystore1.ru/price_items/search?utf8=%E2%9C%93&amp;oem=5364AGSAMVZ","5364AGSAMVZ")</f>
        <v>5364AGSAMVZ</v>
      </c>
      <c r="B5039" s="1" t="s">
        <v>9619</v>
      </c>
      <c r="C5039" s="9" t="s">
        <v>6231</v>
      </c>
      <c r="D5039" s="14" t="s">
        <v>9620</v>
      </c>
      <c r="E5039" s="9" t="s">
        <v>8</v>
      </c>
    </row>
    <row r="5040" spans="1:5" ht="15" customHeight="1" outlineLevel="2" x14ac:dyDescent="0.25">
      <c r="A5040" s="3" t="str">
        <f>HYPERLINK("http://mystore1.ru/price_items/search?utf8=%E2%9C%93&amp;oem=5364AGSMVZ","5364AGSMVZ")</f>
        <v>5364AGSMVZ</v>
      </c>
      <c r="B5040" s="1" t="s">
        <v>9621</v>
      </c>
      <c r="C5040" s="9" t="s">
        <v>6231</v>
      </c>
      <c r="D5040" s="14" t="s">
        <v>9622</v>
      </c>
      <c r="E5040" s="9" t="s">
        <v>8</v>
      </c>
    </row>
    <row r="5041" spans="1:5" ht="15" customHeight="1" outlineLevel="2" x14ac:dyDescent="0.25">
      <c r="A5041" s="3" t="str">
        <f>HYPERLINK("http://mystore1.ru/price_items/search?utf8=%E2%9C%93&amp;oem=5364AGSMVZ1K","5364AGSMVZ1K")</f>
        <v>5364AGSMVZ1K</v>
      </c>
      <c r="B5041" s="1" t="s">
        <v>9623</v>
      </c>
      <c r="C5041" s="9" t="s">
        <v>6231</v>
      </c>
      <c r="D5041" s="14" t="s">
        <v>9624</v>
      </c>
      <c r="E5041" s="9" t="s">
        <v>8</v>
      </c>
    </row>
    <row r="5042" spans="1:5" ht="15" customHeight="1" outlineLevel="2" x14ac:dyDescent="0.25">
      <c r="A5042" s="3" t="str">
        <f>HYPERLINK("http://mystore1.ru/price_items/search?utf8=%E2%9C%93&amp;oem=5364ASMST","5364ASMST")</f>
        <v>5364ASMST</v>
      </c>
      <c r="B5042" s="1" t="s">
        <v>9625</v>
      </c>
      <c r="C5042" s="9" t="s">
        <v>511</v>
      </c>
      <c r="D5042" s="14" t="s">
        <v>9626</v>
      </c>
      <c r="E5042" s="9" t="s">
        <v>27</v>
      </c>
    </row>
    <row r="5043" spans="1:5" ht="15" customHeight="1" outlineLevel="2" x14ac:dyDescent="0.25">
      <c r="A5043" s="3" t="str">
        <f>HYPERLINK("http://mystore1.ru/price_items/search?utf8=%E2%9C%93&amp;oem=5364BGSEA","5364BGSEA")</f>
        <v>5364BGSEA</v>
      </c>
      <c r="B5043" s="1" t="s">
        <v>9627</v>
      </c>
      <c r="C5043" s="9" t="s">
        <v>6231</v>
      </c>
      <c r="D5043" s="14" t="s">
        <v>9628</v>
      </c>
      <c r="E5043" s="9" t="s">
        <v>30</v>
      </c>
    </row>
    <row r="5044" spans="1:5" ht="15" customHeight="1" outlineLevel="2" x14ac:dyDescent="0.25">
      <c r="A5044" s="3" t="str">
        <f>HYPERLINK("http://mystore1.ru/price_items/search?utf8=%E2%9C%93&amp;oem=5364BGSEAJX1F","5364BGSEAJX1F")</f>
        <v>5364BGSEAJX1F</v>
      </c>
      <c r="B5044" s="1" t="s">
        <v>9629</v>
      </c>
      <c r="C5044" s="9" t="s">
        <v>6231</v>
      </c>
      <c r="D5044" s="14" t="s">
        <v>9630</v>
      </c>
      <c r="E5044" s="9" t="s">
        <v>30</v>
      </c>
    </row>
    <row r="5045" spans="1:5" ht="15" customHeight="1" outlineLevel="2" x14ac:dyDescent="0.25">
      <c r="A5045" s="3" t="str">
        <f>HYPERLINK("http://mystore1.ru/price_items/search?utf8=%E2%9C%93&amp;oem=5364BGSEAX","5364BGSEAX")</f>
        <v>5364BGSEAX</v>
      </c>
      <c r="B5045" s="1" t="s">
        <v>9631</v>
      </c>
      <c r="C5045" s="9" t="s">
        <v>6231</v>
      </c>
      <c r="D5045" s="14" t="s">
        <v>9632</v>
      </c>
      <c r="E5045" s="9" t="s">
        <v>30</v>
      </c>
    </row>
    <row r="5046" spans="1:5" ht="15" customHeight="1" outlineLevel="2" x14ac:dyDescent="0.25">
      <c r="A5046" s="3" t="str">
        <f>HYPERLINK("http://mystore1.ru/price_items/search?utf8=%E2%9C%93&amp;oem=5364BYPEAJX1F","5364BYPEAJX1F")</f>
        <v>5364BYPEAJX1F</v>
      </c>
      <c r="B5046" s="1" t="s">
        <v>9633</v>
      </c>
      <c r="C5046" s="9" t="s">
        <v>6231</v>
      </c>
      <c r="D5046" s="14" t="s">
        <v>9634</v>
      </c>
      <c r="E5046" s="9" t="s">
        <v>30</v>
      </c>
    </row>
    <row r="5047" spans="1:5" ht="15" customHeight="1" outlineLevel="2" x14ac:dyDescent="0.25">
      <c r="A5047" s="3" t="str">
        <f>HYPERLINK("http://mystore1.ru/price_items/search?utf8=%E2%9C%93&amp;oem=5364BGSSAG","5364BGSSAG")</f>
        <v>5364BGSSAG</v>
      </c>
      <c r="B5047" s="1" t="s">
        <v>9635</v>
      </c>
      <c r="C5047" s="9" t="s">
        <v>6231</v>
      </c>
      <c r="D5047" s="14" t="s">
        <v>9636</v>
      </c>
      <c r="E5047" s="9" t="s">
        <v>30</v>
      </c>
    </row>
    <row r="5048" spans="1:5" ht="15" customHeight="1" outlineLevel="2" x14ac:dyDescent="0.25">
      <c r="A5048" s="3" t="str">
        <f>HYPERLINK("http://mystore1.ru/price_items/search?utf8=%E2%9C%93&amp;oem=5364LGSE5RD","5364LGSE5RD")</f>
        <v>5364LGSE5RD</v>
      </c>
      <c r="B5048" s="1" t="s">
        <v>9637</v>
      </c>
      <c r="C5048" s="9" t="s">
        <v>6231</v>
      </c>
      <c r="D5048" s="14" t="s">
        <v>9638</v>
      </c>
      <c r="E5048" s="9" t="s">
        <v>11</v>
      </c>
    </row>
    <row r="5049" spans="1:5" ht="15" customHeight="1" outlineLevel="2" x14ac:dyDescent="0.25">
      <c r="A5049" s="3" t="str">
        <f>HYPERLINK("http://mystore1.ru/price_items/search?utf8=%E2%9C%93&amp;oem=OLD-5364LGSE5RV","OLD-5364LGSE5RV")</f>
        <v>OLD-5364LGSE5RV</v>
      </c>
      <c r="B5049" s="1" t="s">
        <v>9639</v>
      </c>
      <c r="C5049" s="9" t="s">
        <v>6231</v>
      </c>
      <c r="D5049" s="14" t="s">
        <v>9640</v>
      </c>
      <c r="E5049" s="9" t="s">
        <v>11</v>
      </c>
    </row>
    <row r="5050" spans="1:5" ht="15" customHeight="1" outlineLevel="2" x14ac:dyDescent="0.25">
      <c r="A5050" s="3" t="str">
        <f>HYPERLINK("http://mystore1.ru/price_items/search?utf8=%E2%9C%93&amp;oem=5364LGSS4FD","5364LGSS4FD")</f>
        <v>5364LGSS4FD</v>
      </c>
      <c r="B5050" s="1" t="s">
        <v>9641</v>
      </c>
      <c r="C5050" s="9" t="s">
        <v>6231</v>
      </c>
      <c r="D5050" s="14" t="s">
        <v>9642</v>
      </c>
      <c r="E5050" s="9" t="s">
        <v>11</v>
      </c>
    </row>
    <row r="5051" spans="1:5" ht="15" customHeight="1" outlineLevel="2" x14ac:dyDescent="0.25">
      <c r="A5051" s="3" t="str">
        <f>HYPERLINK("http://mystore1.ru/price_items/search?utf8=%E2%9C%93&amp;oem=OLD5364LGSS4RD","OLD5364LGSS4RD")</f>
        <v>OLD5364LGSS4RD</v>
      </c>
      <c r="B5051" s="1" t="s">
        <v>9643</v>
      </c>
      <c r="C5051" s="9" t="s">
        <v>6231</v>
      </c>
      <c r="D5051" s="14" t="s">
        <v>9644</v>
      </c>
      <c r="E5051" s="9" t="s">
        <v>11</v>
      </c>
    </row>
    <row r="5052" spans="1:5" ht="15" customHeight="1" outlineLevel="2" x14ac:dyDescent="0.25">
      <c r="A5052" s="3" t="str">
        <f>HYPERLINK("http://mystore1.ru/price_items/search?utf8=%E2%9C%93&amp;oem=5364RGSE5RD","5364RGSE5RD")</f>
        <v>5364RGSE5RD</v>
      </c>
      <c r="B5052" s="1" t="s">
        <v>9645</v>
      </c>
      <c r="C5052" s="9" t="s">
        <v>6231</v>
      </c>
      <c r="D5052" s="14" t="s">
        <v>9646</v>
      </c>
      <c r="E5052" s="9" t="s">
        <v>11</v>
      </c>
    </row>
    <row r="5053" spans="1:5" ht="15" customHeight="1" outlineLevel="2" x14ac:dyDescent="0.25">
      <c r="A5053" s="3" t="str">
        <f>HYPERLINK("http://mystore1.ru/price_items/search?utf8=%E2%9C%93&amp;oem=OLD-5364RGSE5RV","OLD-5364RGSE5RV")</f>
        <v>OLD-5364RGSE5RV</v>
      </c>
      <c r="B5053" s="1" t="s">
        <v>9647</v>
      </c>
      <c r="C5053" s="9" t="s">
        <v>6231</v>
      </c>
      <c r="D5053" s="14" t="s">
        <v>9648</v>
      </c>
      <c r="E5053" s="9" t="s">
        <v>11</v>
      </c>
    </row>
    <row r="5054" spans="1:5" ht="15" customHeight="1" outlineLevel="2" x14ac:dyDescent="0.25">
      <c r="A5054" s="3" t="str">
        <f>HYPERLINK("http://mystore1.ru/price_items/search?utf8=%E2%9C%93&amp;oem=5364RGSS4FD","5364RGSS4FD")</f>
        <v>5364RGSS4FD</v>
      </c>
      <c r="B5054" s="1" t="s">
        <v>9649</v>
      </c>
      <c r="C5054" s="9" t="s">
        <v>6231</v>
      </c>
      <c r="D5054" s="14" t="s">
        <v>9650</v>
      </c>
      <c r="E5054" s="9" t="s">
        <v>11</v>
      </c>
    </row>
    <row r="5055" spans="1:5" ht="15" customHeight="1" outlineLevel="2" x14ac:dyDescent="0.25">
      <c r="A5055" s="3" t="str">
        <f>HYPERLINK("http://mystore1.ru/price_items/search?utf8=%E2%9C%93&amp;oem=5364RGSS4RD","5364RGSS4RD")</f>
        <v>5364RGSS4RD</v>
      </c>
      <c r="B5055" s="1" t="s">
        <v>9651</v>
      </c>
      <c r="C5055" s="9" t="s">
        <v>6231</v>
      </c>
      <c r="D5055" s="14" t="s">
        <v>9652</v>
      </c>
      <c r="E5055" s="9" t="s">
        <v>11</v>
      </c>
    </row>
    <row r="5056" spans="1:5" outlineLevel="1" x14ac:dyDescent="0.25">
      <c r="A5056" s="2"/>
      <c r="B5056" s="6" t="s">
        <v>9653</v>
      </c>
      <c r="C5056" s="8"/>
      <c r="D5056" s="8"/>
      <c r="E5056" s="8"/>
    </row>
    <row r="5057" spans="1:5" ht="15" customHeight="1" outlineLevel="2" x14ac:dyDescent="0.25">
      <c r="A5057" s="3" t="str">
        <f>HYPERLINK("http://mystore1.ru/price_items/search?utf8=%E2%9C%93&amp;oem=5341ABSGYV","5341ABSGYV")</f>
        <v>5341ABSGYV</v>
      </c>
      <c r="B5057" s="1" t="s">
        <v>9654</v>
      </c>
      <c r="C5057" s="9" t="s">
        <v>570</v>
      </c>
      <c r="D5057" s="14" t="s">
        <v>9655</v>
      </c>
      <c r="E5057" s="9" t="s">
        <v>8</v>
      </c>
    </row>
    <row r="5058" spans="1:5" ht="15" customHeight="1" outlineLevel="2" x14ac:dyDescent="0.25">
      <c r="A5058" s="3" t="str">
        <f>HYPERLINK("http://mystore1.ru/price_items/search?utf8=%E2%9C%93&amp;oem=5341ABSMV","5341ABSMV")</f>
        <v>5341ABSMV</v>
      </c>
      <c r="B5058" s="1" t="s">
        <v>9656</v>
      </c>
      <c r="C5058" s="9" t="s">
        <v>570</v>
      </c>
      <c r="D5058" s="14" t="s">
        <v>9657</v>
      </c>
      <c r="E5058" s="9" t="s">
        <v>8</v>
      </c>
    </row>
    <row r="5059" spans="1:5" ht="15" customHeight="1" outlineLevel="2" x14ac:dyDescent="0.25">
      <c r="A5059" s="3" t="str">
        <f>HYPERLINK("http://mystore1.ru/price_items/search?utf8=%E2%9C%93&amp;oem=5341AGNGYMV","5341AGNGYMV")</f>
        <v>5341AGNGYMV</v>
      </c>
      <c r="B5059" s="1" t="s">
        <v>9658</v>
      </c>
      <c r="C5059" s="9" t="s">
        <v>570</v>
      </c>
      <c r="D5059" s="14" t="s">
        <v>9659</v>
      </c>
      <c r="E5059" s="9" t="s">
        <v>8</v>
      </c>
    </row>
    <row r="5060" spans="1:5" ht="15" customHeight="1" outlineLevel="2" x14ac:dyDescent="0.25">
      <c r="A5060" s="3" t="str">
        <f>HYPERLINK("http://mystore1.ru/price_items/search?utf8=%E2%9C%93&amp;oem=5341AGNGYMV1P","5341AGNGYMV1P")</f>
        <v>5341AGNGYMV1P</v>
      </c>
      <c r="B5060" s="1" t="s">
        <v>9660</v>
      </c>
      <c r="C5060" s="9" t="s">
        <v>570</v>
      </c>
      <c r="D5060" s="14" t="s">
        <v>9661</v>
      </c>
      <c r="E5060" s="9" t="s">
        <v>8</v>
      </c>
    </row>
    <row r="5061" spans="1:5" ht="15" customHeight="1" outlineLevel="2" x14ac:dyDescent="0.25">
      <c r="A5061" s="3" t="str">
        <f>HYPERLINK("http://mystore1.ru/price_items/search?utf8=%E2%9C%93&amp;oem=5341AGNGYPV","5341AGNGYPV")</f>
        <v>5341AGNGYPV</v>
      </c>
      <c r="B5061" s="1" t="s">
        <v>9662</v>
      </c>
      <c r="C5061" s="9" t="s">
        <v>570</v>
      </c>
      <c r="D5061" s="14" t="s">
        <v>9663</v>
      </c>
      <c r="E5061" s="9" t="s">
        <v>8</v>
      </c>
    </row>
    <row r="5062" spans="1:5" ht="15" customHeight="1" outlineLevel="2" x14ac:dyDescent="0.25">
      <c r="A5062" s="3" t="str">
        <f>HYPERLINK("http://mystore1.ru/price_items/search?utf8=%E2%9C%93&amp;oem=5341AGNGYV","5341AGNGYV")</f>
        <v>5341AGNGYV</v>
      </c>
      <c r="B5062" s="1" t="s">
        <v>9664</v>
      </c>
      <c r="C5062" s="9" t="s">
        <v>570</v>
      </c>
      <c r="D5062" s="14" t="s">
        <v>9665</v>
      </c>
      <c r="E5062" s="9" t="s">
        <v>8</v>
      </c>
    </row>
    <row r="5063" spans="1:5" ht="15" customHeight="1" outlineLevel="2" x14ac:dyDescent="0.25">
      <c r="A5063" s="3" t="str">
        <f>HYPERLINK("http://mystore1.ru/price_items/search?utf8=%E2%9C%93&amp;oem=5341AGNGYV1P","5341AGNGYV1P")</f>
        <v>5341AGNGYV1P</v>
      </c>
      <c r="B5063" s="1" t="s">
        <v>9666</v>
      </c>
      <c r="C5063" s="9" t="s">
        <v>570</v>
      </c>
      <c r="D5063" s="14" t="s">
        <v>9667</v>
      </c>
      <c r="E5063" s="9" t="s">
        <v>8</v>
      </c>
    </row>
    <row r="5064" spans="1:5" ht="15" customHeight="1" outlineLevel="2" x14ac:dyDescent="0.25">
      <c r="A5064" s="3" t="str">
        <f>HYPERLINK("http://mystore1.ru/price_items/search?utf8=%E2%9C%93&amp;oem=5341AGNMV","5341AGNMV")</f>
        <v>5341AGNMV</v>
      </c>
      <c r="B5064" s="1" t="s">
        <v>9668</v>
      </c>
      <c r="C5064" s="9" t="s">
        <v>570</v>
      </c>
      <c r="D5064" s="14" t="s">
        <v>9669</v>
      </c>
      <c r="E5064" s="9" t="s">
        <v>8</v>
      </c>
    </row>
    <row r="5065" spans="1:5" ht="15" customHeight="1" outlineLevel="2" x14ac:dyDescent="0.25">
      <c r="A5065" s="3" t="str">
        <f>HYPERLINK("http://mystore1.ru/price_items/search?utf8=%E2%9C%93&amp;oem=5341AGNPV","5341AGNPV")</f>
        <v>5341AGNPV</v>
      </c>
      <c r="B5065" s="1" t="s">
        <v>9670</v>
      </c>
      <c r="C5065" s="9" t="s">
        <v>570</v>
      </c>
      <c r="D5065" s="14" t="s">
        <v>9671</v>
      </c>
      <c r="E5065" s="9" t="s">
        <v>8</v>
      </c>
    </row>
    <row r="5066" spans="1:5" ht="15" customHeight="1" outlineLevel="2" x14ac:dyDescent="0.25">
      <c r="A5066" s="3" t="str">
        <f>HYPERLINK("http://mystore1.ru/price_items/search?utf8=%E2%9C%93&amp;oem=5341AGNV","5341AGNV")</f>
        <v>5341AGNV</v>
      </c>
      <c r="B5066" s="1" t="s">
        <v>9672</v>
      </c>
      <c r="C5066" s="9" t="s">
        <v>570</v>
      </c>
      <c r="D5066" s="14" t="s">
        <v>9673</v>
      </c>
      <c r="E5066" s="9" t="s">
        <v>8</v>
      </c>
    </row>
    <row r="5067" spans="1:5" ht="15" customHeight="1" outlineLevel="2" x14ac:dyDescent="0.25">
      <c r="A5067" s="3" t="str">
        <f>HYPERLINK("http://mystore1.ru/price_items/search?utf8=%E2%9C%93&amp;oem=5341BGNCAZ","5341BGNCAZ")</f>
        <v>5341BGNCAZ</v>
      </c>
      <c r="B5067" s="1" t="s">
        <v>9674</v>
      </c>
      <c r="C5067" s="9" t="s">
        <v>3106</v>
      </c>
      <c r="D5067" s="14" t="s">
        <v>9675</v>
      </c>
      <c r="E5067" s="9" t="s">
        <v>30</v>
      </c>
    </row>
    <row r="5068" spans="1:5" ht="15" customHeight="1" outlineLevel="2" x14ac:dyDescent="0.25">
      <c r="A5068" s="3" t="str">
        <f>HYPERLINK("http://mystore1.ru/price_items/search?utf8=%E2%9C%93&amp;oem=5341LGNC2FD","5341LGNC2FD")</f>
        <v>5341LGNC2FD</v>
      </c>
      <c r="B5068" s="1" t="s">
        <v>9676</v>
      </c>
      <c r="C5068" s="9" t="s">
        <v>3106</v>
      </c>
      <c r="D5068" s="14" t="s">
        <v>9677</v>
      </c>
      <c r="E5068" s="9" t="s">
        <v>11</v>
      </c>
    </row>
    <row r="5069" spans="1:5" ht="15" customHeight="1" outlineLevel="2" x14ac:dyDescent="0.25">
      <c r="A5069" s="3" t="str">
        <f>HYPERLINK("http://mystore1.ru/price_items/search?utf8=%E2%9C%93&amp;oem=5341LGNC2FD1B","5341LGNC2FD1B")</f>
        <v>5341LGNC2FD1B</v>
      </c>
      <c r="B5069" s="1" t="s">
        <v>9678</v>
      </c>
      <c r="C5069" s="9" t="s">
        <v>3106</v>
      </c>
      <c r="D5069" s="14" t="s">
        <v>9677</v>
      </c>
      <c r="E5069" s="9" t="s">
        <v>11</v>
      </c>
    </row>
    <row r="5070" spans="1:5" ht="15" customHeight="1" outlineLevel="2" x14ac:dyDescent="0.25">
      <c r="A5070" s="3" t="str">
        <f>HYPERLINK("http://mystore1.ru/price_items/search?utf8=%E2%9C%93&amp;oem=5341LGNC2RQ","5341LGNC2RQ")</f>
        <v>5341LGNC2RQ</v>
      </c>
      <c r="B5070" s="1" t="s">
        <v>9679</v>
      </c>
      <c r="C5070" s="9" t="s">
        <v>3106</v>
      </c>
      <c r="D5070" s="14" t="s">
        <v>9680</v>
      </c>
      <c r="E5070" s="9" t="s">
        <v>11</v>
      </c>
    </row>
    <row r="5071" spans="1:5" ht="15" customHeight="1" outlineLevel="2" x14ac:dyDescent="0.25">
      <c r="A5071" s="3" t="str">
        <f>HYPERLINK("http://mystore1.ru/price_items/search?utf8=%E2%9C%93&amp;oem=5341RGNC2FD","5341RGNC2FD")</f>
        <v>5341RGNC2FD</v>
      </c>
      <c r="B5071" s="1" t="s">
        <v>9681</v>
      </c>
      <c r="C5071" s="9" t="s">
        <v>3106</v>
      </c>
      <c r="D5071" s="14" t="s">
        <v>9682</v>
      </c>
      <c r="E5071" s="9" t="s">
        <v>11</v>
      </c>
    </row>
    <row r="5072" spans="1:5" ht="15" customHeight="1" outlineLevel="2" x14ac:dyDescent="0.25">
      <c r="A5072" s="3" t="str">
        <f>HYPERLINK("http://mystore1.ru/price_items/search?utf8=%E2%9C%93&amp;oem=5341RGNC2FD1B","5341RGNC2FD1B")</f>
        <v>5341RGNC2FD1B</v>
      </c>
      <c r="B5072" s="1" t="s">
        <v>9683</v>
      </c>
      <c r="C5072" s="9" t="s">
        <v>3106</v>
      </c>
      <c r="D5072" s="14" t="s">
        <v>9682</v>
      </c>
      <c r="E5072" s="9" t="s">
        <v>11</v>
      </c>
    </row>
    <row r="5073" spans="1:5" ht="15" customHeight="1" outlineLevel="2" x14ac:dyDescent="0.25">
      <c r="A5073" s="3" t="str">
        <f>HYPERLINK("http://mystore1.ru/price_items/search?utf8=%E2%9C%93&amp;oem=5341RGNC2RQ","5341RGNC2RQ")</f>
        <v>5341RGNC2RQ</v>
      </c>
      <c r="B5073" s="1" t="s">
        <v>9684</v>
      </c>
      <c r="C5073" s="9" t="s">
        <v>3106</v>
      </c>
      <c r="D5073" s="14" t="s">
        <v>9685</v>
      </c>
      <c r="E5073" s="9" t="s">
        <v>11</v>
      </c>
    </row>
    <row r="5074" spans="1:5" ht="15" customHeight="1" outlineLevel="2" x14ac:dyDescent="0.25">
      <c r="A5074" s="3" t="str">
        <f>HYPERLINK("http://mystore1.ru/price_items/search?utf8=%E2%9C%93&amp;oem=5341RGNT2FD","5341RGNT2FD")</f>
        <v>5341RGNT2FD</v>
      </c>
      <c r="B5074" s="1" t="s">
        <v>9686</v>
      </c>
      <c r="C5074" s="9" t="s">
        <v>3106</v>
      </c>
      <c r="D5074" s="14" t="s">
        <v>9687</v>
      </c>
      <c r="E5074" s="9" t="s">
        <v>11</v>
      </c>
    </row>
    <row r="5075" spans="1:5" outlineLevel="1" x14ac:dyDescent="0.25">
      <c r="A5075" s="2"/>
      <c r="B5075" s="6" t="s">
        <v>9688</v>
      </c>
      <c r="C5075" s="8"/>
      <c r="D5075" s="8"/>
      <c r="E5075" s="8"/>
    </row>
    <row r="5076" spans="1:5" ht="15" customHeight="1" outlineLevel="2" x14ac:dyDescent="0.25">
      <c r="A5076" s="3" t="str">
        <f>HYPERLINK("http://mystore1.ru/price_items/search?utf8=%E2%9C%93&amp;oem=5353ABSGYMVW","5353ABSGYMVW")</f>
        <v>5353ABSGYMVW</v>
      </c>
      <c r="B5076" s="1" t="s">
        <v>9689</v>
      </c>
      <c r="C5076" s="9" t="s">
        <v>2406</v>
      </c>
      <c r="D5076" s="14" t="s">
        <v>9690</v>
      </c>
      <c r="E5076" s="9" t="s">
        <v>8</v>
      </c>
    </row>
    <row r="5077" spans="1:5" ht="15" customHeight="1" outlineLevel="2" x14ac:dyDescent="0.25">
      <c r="A5077" s="3" t="str">
        <f>HYPERLINK("http://mystore1.ru/price_items/search?utf8=%E2%9C%93&amp;oem=5353ABSGYMW","5353ABSGYMW")</f>
        <v>5353ABSGYMW</v>
      </c>
      <c r="B5077" s="1" t="s">
        <v>9691</v>
      </c>
      <c r="C5077" s="9" t="s">
        <v>2406</v>
      </c>
      <c r="D5077" s="14" t="s">
        <v>9692</v>
      </c>
      <c r="E5077" s="9" t="s">
        <v>8</v>
      </c>
    </row>
    <row r="5078" spans="1:5" ht="15" customHeight="1" outlineLevel="2" x14ac:dyDescent="0.25">
      <c r="A5078" s="3" t="str">
        <f>HYPERLINK("http://mystore1.ru/price_items/search?utf8=%E2%9C%93&amp;oem=5353ABSMVW","5353ABSMVW")</f>
        <v>5353ABSMVW</v>
      </c>
      <c r="B5078" s="1" t="s">
        <v>9693</v>
      </c>
      <c r="C5078" s="9" t="s">
        <v>2406</v>
      </c>
      <c r="D5078" s="14" t="s">
        <v>9694</v>
      </c>
      <c r="E5078" s="9" t="s">
        <v>8</v>
      </c>
    </row>
    <row r="5079" spans="1:5" ht="15" customHeight="1" outlineLevel="2" x14ac:dyDescent="0.25">
      <c r="A5079" s="3" t="str">
        <f>HYPERLINK("http://mystore1.ru/price_items/search?utf8=%E2%9C%93&amp;oem=5353ABSMW","5353ABSMW")</f>
        <v>5353ABSMW</v>
      </c>
      <c r="B5079" s="1" t="s">
        <v>9695</v>
      </c>
      <c r="C5079" s="9" t="s">
        <v>2406</v>
      </c>
      <c r="D5079" s="14" t="s">
        <v>9696</v>
      </c>
      <c r="E5079" s="9" t="s">
        <v>8</v>
      </c>
    </row>
    <row r="5080" spans="1:5" ht="15" customHeight="1" outlineLevel="2" x14ac:dyDescent="0.25">
      <c r="A5080" s="3" t="str">
        <f>HYPERLINK("http://mystore1.ru/price_items/search?utf8=%E2%9C%93&amp;oem=5353AGSGYMVW","5353AGSGYMVW")</f>
        <v>5353AGSGYMVW</v>
      </c>
      <c r="B5080" s="1" t="s">
        <v>9697</v>
      </c>
      <c r="C5080" s="9" t="s">
        <v>2406</v>
      </c>
      <c r="D5080" s="14" t="s">
        <v>9698</v>
      </c>
      <c r="E5080" s="9" t="s">
        <v>8</v>
      </c>
    </row>
    <row r="5081" spans="1:5" ht="15" customHeight="1" outlineLevel="2" x14ac:dyDescent="0.25">
      <c r="A5081" s="3" t="str">
        <f>HYPERLINK("http://mystore1.ru/price_items/search?utf8=%E2%9C%93&amp;oem=5353AGSMW","5353AGSMW")</f>
        <v>5353AGSMW</v>
      </c>
      <c r="B5081" s="1" t="s">
        <v>9699</v>
      </c>
      <c r="C5081" s="9" t="s">
        <v>2406</v>
      </c>
      <c r="D5081" s="14" t="s">
        <v>9700</v>
      </c>
      <c r="E5081" s="9" t="s">
        <v>8</v>
      </c>
    </row>
    <row r="5082" spans="1:5" ht="15" customHeight="1" outlineLevel="2" x14ac:dyDescent="0.25">
      <c r="A5082" s="3" t="str">
        <f>HYPERLINK("http://mystore1.ru/price_items/search?utf8=%E2%9C%93&amp;oem=5353BGSCAGQZ","5353BGSCAGQZ")</f>
        <v>5353BGSCAGQZ</v>
      </c>
      <c r="B5082" s="1" t="s">
        <v>9701</v>
      </c>
      <c r="C5082" s="9" t="s">
        <v>2406</v>
      </c>
      <c r="D5082" s="14" t="s">
        <v>9702</v>
      </c>
      <c r="E5082" s="9" t="s">
        <v>30</v>
      </c>
    </row>
    <row r="5083" spans="1:5" ht="15" customHeight="1" outlineLevel="2" x14ac:dyDescent="0.25">
      <c r="A5083" s="3" t="str">
        <f>HYPERLINK("http://mystore1.ru/price_items/search?utf8=%E2%9C%93&amp;oem=5353LBSC2FD","5353LBSC2FD")</f>
        <v>5353LBSC2FD</v>
      </c>
      <c r="B5083" s="1" t="s">
        <v>9703</v>
      </c>
      <c r="C5083" s="9" t="s">
        <v>2406</v>
      </c>
      <c r="D5083" s="14" t="s">
        <v>9704</v>
      </c>
      <c r="E5083" s="9" t="s">
        <v>11</v>
      </c>
    </row>
    <row r="5084" spans="1:5" ht="15" customHeight="1" outlineLevel="2" x14ac:dyDescent="0.25">
      <c r="A5084" s="3" t="str">
        <f>HYPERLINK("http://mystore1.ru/price_items/search?utf8=%E2%9C%93&amp;oem=5353LGSC2FD","5353LGSC2FD")</f>
        <v>5353LGSC2FD</v>
      </c>
      <c r="B5084" s="1" t="s">
        <v>9705</v>
      </c>
      <c r="C5084" s="9" t="s">
        <v>2406</v>
      </c>
      <c r="D5084" s="14" t="s">
        <v>9706</v>
      </c>
      <c r="E5084" s="9" t="s">
        <v>11</v>
      </c>
    </row>
    <row r="5085" spans="1:5" ht="15" customHeight="1" outlineLevel="2" x14ac:dyDescent="0.25">
      <c r="A5085" s="3" t="str">
        <f>HYPERLINK("http://mystore1.ru/price_items/search?utf8=%E2%9C%93&amp;oem=5353RBSC2FD","5353RBSC2FD")</f>
        <v>5353RBSC2FD</v>
      </c>
      <c r="B5085" s="1" t="s">
        <v>9707</v>
      </c>
      <c r="C5085" s="9" t="s">
        <v>2406</v>
      </c>
      <c r="D5085" s="14" t="s">
        <v>9708</v>
      </c>
      <c r="E5085" s="9" t="s">
        <v>11</v>
      </c>
    </row>
    <row r="5086" spans="1:5" ht="15" customHeight="1" outlineLevel="2" x14ac:dyDescent="0.25">
      <c r="A5086" s="3" t="str">
        <f>HYPERLINK("http://mystore1.ru/price_items/search?utf8=%E2%9C%93&amp;oem=5353RGSC2FD","5353RGSC2FD")</f>
        <v>5353RGSC2FD</v>
      </c>
      <c r="B5086" s="1" t="s">
        <v>9709</v>
      </c>
      <c r="C5086" s="9" t="s">
        <v>2406</v>
      </c>
      <c r="D5086" s="14" t="s">
        <v>9710</v>
      </c>
      <c r="E5086" s="9" t="s">
        <v>11</v>
      </c>
    </row>
    <row r="5087" spans="1:5" outlineLevel="1" x14ac:dyDescent="0.25">
      <c r="A5087" s="2"/>
      <c r="B5087" s="6" t="s">
        <v>9711</v>
      </c>
      <c r="C5087" s="8"/>
      <c r="D5087" s="8"/>
      <c r="E5087" s="8"/>
    </row>
    <row r="5088" spans="1:5" ht="15" customHeight="1" outlineLevel="2" x14ac:dyDescent="0.25">
      <c r="A5088" s="3" t="str">
        <f>HYPERLINK("http://mystore1.ru/price_items/search?utf8=%E2%9C%93&amp;oem=5337ABSGYV","5337ABSGYV")</f>
        <v>5337ABSGYV</v>
      </c>
      <c r="B5088" s="1" t="s">
        <v>9712</v>
      </c>
      <c r="C5088" s="9" t="s">
        <v>3218</v>
      </c>
      <c r="D5088" s="14" t="s">
        <v>9713</v>
      </c>
      <c r="E5088" s="9" t="s">
        <v>8</v>
      </c>
    </row>
    <row r="5089" spans="1:5" ht="15" customHeight="1" outlineLevel="2" x14ac:dyDescent="0.25">
      <c r="A5089" s="3" t="str">
        <f>HYPERLINK("http://mystore1.ru/price_items/search?utf8=%E2%9C%93&amp;oem=5337ABSMV","5337ABSMV")</f>
        <v>5337ABSMV</v>
      </c>
      <c r="B5089" s="1" t="s">
        <v>9714</v>
      </c>
      <c r="C5089" s="9" t="s">
        <v>3218</v>
      </c>
      <c r="D5089" s="14" t="s">
        <v>9715</v>
      </c>
      <c r="E5089" s="9" t="s">
        <v>8</v>
      </c>
    </row>
    <row r="5090" spans="1:5" ht="15" customHeight="1" outlineLevel="2" x14ac:dyDescent="0.25">
      <c r="A5090" s="3" t="str">
        <f>HYPERLINK("http://mystore1.ru/price_items/search?utf8=%E2%9C%93&amp;oem=5337ABSV","5337ABSV")</f>
        <v>5337ABSV</v>
      </c>
      <c r="B5090" s="1" t="s">
        <v>9716</v>
      </c>
      <c r="C5090" s="9" t="s">
        <v>3218</v>
      </c>
      <c r="D5090" s="14" t="s">
        <v>9717</v>
      </c>
      <c r="E5090" s="9" t="s">
        <v>8</v>
      </c>
    </row>
    <row r="5091" spans="1:5" ht="15" customHeight="1" outlineLevel="2" x14ac:dyDescent="0.25">
      <c r="A5091" s="3" t="str">
        <f>HYPERLINK("http://mystore1.ru/price_items/search?utf8=%E2%9C%93&amp;oem=5337AGNGNV","5337AGNGNV")</f>
        <v>5337AGNGNV</v>
      </c>
      <c r="B5091" s="1" t="s">
        <v>9718</v>
      </c>
      <c r="C5091" s="9" t="s">
        <v>3218</v>
      </c>
      <c r="D5091" s="14" t="s">
        <v>9719</v>
      </c>
      <c r="E5091" s="9" t="s">
        <v>8</v>
      </c>
    </row>
    <row r="5092" spans="1:5" ht="15" customHeight="1" outlineLevel="2" x14ac:dyDescent="0.25">
      <c r="A5092" s="3" t="str">
        <f>HYPERLINK("http://mystore1.ru/price_items/search?utf8=%E2%9C%93&amp;oem=5337AGNGYMV","5337AGNGYMV")</f>
        <v>5337AGNGYMV</v>
      </c>
      <c r="B5092" s="1" t="s">
        <v>9720</v>
      </c>
      <c r="C5092" s="9" t="s">
        <v>3218</v>
      </c>
      <c r="D5092" s="14" t="s">
        <v>9721</v>
      </c>
      <c r="E5092" s="9" t="s">
        <v>8</v>
      </c>
    </row>
    <row r="5093" spans="1:5" ht="15" customHeight="1" outlineLevel="2" x14ac:dyDescent="0.25">
      <c r="A5093" s="3" t="str">
        <f>HYPERLINK("http://mystore1.ru/price_items/search?utf8=%E2%9C%93&amp;oem=5337AGNGYPV","5337AGNGYPV")</f>
        <v>5337AGNGYPV</v>
      </c>
      <c r="B5093" s="1" t="s">
        <v>9722</v>
      </c>
      <c r="C5093" s="9" t="s">
        <v>3218</v>
      </c>
      <c r="D5093" s="14" t="s">
        <v>9723</v>
      </c>
      <c r="E5093" s="9" t="s">
        <v>8</v>
      </c>
    </row>
    <row r="5094" spans="1:5" ht="15" customHeight="1" outlineLevel="2" x14ac:dyDescent="0.25">
      <c r="A5094" s="3" t="str">
        <f>HYPERLINK("http://mystore1.ru/price_items/search?utf8=%E2%9C%93&amp;oem=5337AGNGYV","5337AGNGYV")</f>
        <v>5337AGNGYV</v>
      </c>
      <c r="B5094" s="1" t="s">
        <v>9724</v>
      </c>
      <c r="C5094" s="9" t="s">
        <v>3218</v>
      </c>
      <c r="D5094" s="14" t="s">
        <v>9725</v>
      </c>
      <c r="E5094" s="9" t="s">
        <v>8</v>
      </c>
    </row>
    <row r="5095" spans="1:5" ht="15" customHeight="1" outlineLevel="2" x14ac:dyDescent="0.25">
      <c r="A5095" s="3" t="str">
        <f>HYPERLINK("http://mystore1.ru/price_items/search?utf8=%E2%9C%93&amp;oem=5337ASMST","5337ASMST")</f>
        <v>5337ASMST</v>
      </c>
      <c r="B5095" s="1" t="s">
        <v>9726</v>
      </c>
      <c r="C5095" s="9" t="s">
        <v>25</v>
      </c>
      <c r="D5095" s="14" t="s">
        <v>9727</v>
      </c>
      <c r="E5095" s="9" t="s">
        <v>27</v>
      </c>
    </row>
    <row r="5096" spans="1:5" ht="15" customHeight="1" outlineLevel="2" x14ac:dyDescent="0.25">
      <c r="A5096" s="3" t="str">
        <f>HYPERLINK("http://mystore1.ru/price_items/search?utf8=%E2%9C%93&amp;oem=5337BBSEB","5337BBSEB")</f>
        <v>5337BBSEB</v>
      </c>
      <c r="B5096" s="1" t="s">
        <v>9728</v>
      </c>
      <c r="C5096" s="9" t="s">
        <v>3218</v>
      </c>
      <c r="D5096" s="14" t="s">
        <v>9729</v>
      </c>
      <c r="E5096" s="9" t="s">
        <v>30</v>
      </c>
    </row>
    <row r="5097" spans="1:5" ht="15" customHeight="1" outlineLevel="2" x14ac:dyDescent="0.25">
      <c r="A5097" s="3" t="str">
        <f>HYPERLINK("http://mystore1.ru/price_items/search?utf8=%E2%9C%93&amp;oem=5337BBSSA","5337BBSSA")</f>
        <v>5337BBSSA</v>
      </c>
      <c r="B5097" s="1" t="s">
        <v>9730</v>
      </c>
      <c r="C5097" s="9" t="s">
        <v>3218</v>
      </c>
      <c r="D5097" s="14" t="s">
        <v>9731</v>
      </c>
      <c r="E5097" s="9" t="s">
        <v>30</v>
      </c>
    </row>
    <row r="5098" spans="1:5" ht="15" customHeight="1" outlineLevel="2" x14ac:dyDescent="0.25">
      <c r="A5098" s="3" t="str">
        <f>HYPERLINK("http://mystore1.ru/price_items/search?utf8=%E2%9C%93&amp;oem=5337BGNEB","5337BGNEB")</f>
        <v>5337BGNEB</v>
      </c>
      <c r="B5098" s="1" t="s">
        <v>9732</v>
      </c>
      <c r="C5098" s="9" t="s">
        <v>3218</v>
      </c>
      <c r="D5098" s="14" t="s">
        <v>9733</v>
      </c>
      <c r="E5098" s="9" t="s">
        <v>30</v>
      </c>
    </row>
    <row r="5099" spans="1:5" ht="15" customHeight="1" outlineLevel="2" x14ac:dyDescent="0.25">
      <c r="A5099" s="3" t="str">
        <f>HYPERLINK("http://mystore1.ru/price_items/search?utf8=%E2%9C%93&amp;oem=5337BGNSA","5337BGNSA")</f>
        <v>5337BGNSA</v>
      </c>
      <c r="B5099" s="1" t="s">
        <v>9734</v>
      </c>
      <c r="C5099" s="9" t="s">
        <v>3218</v>
      </c>
      <c r="D5099" s="14" t="s">
        <v>9735</v>
      </c>
      <c r="E5099" s="9" t="s">
        <v>30</v>
      </c>
    </row>
    <row r="5100" spans="1:5" ht="15" customHeight="1" outlineLevel="2" x14ac:dyDescent="0.25">
      <c r="A5100" s="3" t="str">
        <f>HYPERLINK("http://mystore1.ru/price_items/search?utf8=%E2%9C%93&amp;oem=5337BGNSAB","5337BGNSAB")</f>
        <v>5337BGNSAB</v>
      </c>
      <c r="B5100" s="1" t="s">
        <v>9736</v>
      </c>
      <c r="C5100" s="9" t="s">
        <v>3218</v>
      </c>
      <c r="D5100" s="14" t="s">
        <v>9737</v>
      </c>
      <c r="E5100" s="9" t="s">
        <v>30</v>
      </c>
    </row>
    <row r="5101" spans="1:5" ht="15" customHeight="1" outlineLevel="2" x14ac:dyDescent="0.25">
      <c r="A5101" s="3" t="str">
        <f>HYPERLINK("http://mystore1.ru/price_items/search?utf8=%E2%9C%93&amp;oem=5337BGNSAK","5337BGNSAK")</f>
        <v>5337BGNSAK</v>
      </c>
      <c r="B5101" s="1" t="s">
        <v>9738</v>
      </c>
      <c r="C5101" s="9" t="s">
        <v>3218</v>
      </c>
      <c r="D5101" s="14" t="s">
        <v>9739</v>
      </c>
      <c r="E5101" s="9" t="s">
        <v>30</v>
      </c>
    </row>
    <row r="5102" spans="1:5" ht="15" customHeight="1" outlineLevel="2" x14ac:dyDescent="0.25">
      <c r="A5102" s="3" t="str">
        <f>HYPERLINK("http://mystore1.ru/price_items/search?utf8=%E2%9C%93&amp;oem=5337LBSE5RD","5337LBSE5RD")</f>
        <v>5337LBSE5RD</v>
      </c>
      <c r="B5102" s="1" t="s">
        <v>9740</v>
      </c>
      <c r="C5102" s="9" t="s">
        <v>3218</v>
      </c>
      <c r="D5102" s="14" t="s">
        <v>9741</v>
      </c>
      <c r="E5102" s="9" t="s">
        <v>11</v>
      </c>
    </row>
    <row r="5103" spans="1:5" ht="15" customHeight="1" outlineLevel="2" x14ac:dyDescent="0.25">
      <c r="A5103" s="3" t="str">
        <f>HYPERLINK("http://mystore1.ru/price_items/search?utf8=%E2%9C%93&amp;oem=5337LBSE5RQAX","5337LBSE5RQAX")</f>
        <v>5337LBSE5RQAX</v>
      </c>
      <c r="B5103" s="1" t="s">
        <v>9742</v>
      </c>
      <c r="C5103" s="9" t="s">
        <v>3218</v>
      </c>
      <c r="D5103" s="14" t="s">
        <v>9743</v>
      </c>
      <c r="E5103" s="9" t="s">
        <v>11</v>
      </c>
    </row>
    <row r="5104" spans="1:5" ht="15" customHeight="1" outlineLevel="2" x14ac:dyDescent="0.25">
      <c r="A5104" s="3" t="str">
        <f>HYPERLINK("http://mystore1.ru/price_items/search?utf8=%E2%9C%93&amp;oem=5337LBSE5RV","5337LBSE5RV")</f>
        <v>5337LBSE5RV</v>
      </c>
      <c r="B5104" s="1" t="s">
        <v>9744</v>
      </c>
      <c r="C5104" s="9" t="s">
        <v>3218</v>
      </c>
      <c r="D5104" s="14" t="s">
        <v>9745</v>
      </c>
      <c r="E5104" s="9" t="s">
        <v>11</v>
      </c>
    </row>
    <row r="5105" spans="1:5" ht="15" customHeight="1" outlineLevel="2" x14ac:dyDescent="0.25">
      <c r="A5105" s="3" t="str">
        <f>HYPERLINK("http://mystore1.ru/price_items/search?utf8=%E2%9C%93&amp;oem=5337LBSS4RV","5337LBSS4RV")</f>
        <v>5337LBSS4RV</v>
      </c>
      <c r="B5105" s="1" t="s">
        <v>9746</v>
      </c>
      <c r="C5105" s="9" t="s">
        <v>3218</v>
      </c>
      <c r="D5105" s="14" t="s">
        <v>9747</v>
      </c>
      <c r="E5105" s="9" t="s">
        <v>11</v>
      </c>
    </row>
    <row r="5106" spans="1:5" ht="15" customHeight="1" outlineLevel="2" x14ac:dyDescent="0.25">
      <c r="A5106" s="3" t="str">
        <f>HYPERLINK("http://mystore1.ru/price_items/search?utf8=%E2%9C%93&amp;oem=5337LGNE5RD","5337LGNE5RD")</f>
        <v>5337LGNE5RD</v>
      </c>
      <c r="B5106" s="1" t="s">
        <v>9748</v>
      </c>
      <c r="C5106" s="9" t="s">
        <v>3218</v>
      </c>
      <c r="D5106" s="14" t="s">
        <v>9749</v>
      </c>
      <c r="E5106" s="9" t="s">
        <v>11</v>
      </c>
    </row>
    <row r="5107" spans="1:5" ht="15" customHeight="1" outlineLevel="2" x14ac:dyDescent="0.25">
      <c r="A5107" s="3" t="str">
        <f>HYPERLINK("http://mystore1.ru/price_items/search?utf8=%E2%9C%93&amp;oem=5337LGNE5RQA","5337LGNE5RQA")</f>
        <v>5337LGNE5RQA</v>
      </c>
      <c r="B5107" s="1" t="s">
        <v>9750</v>
      </c>
      <c r="C5107" s="9" t="s">
        <v>3218</v>
      </c>
      <c r="D5107" s="14" t="s">
        <v>9751</v>
      </c>
      <c r="E5107" s="9" t="s">
        <v>11</v>
      </c>
    </row>
    <row r="5108" spans="1:5" ht="15" customHeight="1" outlineLevel="2" x14ac:dyDescent="0.25">
      <c r="A5108" s="3" t="str">
        <f>HYPERLINK("http://mystore1.ru/price_items/search?utf8=%E2%9C%93&amp;oem=5337LGNE5RQAX","5337LGNE5RQAX")</f>
        <v>5337LGNE5RQAX</v>
      </c>
      <c r="B5108" s="1" t="s">
        <v>9752</v>
      </c>
      <c r="C5108" s="9" t="s">
        <v>3218</v>
      </c>
      <c r="D5108" s="14" t="s">
        <v>9753</v>
      </c>
      <c r="E5108" s="9" t="s">
        <v>11</v>
      </c>
    </row>
    <row r="5109" spans="1:5" ht="15" customHeight="1" outlineLevel="2" x14ac:dyDescent="0.25">
      <c r="A5109" s="3" t="str">
        <f>HYPERLINK("http://mystore1.ru/price_items/search?utf8=%E2%9C%93&amp;oem=5337LGNE5RV","5337LGNE5RV")</f>
        <v>5337LGNE5RV</v>
      </c>
      <c r="B5109" s="1" t="s">
        <v>9754</v>
      </c>
      <c r="C5109" s="9" t="s">
        <v>3218</v>
      </c>
      <c r="D5109" s="14" t="s">
        <v>9755</v>
      </c>
      <c r="E5109" s="9" t="s">
        <v>11</v>
      </c>
    </row>
    <row r="5110" spans="1:5" ht="15" customHeight="1" outlineLevel="2" x14ac:dyDescent="0.25">
      <c r="A5110" s="3" t="str">
        <f>HYPERLINK("http://mystore1.ru/price_items/search?utf8=%E2%9C%93&amp;oem=5337LGNS4FD","5337LGNS4FD")</f>
        <v>5337LGNS4FD</v>
      </c>
      <c r="B5110" s="1" t="s">
        <v>9756</v>
      </c>
      <c r="C5110" s="9" t="s">
        <v>3218</v>
      </c>
      <c r="D5110" s="14" t="s">
        <v>9757</v>
      </c>
      <c r="E5110" s="9" t="s">
        <v>11</v>
      </c>
    </row>
    <row r="5111" spans="1:5" ht="15" customHeight="1" outlineLevel="2" x14ac:dyDescent="0.25">
      <c r="A5111" s="3" t="str">
        <f>HYPERLINK("http://mystore1.ru/price_items/search?utf8=%E2%9C%93&amp;oem=5337LGNS4RD","5337LGNS4RD")</f>
        <v>5337LGNS4RD</v>
      </c>
      <c r="B5111" s="1" t="s">
        <v>9758</v>
      </c>
      <c r="C5111" s="9" t="s">
        <v>3218</v>
      </c>
      <c r="D5111" s="14" t="s">
        <v>9759</v>
      </c>
      <c r="E5111" s="9" t="s">
        <v>11</v>
      </c>
    </row>
    <row r="5112" spans="1:5" ht="15" customHeight="1" outlineLevel="2" x14ac:dyDescent="0.25">
      <c r="A5112" s="3" t="str">
        <f>HYPERLINK("http://mystore1.ru/price_items/search?utf8=%E2%9C%93&amp;oem=5337LGNS4RV","5337LGNS4RV")</f>
        <v>5337LGNS4RV</v>
      </c>
      <c r="B5112" s="1" t="s">
        <v>9760</v>
      </c>
      <c r="C5112" s="9" t="s">
        <v>3218</v>
      </c>
      <c r="D5112" s="14" t="s">
        <v>9761</v>
      </c>
      <c r="E5112" s="9" t="s">
        <v>11</v>
      </c>
    </row>
    <row r="5113" spans="1:5" ht="15" customHeight="1" outlineLevel="2" x14ac:dyDescent="0.25">
      <c r="A5113" s="3" t="str">
        <f>HYPERLINK("http://mystore1.ru/price_items/search?utf8=%E2%9C%93&amp;oem=5337RBSE5RD","5337RBSE5RD")</f>
        <v>5337RBSE5RD</v>
      </c>
      <c r="B5113" s="1" t="s">
        <v>9762</v>
      </c>
      <c r="C5113" s="9" t="s">
        <v>3218</v>
      </c>
      <c r="D5113" s="14" t="s">
        <v>9763</v>
      </c>
      <c r="E5113" s="9" t="s">
        <v>11</v>
      </c>
    </row>
    <row r="5114" spans="1:5" ht="15" customHeight="1" outlineLevel="2" x14ac:dyDescent="0.25">
      <c r="A5114" s="3" t="str">
        <f>HYPERLINK("http://mystore1.ru/price_items/search?utf8=%E2%9C%93&amp;oem=5337RBSE5RQX","5337RBSE5RQX")</f>
        <v>5337RBSE5RQX</v>
      </c>
      <c r="B5114" s="1" t="s">
        <v>9764</v>
      </c>
      <c r="C5114" s="9" t="s">
        <v>3218</v>
      </c>
      <c r="D5114" s="14" t="s">
        <v>9765</v>
      </c>
      <c r="E5114" s="9" t="s">
        <v>11</v>
      </c>
    </row>
    <row r="5115" spans="1:5" ht="15" customHeight="1" outlineLevel="2" x14ac:dyDescent="0.25">
      <c r="A5115" s="3" t="str">
        <f>HYPERLINK("http://mystore1.ru/price_items/search?utf8=%E2%9C%93&amp;oem=5337RBSE5RV","5337RBSE5RV")</f>
        <v>5337RBSE5RV</v>
      </c>
      <c r="B5115" s="1" t="s">
        <v>9766</v>
      </c>
      <c r="C5115" s="9" t="s">
        <v>3218</v>
      </c>
      <c r="D5115" s="14" t="s">
        <v>9767</v>
      </c>
      <c r="E5115" s="9" t="s">
        <v>11</v>
      </c>
    </row>
    <row r="5116" spans="1:5" ht="15" customHeight="1" outlineLevel="2" x14ac:dyDescent="0.25">
      <c r="A5116" s="3" t="str">
        <f>HYPERLINK("http://mystore1.ru/price_items/search?utf8=%E2%9C%93&amp;oem=5337RBSS4RD","5337RBSS4RD")</f>
        <v>5337RBSS4RD</v>
      </c>
      <c r="B5116" s="1" t="s">
        <v>9768</v>
      </c>
      <c r="C5116" s="9" t="s">
        <v>3218</v>
      </c>
      <c r="D5116" s="14" t="s">
        <v>9769</v>
      </c>
      <c r="E5116" s="9" t="s">
        <v>11</v>
      </c>
    </row>
    <row r="5117" spans="1:5" ht="15" customHeight="1" outlineLevel="2" x14ac:dyDescent="0.25">
      <c r="A5117" s="3" t="str">
        <f>HYPERLINK("http://mystore1.ru/price_items/search?utf8=%E2%9C%93&amp;oem=5337RGNE5RD","5337RGNE5RD")</f>
        <v>5337RGNE5RD</v>
      </c>
      <c r="B5117" s="1" t="s">
        <v>9770</v>
      </c>
      <c r="C5117" s="9" t="s">
        <v>3218</v>
      </c>
      <c r="D5117" s="14" t="s">
        <v>9771</v>
      </c>
      <c r="E5117" s="9" t="s">
        <v>11</v>
      </c>
    </row>
    <row r="5118" spans="1:5" ht="15" customHeight="1" outlineLevel="2" x14ac:dyDescent="0.25">
      <c r="A5118" s="3" t="str">
        <f>HYPERLINK("http://mystore1.ru/price_items/search?utf8=%E2%9C%93&amp;oem=5337RGNE5RQ","5337RGNE5RQ")</f>
        <v>5337RGNE5RQ</v>
      </c>
      <c r="B5118" s="1" t="s">
        <v>9772</v>
      </c>
      <c r="C5118" s="9" t="s">
        <v>3218</v>
      </c>
      <c r="D5118" s="14" t="s">
        <v>9773</v>
      </c>
      <c r="E5118" s="9" t="s">
        <v>11</v>
      </c>
    </row>
    <row r="5119" spans="1:5" ht="15" customHeight="1" outlineLevel="2" x14ac:dyDescent="0.25">
      <c r="A5119" s="3" t="str">
        <f>HYPERLINK("http://mystore1.ru/price_items/search?utf8=%E2%9C%93&amp;oem=5337RGNE5RQX","5337RGNE5RQX")</f>
        <v>5337RGNE5RQX</v>
      </c>
      <c r="B5119" s="1" t="s">
        <v>9774</v>
      </c>
      <c r="C5119" s="9" t="s">
        <v>3218</v>
      </c>
      <c r="D5119" s="14" t="s">
        <v>9775</v>
      </c>
      <c r="E5119" s="9" t="s">
        <v>11</v>
      </c>
    </row>
    <row r="5120" spans="1:5" ht="15" customHeight="1" outlineLevel="2" x14ac:dyDescent="0.25">
      <c r="A5120" s="3" t="str">
        <f>HYPERLINK("http://mystore1.ru/price_items/search?utf8=%E2%9C%93&amp;oem=5337RGNE5RV","5337RGNE5RV")</f>
        <v>5337RGNE5RV</v>
      </c>
      <c r="B5120" s="1" t="s">
        <v>9776</v>
      </c>
      <c r="C5120" s="9" t="s">
        <v>3218</v>
      </c>
      <c r="D5120" s="14" t="s">
        <v>9777</v>
      </c>
      <c r="E5120" s="9" t="s">
        <v>11</v>
      </c>
    </row>
    <row r="5121" spans="1:5" ht="15" customHeight="1" outlineLevel="2" x14ac:dyDescent="0.25">
      <c r="A5121" s="3" t="str">
        <f>HYPERLINK("http://mystore1.ru/price_items/search?utf8=%E2%9C%93&amp;oem=5337RGNS4FD","5337RGNS4FD")</f>
        <v>5337RGNS4FD</v>
      </c>
      <c r="B5121" s="1" t="s">
        <v>9778</v>
      </c>
      <c r="C5121" s="9" t="s">
        <v>3218</v>
      </c>
      <c r="D5121" s="14" t="s">
        <v>9779</v>
      </c>
      <c r="E5121" s="9" t="s">
        <v>11</v>
      </c>
    </row>
    <row r="5122" spans="1:5" ht="15" customHeight="1" outlineLevel="2" x14ac:dyDescent="0.25">
      <c r="A5122" s="3" t="str">
        <f>HYPERLINK("http://mystore1.ru/price_items/search?utf8=%E2%9C%93&amp;oem=5337RGNS4RD","5337RGNS4RD")</f>
        <v>5337RGNS4RD</v>
      </c>
      <c r="B5122" s="1" t="s">
        <v>9780</v>
      </c>
      <c r="C5122" s="9" t="s">
        <v>3218</v>
      </c>
      <c r="D5122" s="14" t="s">
        <v>9781</v>
      </c>
      <c r="E5122" s="9" t="s">
        <v>11</v>
      </c>
    </row>
    <row r="5123" spans="1:5" ht="15" customHeight="1" outlineLevel="2" x14ac:dyDescent="0.25">
      <c r="A5123" s="3" t="str">
        <f>HYPERLINK("http://mystore1.ru/price_items/search?utf8=%E2%9C%93&amp;oem=5337RGNS4RV","5337RGNS4RV")</f>
        <v>5337RGNS4RV</v>
      </c>
      <c r="B5123" s="1" t="s">
        <v>9782</v>
      </c>
      <c r="C5123" s="9" t="s">
        <v>3218</v>
      </c>
      <c r="D5123" s="14" t="s">
        <v>9783</v>
      </c>
      <c r="E5123" s="9" t="s">
        <v>11</v>
      </c>
    </row>
    <row r="5124" spans="1:5" outlineLevel="1" x14ac:dyDescent="0.25">
      <c r="A5124" s="2"/>
      <c r="B5124" s="6" t="s">
        <v>9784</v>
      </c>
      <c r="C5124" s="7"/>
      <c r="D5124" s="8"/>
      <c r="E5124" s="8"/>
    </row>
    <row r="5125" spans="1:5" ht="15" customHeight="1" outlineLevel="2" x14ac:dyDescent="0.25">
      <c r="A5125" s="3" t="str">
        <f>HYPERLINK("http://mystore1.ru/price_items/search?utf8=%E2%9C%93&amp;oem=5354ABSMV","5354ABSMV")</f>
        <v>5354ABSMV</v>
      </c>
      <c r="B5125" s="1" t="s">
        <v>9785</v>
      </c>
      <c r="C5125" s="9" t="s">
        <v>2406</v>
      </c>
      <c r="D5125" s="14" t="s">
        <v>9786</v>
      </c>
      <c r="E5125" s="9" t="s">
        <v>8</v>
      </c>
    </row>
    <row r="5126" spans="1:5" ht="15" customHeight="1" outlineLevel="2" x14ac:dyDescent="0.25">
      <c r="A5126" s="3" t="str">
        <f>HYPERLINK("http://mystore1.ru/price_items/search?utf8=%E2%9C%93&amp;oem=5354AGSGYMV","5354AGSGYMV")</f>
        <v>5354AGSGYMV</v>
      </c>
      <c r="B5126" s="1" t="s">
        <v>9787</v>
      </c>
      <c r="C5126" s="9" t="s">
        <v>2406</v>
      </c>
      <c r="D5126" s="14" t="s">
        <v>9788</v>
      </c>
      <c r="E5126" s="9" t="s">
        <v>8</v>
      </c>
    </row>
    <row r="5127" spans="1:5" outlineLevel="1" x14ac:dyDescent="0.25">
      <c r="A5127" s="2"/>
      <c r="B5127" s="6" t="s">
        <v>9789</v>
      </c>
      <c r="C5127" s="8"/>
      <c r="D5127" s="8"/>
      <c r="E5127" s="8"/>
    </row>
    <row r="5128" spans="1:5" ht="15" customHeight="1" outlineLevel="2" x14ac:dyDescent="0.25">
      <c r="A5128" s="3" t="str">
        <f>HYPERLINK("http://mystore1.ru/price_items/search?utf8=%E2%9C%93&amp;oem=5347ABSMVW","5347ABSMVW")</f>
        <v>5347ABSMVW</v>
      </c>
      <c r="B5128" s="1" t="s">
        <v>9790</v>
      </c>
      <c r="C5128" s="9" t="s">
        <v>2406</v>
      </c>
      <c r="D5128" s="14" t="s">
        <v>9791</v>
      </c>
      <c r="E5128" s="9" t="s">
        <v>8</v>
      </c>
    </row>
    <row r="5129" spans="1:5" ht="15" customHeight="1" outlineLevel="2" x14ac:dyDescent="0.25">
      <c r="A5129" s="3" t="str">
        <f>HYPERLINK("http://mystore1.ru/price_items/search?utf8=%E2%9C%93&amp;oem=5347AGSMVW1K","5347AGSMVW1K")</f>
        <v>5347AGSMVW1K</v>
      </c>
      <c r="B5129" s="1" t="s">
        <v>9792</v>
      </c>
      <c r="C5129" s="9" t="s">
        <v>2406</v>
      </c>
      <c r="D5129" s="14" t="s">
        <v>9793</v>
      </c>
      <c r="E5129" s="9" t="s">
        <v>8</v>
      </c>
    </row>
    <row r="5130" spans="1:5" ht="15" customHeight="1" outlineLevel="2" x14ac:dyDescent="0.25">
      <c r="A5130" s="3" t="str">
        <f>HYPERLINK("http://mystore1.ru/price_items/search?utf8=%E2%9C%93&amp;oem=5347ABSMVW1K","5347ABSMVW1K")</f>
        <v>5347ABSMVW1K</v>
      </c>
      <c r="B5130" s="1" t="s">
        <v>9794</v>
      </c>
      <c r="C5130" s="9" t="s">
        <v>6241</v>
      </c>
      <c r="D5130" s="14" t="s">
        <v>9795</v>
      </c>
      <c r="E5130" s="9" t="s">
        <v>8</v>
      </c>
    </row>
    <row r="5131" spans="1:5" ht="15" customHeight="1" outlineLevel="2" x14ac:dyDescent="0.25">
      <c r="A5131" s="3" t="str">
        <f>HYPERLINK("http://mystore1.ru/price_items/search?utf8=%E2%9C%93&amp;oem=5347AGSGYMVW","5347AGSGYMVW")</f>
        <v>5347AGSGYMVW</v>
      </c>
      <c r="B5131" s="1" t="s">
        <v>9796</v>
      </c>
      <c r="C5131" s="9" t="s">
        <v>2406</v>
      </c>
      <c r="D5131" s="14" t="s">
        <v>9797</v>
      </c>
      <c r="E5131" s="9" t="s">
        <v>8</v>
      </c>
    </row>
    <row r="5132" spans="1:5" ht="15" customHeight="1" outlineLevel="2" x14ac:dyDescent="0.25">
      <c r="A5132" s="3" t="str">
        <f>HYPERLINK("http://mystore1.ru/price_items/search?utf8=%E2%9C%93&amp;oem=5347AGSGYMVW1K","5347AGSGYMVW1K")</f>
        <v>5347AGSGYMVW1K</v>
      </c>
      <c r="B5132" s="1" t="s">
        <v>9798</v>
      </c>
      <c r="C5132" s="9" t="s">
        <v>6241</v>
      </c>
      <c r="D5132" s="14" t="s">
        <v>9799</v>
      </c>
      <c r="E5132" s="9" t="s">
        <v>8</v>
      </c>
    </row>
    <row r="5133" spans="1:5" ht="15" customHeight="1" outlineLevel="2" x14ac:dyDescent="0.25">
      <c r="A5133" s="3" t="str">
        <f>HYPERLINK("http://mystore1.ru/price_items/search?utf8=%E2%9C%93&amp;oem=5347BBSSAGJPZ","5347BBSSAGJPZ")</f>
        <v>5347BBSSAGJPZ</v>
      </c>
      <c r="B5133" s="1" t="s">
        <v>9800</v>
      </c>
      <c r="C5133" s="9" t="s">
        <v>2406</v>
      </c>
      <c r="D5133" s="14" t="s">
        <v>9801</v>
      </c>
      <c r="E5133" s="9" t="s">
        <v>30</v>
      </c>
    </row>
    <row r="5134" spans="1:5" ht="15" customHeight="1" outlineLevel="2" x14ac:dyDescent="0.25">
      <c r="A5134" s="3" t="str">
        <f>HYPERLINK("http://mystore1.ru/price_items/search?utf8=%E2%9C%93&amp;oem=5347BGSEXZ","5347BGSEXZ")</f>
        <v>5347BGSEXZ</v>
      </c>
      <c r="B5134" s="1" t="s">
        <v>9802</v>
      </c>
      <c r="C5134" s="9" t="s">
        <v>2351</v>
      </c>
      <c r="D5134" s="14" t="s">
        <v>9803</v>
      </c>
      <c r="E5134" s="9" t="s">
        <v>30</v>
      </c>
    </row>
    <row r="5135" spans="1:5" ht="15" customHeight="1" outlineLevel="2" x14ac:dyDescent="0.25">
      <c r="A5135" s="3" t="str">
        <f>HYPERLINK("http://mystore1.ru/price_items/search?utf8=%E2%9C%93&amp;oem=5347BGSSAGJPZ","5347BGSSAGJPZ")</f>
        <v>5347BGSSAGJPZ</v>
      </c>
      <c r="B5135" s="1" t="s">
        <v>9804</v>
      </c>
      <c r="C5135" s="9" t="s">
        <v>2406</v>
      </c>
      <c r="D5135" s="14" t="s">
        <v>9805</v>
      </c>
      <c r="E5135" s="9" t="s">
        <v>30</v>
      </c>
    </row>
    <row r="5136" spans="1:5" ht="15" customHeight="1" outlineLevel="2" x14ac:dyDescent="0.25">
      <c r="A5136" s="3" t="str">
        <f>HYPERLINK("http://mystore1.ru/price_items/search?utf8=%E2%9C%93&amp;oem=5347LGSE5RD","5347LGSE5RD")</f>
        <v>5347LGSE5RD</v>
      </c>
      <c r="B5136" s="1" t="s">
        <v>9806</v>
      </c>
      <c r="C5136" s="9" t="s">
        <v>2351</v>
      </c>
      <c r="D5136" s="14" t="s">
        <v>9807</v>
      </c>
      <c r="E5136" s="9" t="s">
        <v>11</v>
      </c>
    </row>
    <row r="5137" spans="1:5" ht="15" customHeight="1" outlineLevel="2" x14ac:dyDescent="0.25">
      <c r="A5137" s="3" t="str">
        <f>HYPERLINK("http://mystore1.ru/price_items/search?utf8=%E2%9C%93&amp;oem=5347LGSS4FD","5347LGSS4FD")</f>
        <v>5347LGSS4FD</v>
      </c>
      <c r="B5137" s="1" t="s">
        <v>9808</v>
      </c>
      <c r="C5137" s="9" t="s">
        <v>2406</v>
      </c>
      <c r="D5137" s="14" t="s">
        <v>9809</v>
      </c>
      <c r="E5137" s="9" t="s">
        <v>11</v>
      </c>
    </row>
    <row r="5138" spans="1:5" ht="15" customHeight="1" outlineLevel="2" x14ac:dyDescent="0.25">
      <c r="A5138" s="3" t="str">
        <f>HYPERLINK("http://mystore1.ru/price_items/search?utf8=%E2%9C%93&amp;oem=5347LGSS4RD","5347LGSS4RD")</f>
        <v>5347LGSS4RD</v>
      </c>
      <c r="B5138" s="1" t="s">
        <v>9810</v>
      </c>
      <c r="C5138" s="9" t="s">
        <v>2406</v>
      </c>
      <c r="D5138" s="14" t="s">
        <v>9811</v>
      </c>
      <c r="E5138" s="9" t="s">
        <v>11</v>
      </c>
    </row>
    <row r="5139" spans="1:5" ht="15" customHeight="1" outlineLevel="2" x14ac:dyDescent="0.25">
      <c r="A5139" s="3" t="str">
        <f>HYPERLINK("http://mystore1.ru/price_items/search?utf8=%E2%9C%93&amp;oem=5347RGSE5RD","5347RGSE5RD")</f>
        <v>5347RGSE5RD</v>
      </c>
      <c r="B5139" s="1" t="s">
        <v>9812</v>
      </c>
      <c r="C5139" s="9" t="s">
        <v>2351</v>
      </c>
      <c r="D5139" s="14" t="s">
        <v>9813</v>
      </c>
      <c r="E5139" s="9" t="s">
        <v>11</v>
      </c>
    </row>
    <row r="5140" spans="1:5" ht="15" customHeight="1" outlineLevel="2" x14ac:dyDescent="0.25">
      <c r="A5140" s="3" t="str">
        <f>HYPERLINK("http://mystore1.ru/price_items/search?utf8=%E2%9C%93&amp;oem=5347RGSS4FD","5347RGSS4FD")</f>
        <v>5347RGSS4FD</v>
      </c>
      <c r="B5140" s="1" t="s">
        <v>9814</v>
      </c>
      <c r="C5140" s="9" t="s">
        <v>2406</v>
      </c>
      <c r="D5140" s="14" t="s">
        <v>9815</v>
      </c>
      <c r="E5140" s="9" t="s">
        <v>11</v>
      </c>
    </row>
    <row r="5141" spans="1:5" ht="15" customHeight="1" outlineLevel="2" x14ac:dyDescent="0.25">
      <c r="A5141" s="3" t="str">
        <f>HYPERLINK("http://mystore1.ru/price_items/search?utf8=%E2%9C%93&amp;oem=5347RGSS4RD","5347RGSS4RD")</f>
        <v>5347RGSS4RD</v>
      </c>
      <c r="B5141" s="1" t="s">
        <v>9816</v>
      </c>
      <c r="C5141" s="9" t="s">
        <v>2406</v>
      </c>
      <c r="D5141" s="14" t="s">
        <v>9817</v>
      </c>
      <c r="E5141" s="9" t="s">
        <v>11</v>
      </c>
    </row>
    <row r="5142" spans="1:5" outlineLevel="1" x14ac:dyDescent="0.25">
      <c r="A5142" s="2"/>
      <c r="B5142" s="6" t="s">
        <v>9818</v>
      </c>
      <c r="C5142" s="8"/>
      <c r="D5142" s="8"/>
      <c r="E5142" s="8"/>
    </row>
    <row r="5143" spans="1:5" ht="15" customHeight="1" outlineLevel="2" x14ac:dyDescent="0.25">
      <c r="A5143" s="3" t="str">
        <f>HYPERLINK("http://mystore1.ru/price_items/search?utf8=%E2%9C%93&amp;oem=5345ACCGYHPVW","5345ACCGYHPVW")</f>
        <v>5345ACCGYHPVW</v>
      </c>
      <c r="B5143" s="1" t="s">
        <v>9819</v>
      </c>
      <c r="C5143" s="9" t="s">
        <v>959</v>
      </c>
      <c r="D5143" s="14" t="s">
        <v>9820</v>
      </c>
      <c r="E5143" s="9" t="s">
        <v>8</v>
      </c>
    </row>
    <row r="5144" spans="1:5" ht="15" customHeight="1" outlineLevel="2" x14ac:dyDescent="0.25">
      <c r="A5144" s="3" t="str">
        <f>HYPERLINK("http://mystore1.ru/price_items/search?utf8=%E2%9C%93&amp;oem=5345ACCGYPVW","5345ACCGYPVW")</f>
        <v>5345ACCGYPVW</v>
      </c>
      <c r="B5144" s="1" t="s">
        <v>9821</v>
      </c>
      <c r="C5144" s="9" t="s">
        <v>959</v>
      </c>
      <c r="D5144" s="14" t="s">
        <v>9822</v>
      </c>
      <c r="E5144" s="9" t="s">
        <v>8</v>
      </c>
    </row>
    <row r="5145" spans="1:5" outlineLevel="1" x14ac:dyDescent="0.25">
      <c r="A5145" s="2"/>
      <c r="B5145" s="6" t="s">
        <v>9823</v>
      </c>
      <c r="C5145" s="8"/>
      <c r="D5145" s="8"/>
      <c r="E5145" s="8"/>
    </row>
    <row r="5146" spans="1:5" ht="15" customHeight="1" outlineLevel="2" x14ac:dyDescent="0.25">
      <c r="A5146" s="3" t="str">
        <f>HYPERLINK("http://mystore1.ru/price_items/search?utf8=%E2%9C%93&amp;oem=5360ABSMVZ","5360ABSMVZ")</f>
        <v>5360ABSMVZ</v>
      </c>
      <c r="B5146" s="1" t="s">
        <v>9824</v>
      </c>
      <c r="C5146" s="9" t="s">
        <v>212</v>
      </c>
      <c r="D5146" s="14" t="s">
        <v>9825</v>
      </c>
      <c r="E5146" s="9" t="s">
        <v>8</v>
      </c>
    </row>
    <row r="5147" spans="1:5" ht="15" customHeight="1" outlineLevel="2" x14ac:dyDescent="0.25">
      <c r="A5147" s="3" t="str">
        <f>HYPERLINK("http://mystore1.ru/price_items/search?utf8=%E2%9C%93&amp;oem=5360ABSMVZ1D","5360ABSMVZ1D")</f>
        <v>5360ABSMVZ1D</v>
      </c>
      <c r="B5147" s="1" t="s">
        <v>9826</v>
      </c>
      <c r="C5147" s="9" t="s">
        <v>4601</v>
      </c>
      <c r="D5147" s="14" t="s">
        <v>9827</v>
      </c>
      <c r="E5147" s="9" t="s">
        <v>8</v>
      </c>
    </row>
    <row r="5148" spans="1:5" ht="15" customHeight="1" outlineLevel="2" x14ac:dyDescent="0.25">
      <c r="A5148" s="3" t="str">
        <f>HYPERLINK("http://mystore1.ru/price_items/search?utf8=%E2%9C%93&amp;oem=5360ACCMVZ1D","5360ACCMVZ1D")</f>
        <v>5360ACCMVZ1D</v>
      </c>
      <c r="B5148" s="1" t="s">
        <v>9828</v>
      </c>
      <c r="C5148" s="9" t="s">
        <v>4601</v>
      </c>
      <c r="D5148" s="14" t="s">
        <v>9829</v>
      </c>
      <c r="E5148" s="9" t="s">
        <v>8</v>
      </c>
    </row>
    <row r="5149" spans="1:5" ht="15" customHeight="1" outlineLevel="2" x14ac:dyDescent="0.25">
      <c r="A5149" s="3" t="str">
        <f>HYPERLINK("http://mystore1.ru/price_items/search?utf8=%E2%9C%93&amp;oem=5360AGSMVZ","5360AGSMVZ")</f>
        <v>5360AGSMVZ</v>
      </c>
      <c r="B5149" s="1" t="s">
        <v>9830</v>
      </c>
      <c r="C5149" s="9" t="s">
        <v>212</v>
      </c>
      <c r="D5149" s="14" t="s">
        <v>9831</v>
      </c>
      <c r="E5149" s="9" t="s">
        <v>8</v>
      </c>
    </row>
    <row r="5150" spans="1:5" ht="15" customHeight="1" outlineLevel="2" x14ac:dyDescent="0.25">
      <c r="A5150" s="3" t="str">
        <f>HYPERLINK("http://mystore1.ru/price_items/search?utf8=%E2%9C%93&amp;oem=5360AGSMVZ1D","5360AGSMVZ1D")</f>
        <v>5360AGSMVZ1D</v>
      </c>
      <c r="B5150" s="1" t="s">
        <v>9832</v>
      </c>
      <c r="C5150" s="9" t="s">
        <v>212</v>
      </c>
      <c r="D5150" s="14" t="s">
        <v>9833</v>
      </c>
      <c r="E5150" s="9" t="s">
        <v>8</v>
      </c>
    </row>
    <row r="5151" spans="1:5" ht="15" customHeight="1" outlineLevel="2" x14ac:dyDescent="0.25">
      <c r="A5151" s="3" t="str">
        <f>HYPERLINK("http://mystore1.ru/price_items/search?utf8=%E2%9C%93&amp;oem=5360LBSC4FD","5360LBSC4FD")</f>
        <v>5360LBSC4FD</v>
      </c>
      <c r="B5151" s="1" t="s">
        <v>9834</v>
      </c>
      <c r="C5151" s="9" t="s">
        <v>212</v>
      </c>
      <c r="D5151" s="14" t="s">
        <v>9835</v>
      </c>
      <c r="E5151" s="9" t="s">
        <v>11</v>
      </c>
    </row>
    <row r="5152" spans="1:5" ht="15" customHeight="1" outlineLevel="2" x14ac:dyDescent="0.25">
      <c r="A5152" s="3" t="str">
        <f>HYPERLINK("http://mystore1.ru/price_items/search?utf8=%E2%9C%93&amp;oem=5360LBSC4RD","5360LBSC4RD")</f>
        <v>5360LBSC4RD</v>
      </c>
      <c r="B5152" s="1" t="s">
        <v>9836</v>
      </c>
      <c r="C5152" s="9" t="s">
        <v>212</v>
      </c>
      <c r="D5152" s="14" t="s">
        <v>9837</v>
      </c>
      <c r="E5152" s="9" t="s">
        <v>11</v>
      </c>
    </row>
    <row r="5153" spans="1:5" ht="15" customHeight="1" outlineLevel="2" x14ac:dyDescent="0.25">
      <c r="A5153" s="3" t="str">
        <f>HYPERLINK("http://mystore1.ru/price_items/search?utf8=%E2%9C%93&amp;oem=5360LGSC4FD","5360LGSC4FD")</f>
        <v>5360LGSC4FD</v>
      </c>
      <c r="B5153" s="1" t="s">
        <v>9838</v>
      </c>
      <c r="C5153" s="9" t="s">
        <v>212</v>
      </c>
      <c r="D5153" s="14" t="s">
        <v>9839</v>
      </c>
      <c r="E5153" s="9" t="s">
        <v>11</v>
      </c>
    </row>
    <row r="5154" spans="1:5" ht="15" customHeight="1" outlineLevel="2" x14ac:dyDescent="0.25">
      <c r="A5154" s="3" t="str">
        <f>HYPERLINK("http://mystore1.ru/price_items/search?utf8=%E2%9C%93&amp;oem=5360LGSC4RD","5360LGSC4RD")</f>
        <v>5360LGSC4RD</v>
      </c>
      <c r="B5154" s="1" t="s">
        <v>9840</v>
      </c>
      <c r="C5154" s="9" t="s">
        <v>212</v>
      </c>
      <c r="D5154" s="14" t="s">
        <v>9841</v>
      </c>
      <c r="E5154" s="9" t="s">
        <v>11</v>
      </c>
    </row>
    <row r="5155" spans="1:5" ht="15" customHeight="1" outlineLevel="2" x14ac:dyDescent="0.25">
      <c r="A5155" s="3" t="str">
        <f>HYPERLINK("http://mystore1.ru/price_items/search?utf8=%E2%9C%93&amp;oem=5360RBSC4FD","5360RBSC4FD")</f>
        <v>5360RBSC4FD</v>
      </c>
      <c r="B5155" s="1" t="s">
        <v>9842</v>
      </c>
      <c r="C5155" s="9" t="s">
        <v>212</v>
      </c>
      <c r="D5155" s="14" t="s">
        <v>9843</v>
      </c>
      <c r="E5155" s="9" t="s">
        <v>11</v>
      </c>
    </row>
    <row r="5156" spans="1:5" ht="15" customHeight="1" outlineLevel="2" x14ac:dyDescent="0.25">
      <c r="A5156" s="3" t="str">
        <f>HYPERLINK("http://mystore1.ru/price_items/search?utf8=%E2%9C%93&amp;oem=5360RBSC4RD","5360RBSC4RD")</f>
        <v>5360RBSC4RD</v>
      </c>
      <c r="B5156" s="1" t="s">
        <v>9844</v>
      </c>
      <c r="C5156" s="9" t="s">
        <v>212</v>
      </c>
      <c r="D5156" s="14" t="s">
        <v>9845</v>
      </c>
      <c r="E5156" s="9" t="s">
        <v>11</v>
      </c>
    </row>
    <row r="5157" spans="1:5" ht="15" customHeight="1" outlineLevel="2" x14ac:dyDescent="0.25">
      <c r="A5157" s="3" t="str">
        <f>HYPERLINK("http://mystore1.ru/price_items/search?utf8=%E2%9C%93&amp;oem=5360RGSC4FD","5360RGSC4FD")</f>
        <v>5360RGSC4FD</v>
      </c>
      <c r="B5157" s="1" t="s">
        <v>9846</v>
      </c>
      <c r="C5157" s="9" t="s">
        <v>212</v>
      </c>
      <c r="D5157" s="14" t="s">
        <v>9847</v>
      </c>
      <c r="E5157" s="9" t="s">
        <v>11</v>
      </c>
    </row>
    <row r="5158" spans="1:5" ht="15" customHeight="1" outlineLevel="2" x14ac:dyDescent="0.25">
      <c r="A5158" s="3" t="str">
        <f>HYPERLINK("http://mystore1.ru/price_items/search?utf8=%E2%9C%93&amp;oem=5360RGSC4RD","5360RGSC4RD")</f>
        <v>5360RGSC4RD</v>
      </c>
      <c r="B5158" s="1" t="s">
        <v>9848</v>
      </c>
      <c r="C5158" s="9" t="s">
        <v>212</v>
      </c>
      <c r="D5158" s="14" t="s">
        <v>9849</v>
      </c>
      <c r="E5158" s="9" t="s">
        <v>11</v>
      </c>
    </row>
    <row r="5159" spans="1:5" outlineLevel="1" x14ac:dyDescent="0.25">
      <c r="A5159" s="2"/>
      <c r="B5159" s="6" t="s">
        <v>9850</v>
      </c>
      <c r="C5159" s="8"/>
      <c r="D5159" s="8"/>
      <c r="E5159" s="8"/>
    </row>
    <row r="5160" spans="1:5" ht="15" customHeight="1" outlineLevel="2" x14ac:dyDescent="0.25">
      <c r="A5160" s="3" t="str">
        <f>HYPERLINK("http://mystore1.ru/price_items/search?utf8=%E2%9C%93&amp;oem=5344ACCGYHMVW2T","5344ACCGYHMVW2T")</f>
        <v>5344ACCGYHMVW2T</v>
      </c>
      <c r="B5160" s="1" t="s">
        <v>9851</v>
      </c>
      <c r="C5160" s="9" t="s">
        <v>727</v>
      </c>
      <c r="D5160" s="14" t="s">
        <v>9852</v>
      </c>
      <c r="E5160" s="9" t="s">
        <v>8</v>
      </c>
    </row>
    <row r="5161" spans="1:5" ht="15" customHeight="1" outlineLevel="2" x14ac:dyDescent="0.25">
      <c r="A5161" s="3" t="str">
        <f>HYPERLINK("http://mystore1.ru/price_items/search?utf8=%E2%9C%93&amp;oem=5344ACCGYHPVW","5344ACCGYHPVW")</f>
        <v>5344ACCGYHPVW</v>
      </c>
      <c r="B5161" s="1" t="s">
        <v>9853</v>
      </c>
      <c r="C5161" s="9" t="s">
        <v>727</v>
      </c>
      <c r="D5161" s="14" t="s">
        <v>9854</v>
      </c>
      <c r="E5161" s="9" t="s">
        <v>8</v>
      </c>
    </row>
    <row r="5162" spans="1:5" ht="15" customHeight="1" outlineLevel="2" x14ac:dyDescent="0.25">
      <c r="A5162" s="3" t="str">
        <f>HYPERLINK("http://mystore1.ru/price_items/search?utf8=%E2%9C%93&amp;oem=5344AGNGYHMVW1T","5344AGNGYHMVW1T")</f>
        <v>5344AGNGYHMVW1T</v>
      </c>
      <c r="B5162" s="1" t="s">
        <v>9855</v>
      </c>
      <c r="C5162" s="9" t="s">
        <v>727</v>
      </c>
      <c r="D5162" s="14" t="s">
        <v>9856</v>
      </c>
      <c r="E5162" s="9" t="s">
        <v>8</v>
      </c>
    </row>
    <row r="5163" spans="1:5" ht="15" customHeight="1" outlineLevel="2" x14ac:dyDescent="0.25">
      <c r="A5163" s="3" t="str">
        <f>HYPERLINK("http://mystore1.ru/price_items/search?utf8=%E2%9C%93&amp;oem=5344AGNGYHMVW2T","5344AGNGYHMVW2T")</f>
        <v>5344AGNGYHMVW2T</v>
      </c>
      <c r="B5163" s="1" t="s">
        <v>9857</v>
      </c>
      <c r="C5163" s="9" t="s">
        <v>1590</v>
      </c>
      <c r="D5163" s="14" t="s">
        <v>9858</v>
      </c>
      <c r="E5163" s="9" t="s">
        <v>8</v>
      </c>
    </row>
    <row r="5164" spans="1:5" ht="15" customHeight="1" outlineLevel="2" x14ac:dyDescent="0.25">
      <c r="A5164" s="3" t="str">
        <f>HYPERLINK("http://mystore1.ru/price_items/search?utf8=%E2%9C%93&amp;oem=5344AGNGYHPVW","5344AGNGYHPVW")</f>
        <v>5344AGNGYHPVW</v>
      </c>
      <c r="B5164" s="1" t="s">
        <v>9859</v>
      </c>
      <c r="C5164" s="9" t="s">
        <v>727</v>
      </c>
      <c r="D5164" s="14" t="s">
        <v>9860</v>
      </c>
      <c r="E5164" s="9" t="s">
        <v>8</v>
      </c>
    </row>
    <row r="5165" spans="1:5" ht="15" customHeight="1" outlineLevel="2" x14ac:dyDescent="0.25">
      <c r="A5165" s="3" t="str">
        <f>HYPERLINK("http://mystore1.ru/price_items/search?utf8=%E2%9C%93&amp;oem=5344AGNGYPVW","5344AGNGYPVW")</f>
        <v>5344AGNGYPVW</v>
      </c>
      <c r="B5165" s="1" t="s">
        <v>9861</v>
      </c>
      <c r="C5165" s="9" t="s">
        <v>727</v>
      </c>
      <c r="D5165" s="14" t="s">
        <v>9862</v>
      </c>
      <c r="E5165" s="9" t="s">
        <v>8</v>
      </c>
    </row>
    <row r="5166" spans="1:5" ht="15" customHeight="1" outlineLevel="2" x14ac:dyDescent="0.25">
      <c r="A5166" s="3" t="str">
        <f>HYPERLINK("http://mystore1.ru/price_items/search?utf8=%E2%9C%93&amp;oem=5344BCCSABGKT","5344BCCSABGKT")</f>
        <v>5344BCCSABGKT</v>
      </c>
      <c r="B5166" s="1" t="s">
        <v>9863</v>
      </c>
      <c r="C5166" s="9" t="s">
        <v>727</v>
      </c>
      <c r="D5166" s="14" t="s">
        <v>9864</v>
      </c>
      <c r="E5166" s="9" t="s">
        <v>30</v>
      </c>
    </row>
    <row r="5167" spans="1:5" ht="15" customHeight="1" outlineLevel="2" x14ac:dyDescent="0.25">
      <c r="A5167" s="3" t="str">
        <f>HYPERLINK("http://mystore1.ru/price_items/search?utf8=%E2%9C%93&amp;oem=5344BGNSABGK","5344BGNSABGK")</f>
        <v>5344BGNSABGK</v>
      </c>
      <c r="B5167" s="1" t="s">
        <v>9865</v>
      </c>
      <c r="C5167" s="9" t="s">
        <v>727</v>
      </c>
      <c r="D5167" s="14" t="s">
        <v>9866</v>
      </c>
      <c r="E5167" s="9" t="s">
        <v>30</v>
      </c>
    </row>
    <row r="5168" spans="1:5" ht="15" customHeight="1" outlineLevel="2" x14ac:dyDescent="0.25">
      <c r="A5168" s="3" t="str">
        <f>HYPERLINK("http://mystore1.ru/price_items/search?utf8=%E2%9C%93&amp;oem=5344LGNS4FDK","5344LGNS4FDK")</f>
        <v>5344LGNS4FDK</v>
      </c>
      <c r="B5168" s="1" t="s">
        <v>9867</v>
      </c>
      <c r="C5168" s="9" t="s">
        <v>727</v>
      </c>
      <c r="D5168" s="14" t="s">
        <v>9868</v>
      </c>
      <c r="E5168" s="9" t="s">
        <v>11</v>
      </c>
    </row>
    <row r="5169" spans="1:5" ht="15" customHeight="1" outlineLevel="2" x14ac:dyDescent="0.25">
      <c r="A5169" s="3" t="str">
        <f>HYPERLINK("http://mystore1.ru/price_items/search?utf8=%E2%9C%93&amp;oem=5344LGNS4RDK","5344LGNS4RDK")</f>
        <v>5344LGNS4RDK</v>
      </c>
      <c r="B5169" s="1" t="s">
        <v>9869</v>
      </c>
      <c r="C5169" s="9" t="s">
        <v>727</v>
      </c>
      <c r="D5169" s="14" t="s">
        <v>9870</v>
      </c>
      <c r="E5169" s="9" t="s">
        <v>11</v>
      </c>
    </row>
    <row r="5170" spans="1:5" ht="15" customHeight="1" outlineLevel="2" x14ac:dyDescent="0.25">
      <c r="A5170" s="3" t="str">
        <f>HYPERLINK("http://mystore1.ru/price_items/search?utf8=%E2%9C%93&amp;oem=5344LGNS4RVK","5344LGNS4RVK")</f>
        <v>5344LGNS4RVK</v>
      </c>
      <c r="B5170" s="1" t="s">
        <v>9871</v>
      </c>
      <c r="C5170" s="9" t="s">
        <v>727</v>
      </c>
      <c r="D5170" s="14" t="s">
        <v>9872</v>
      </c>
      <c r="E5170" s="9" t="s">
        <v>11</v>
      </c>
    </row>
    <row r="5171" spans="1:5" ht="15" customHeight="1" outlineLevel="2" x14ac:dyDescent="0.25">
      <c r="A5171" s="3" t="str">
        <f>HYPERLINK("http://mystore1.ru/price_items/search?utf8=%E2%9C%93&amp;oem=5344RGNS4FDK","5344RGNS4FDK")</f>
        <v>5344RGNS4FDK</v>
      </c>
      <c r="B5171" s="1" t="s">
        <v>9873</v>
      </c>
      <c r="C5171" s="9" t="s">
        <v>727</v>
      </c>
      <c r="D5171" s="14" t="s">
        <v>9874</v>
      </c>
      <c r="E5171" s="9" t="s">
        <v>11</v>
      </c>
    </row>
    <row r="5172" spans="1:5" ht="15" customHeight="1" outlineLevel="2" x14ac:dyDescent="0.25">
      <c r="A5172" s="3" t="str">
        <f>HYPERLINK("http://mystore1.ru/price_items/search?utf8=%E2%9C%93&amp;oem=5344RGNS4RDKW","5344RGNS4RDKW")</f>
        <v>5344RGNS4RDKW</v>
      </c>
      <c r="B5172" s="1" t="s">
        <v>9875</v>
      </c>
      <c r="C5172" s="9" t="s">
        <v>727</v>
      </c>
      <c r="D5172" s="14" t="s">
        <v>9876</v>
      </c>
      <c r="E5172" s="9" t="s">
        <v>11</v>
      </c>
    </row>
    <row r="5173" spans="1:5" ht="15" customHeight="1" outlineLevel="2" x14ac:dyDescent="0.25">
      <c r="A5173" s="3" t="str">
        <f>HYPERLINK("http://mystore1.ru/price_items/search?utf8=%E2%9C%93&amp;oem=5344RGNS4RVK","5344RGNS4RVK")</f>
        <v>5344RGNS4RVK</v>
      </c>
      <c r="B5173" s="1" t="s">
        <v>9877</v>
      </c>
      <c r="C5173" s="9" t="s">
        <v>727</v>
      </c>
      <c r="D5173" s="14" t="s">
        <v>9878</v>
      </c>
      <c r="E5173" s="9" t="s">
        <v>11</v>
      </c>
    </row>
    <row r="5174" spans="1:5" outlineLevel="1" x14ac:dyDescent="0.25">
      <c r="A5174" s="2"/>
      <c r="B5174" s="6" t="s">
        <v>9879</v>
      </c>
      <c r="C5174" s="8"/>
      <c r="D5174" s="8"/>
      <c r="E5174" s="8"/>
    </row>
    <row r="5175" spans="1:5" ht="15" customHeight="1" outlineLevel="2" x14ac:dyDescent="0.25">
      <c r="A5175" s="3" t="str">
        <f>HYPERLINK("http://mystore1.ru/price_items/search?utf8=%E2%9C%93&amp;oem=5362ACCHMVZ","5362ACCHMVZ")</f>
        <v>5362ACCHMVZ</v>
      </c>
      <c r="B5175" s="1" t="s">
        <v>9880</v>
      </c>
      <c r="C5175" s="9" t="s">
        <v>1607</v>
      </c>
      <c r="D5175" s="14" t="s">
        <v>9881</v>
      </c>
      <c r="E5175" s="9" t="s">
        <v>8</v>
      </c>
    </row>
    <row r="5176" spans="1:5" ht="15" customHeight="1" outlineLevel="2" x14ac:dyDescent="0.25">
      <c r="A5176" s="3" t="str">
        <f>HYPERLINK("http://mystore1.ru/price_items/search?utf8=%E2%9C%93&amp;oem=5362AGSHMVZ","5362AGSHMVZ")</f>
        <v>5362AGSHMVZ</v>
      </c>
      <c r="B5176" s="1" t="s">
        <v>9882</v>
      </c>
      <c r="C5176" s="9" t="s">
        <v>1607</v>
      </c>
      <c r="D5176" s="14" t="s">
        <v>9883</v>
      </c>
      <c r="E5176" s="9" t="s">
        <v>8</v>
      </c>
    </row>
    <row r="5177" spans="1:5" ht="15" customHeight="1" outlineLevel="2" x14ac:dyDescent="0.25">
      <c r="A5177" s="3" t="str">
        <f>HYPERLINK("http://mystore1.ru/price_items/search?utf8=%E2%9C%93&amp;oem=5362ACCCHMVW","5362ACCCHMVW")</f>
        <v>5362ACCCHMVW</v>
      </c>
      <c r="B5177" s="1" t="s">
        <v>9884</v>
      </c>
      <c r="C5177" s="9" t="s">
        <v>1607</v>
      </c>
      <c r="D5177" s="14" t="s">
        <v>9885</v>
      </c>
      <c r="E5177" s="9" t="s">
        <v>8</v>
      </c>
    </row>
    <row r="5178" spans="1:5" outlineLevel="1" x14ac:dyDescent="0.25">
      <c r="A5178" s="2"/>
      <c r="B5178" s="6" t="s">
        <v>9886</v>
      </c>
      <c r="C5178" s="8"/>
      <c r="D5178" s="8"/>
      <c r="E5178" s="8"/>
    </row>
    <row r="5179" spans="1:5" ht="15" customHeight="1" outlineLevel="2" x14ac:dyDescent="0.25">
      <c r="A5179" s="3" t="str">
        <f>HYPERLINK("http://mystore1.ru/price_items/search?utf8=%E2%9C%93&amp;oem=5419ACL","5419ACL")</f>
        <v>5419ACL</v>
      </c>
      <c r="B5179" s="1" t="s">
        <v>9887</v>
      </c>
      <c r="C5179" s="9" t="s">
        <v>9888</v>
      </c>
      <c r="D5179" s="14" t="s">
        <v>9889</v>
      </c>
      <c r="E5179" s="9" t="s">
        <v>8</v>
      </c>
    </row>
    <row r="5180" spans="1:5" ht="15" customHeight="1" outlineLevel="2" x14ac:dyDescent="0.25">
      <c r="A5180" s="3" t="str">
        <f>HYPERLINK("http://mystore1.ru/price_items/search?utf8=%E2%9C%93&amp;oem=5419AGNGN","5419AGNGN")</f>
        <v>5419AGNGN</v>
      </c>
      <c r="B5180" s="1" t="s">
        <v>9890</v>
      </c>
      <c r="C5180" s="9" t="s">
        <v>9888</v>
      </c>
      <c r="D5180" s="14" t="s">
        <v>9891</v>
      </c>
      <c r="E5180" s="9" t="s">
        <v>8</v>
      </c>
    </row>
    <row r="5181" spans="1:5" ht="15" customHeight="1" outlineLevel="2" x14ac:dyDescent="0.25">
      <c r="A5181" s="3" t="str">
        <f>HYPERLINK("http://mystore1.ru/price_items/search?utf8=%E2%9C%93&amp;oem=5419ASRV","5419ASRV")</f>
        <v>5419ASRV</v>
      </c>
      <c r="B5181" s="1" t="s">
        <v>9892</v>
      </c>
      <c r="C5181" s="9" t="s">
        <v>25</v>
      </c>
      <c r="D5181" s="14" t="s">
        <v>9893</v>
      </c>
      <c r="E5181" s="9" t="s">
        <v>27</v>
      </c>
    </row>
    <row r="5182" spans="1:5" ht="15" customHeight="1" outlineLevel="2" x14ac:dyDescent="0.25">
      <c r="A5182" s="3" t="str">
        <f>HYPERLINK("http://mystore1.ru/price_items/search?utf8=%E2%9C%93&amp;oem=5419FCLV2FD","5419FCLV2FD")</f>
        <v>5419FCLV2FD</v>
      </c>
      <c r="B5182" s="1" t="s">
        <v>9894</v>
      </c>
      <c r="C5182" s="9" t="s">
        <v>9888</v>
      </c>
      <c r="D5182" s="14" t="s">
        <v>9895</v>
      </c>
      <c r="E5182" s="9" t="s">
        <v>11</v>
      </c>
    </row>
    <row r="5183" spans="1:5" ht="15" customHeight="1" outlineLevel="2" x14ac:dyDescent="0.25">
      <c r="A5183" s="3" t="str">
        <f>HYPERLINK("http://mystore1.ru/price_items/search?utf8=%E2%9C%93&amp;oem=5419FCLV2FV","5419FCLV2FV")</f>
        <v>5419FCLV2FV</v>
      </c>
      <c r="B5183" s="1" t="s">
        <v>9896</v>
      </c>
      <c r="C5183" s="9" t="s">
        <v>9888</v>
      </c>
      <c r="D5183" s="14" t="s">
        <v>9897</v>
      </c>
      <c r="E5183" s="9" t="s">
        <v>11</v>
      </c>
    </row>
    <row r="5184" spans="1:5" outlineLevel="1" x14ac:dyDescent="0.25">
      <c r="A5184" s="2"/>
      <c r="B5184" s="6" t="s">
        <v>9898</v>
      </c>
      <c r="C5184" s="8"/>
      <c r="D5184" s="8"/>
      <c r="E5184" s="8"/>
    </row>
    <row r="5185" spans="1:5" ht="15" customHeight="1" outlineLevel="2" x14ac:dyDescent="0.25">
      <c r="A5185" s="3" t="str">
        <f>HYPERLINK("http://mystore1.ru/price_items/search?utf8=%E2%9C%93&amp;oem=5416ACL","5416ACL")</f>
        <v>5416ACL</v>
      </c>
      <c r="B5185" s="1" t="s">
        <v>9899</v>
      </c>
      <c r="C5185" s="9" t="s">
        <v>9900</v>
      </c>
      <c r="D5185" s="14" t="s">
        <v>9901</v>
      </c>
      <c r="E5185" s="9" t="s">
        <v>8</v>
      </c>
    </row>
    <row r="5186" spans="1:5" ht="15" customHeight="1" outlineLevel="2" x14ac:dyDescent="0.25">
      <c r="A5186" s="3" t="str">
        <f>HYPERLINK("http://mystore1.ru/price_items/search?utf8=%E2%9C%93&amp;oem=5416ACLGN","5416ACLGN")</f>
        <v>5416ACLGN</v>
      </c>
      <c r="B5186" s="1" t="s">
        <v>9902</v>
      </c>
      <c r="C5186" s="9" t="s">
        <v>9900</v>
      </c>
      <c r="D5186" s="14" t="s">
        <v>9903</v>
      </c>
      <c r="E5186" s="9" t="s">
        <v>8</v>
      </c>
    </row>
    <row r="5187" spans="1:5" ht="15" customHeight="1" outlineLevel="2" x14ac:dyDescent="0.25">
      <c r="A5187" s="3" t="str">
        <f>HYPERLINK("http://mystore1.ru/price_items/search?utf8=%E2%9C%93&amp;oem=5416AGN","5416AGN")</f>
        <v>5416AGN</v>
      </c>
      <c r="B5187" s="1" t="s">
        <v>9904</v>
      </c>
      <c r="C5187" s="9" t="s">
        <v>9900</v>
      </c>
      <c r="D5187" s="14" t="s">
        <v>9903</v>
      </c>
      <c r="E5187" s="9" t="s">
        <v>8</v>
      </c>
    </row>
    <row r="5188" spans="1:5" ht="15" customHeight="1" outlineLevel="2" x14ac:dyDescent="0.25">
      <c r="A5188" s="3" t="str">
        <f>HYPERLINK("http://mystore1.ru/price_items/search?utf8=%E2%9C%93&amp;oem=5416AGNGN","5416AGNGN")</f>
        <v>5416AGNGN</v>
      </c>
      <c r="B5188" s="1" t="s">
        <v>9905</v>
      </c>
      <c r="C5188" s="9" t="s">
        <v>9900</v>
      </c>
      <c r="D5188" s="14" t="s">
        <v>9906</v>
      </c>
      <c r="E5188" s="9" t="s">
        <v>8</v>
      </c>
    </row>
    <row r="5189" spans="1:5" ht="15" customHeight="1" outlineLevel="2" x14ac:dyDescent="0.25">
      <c r="A5189" s="3" t="str">
        <f>HYPERLINK("http://mystore1.ru/price_items/search?utf8=%E2%9C%93&amp;oem=5416ASRL","5416ASRL")</f>
        <v>5416ASRL</v>
      </c>
      <c r="B5189" s="1" t="s">
        <v>9907</v>
      </c>
      <c r="C5189" s="9" t="s">
        <v>25</v>
      </c>
      <c r="D5189" s="14" t="s">
        <v>9908</v>
      </c>
      <c r="E5189" s="9" t="s">
        <v>27</v>
      </c>
    </row>
    <row r="5190" spans="1:5" ht="15" customHeight="1" outlineLevel="2" x14ac:dyDescent="0.25">
      <c r="A5190" s="3" t="str">
        <f>HYPERLINK("http://mystore1.ru/price_items/search?utf8=%E2%9C%93&amp;oem=5416FCLL2FD","5416FCLL2FD")</f>
        <v>5416FCLL2FD</v>
      </c>
      <c r="B5190" s="1" t="s">
        <v>9909</v>
      </c>
      <c r="C5190" s="9" t="s">
        <v>9900</v>
      </c>
      <c r="D5190" s="14" t="s">
        <v>9910</v>
      </c>
      <c r="E5190" s="9" t="s">
        <v>11</v>
      </c>
    </row>
    <row r="5191" spans="1:5" outlineLevel="1" x14ac:dyDescent="0.25">
      <c r="A5191" s="2"/>
      <c r="B5191" s="6" t="s">
        <v>9911</v>
      </c>
      <c r="C5191" s="8"/>
      <c r="D5191" s="8"/>
      <c r="E5191" s="8"/>
    </row>
    <row r="5192" spans="1:5" ht="15" customHeight="1" outlineLevel="2" x14ac:dyDescent="0.25">
      <c r="A5192" s="3" t="str">
        <f>HYPERLINK("http://mystore1.ru/price_items/search?utf8=%E2%9C%93&amp;oem=5406ACL","5406ACL")</f>
        <v>5406ACL</v>
      </c>
      <c r="B5192" s="1" t="s">
        <v>9912</v>
      </c>
      <c r="C5192" s="9" t="s">
        <v>9913</v>
      </c>
      <c r="D5192" s="14" t="s">
        <v>9914</v>
      </c>
      <c r="E5192" s="9" t="s">
        <v>8</v>
      </c>
    </row>
    <row r="5193" spans="1:5" ht="15" customHeight="1" outlineLevel="2" x14ac:dyDescent="0.25">
      <c r="A5193" s="3" t="str">
        <f>HYPERLINK("http://mystore1.ru/price_items/search?utf8=%E2%9C%93&amp;oem=5406ASRV","5406ASRV")</f>
        <v>5406ASRV</v>
      </c>
      <c r="B5193" s="1" t="s">
        <v>9915</v>
      </c>
      <c r="C5193" s="9" t="s">
        <v>25</v>
      </c>
      <c r="D5193" s="14" t="s">
        <v>9916</v>
      </c>
      <c r="E5193" s="9" t="s">
        <v>27</v>
      </c>
    </row>
    <row r="5194" spans="1:5" outlineLevel="1" x14ac:dyDescent="0.25">
      <c r="A5194" s="2"/>
      <c r="B5194" s="6" t="s">
        <v>9917</v>
      </c>
      <c r="C5194" s="8"/>
      <c r="D5194" s="8"/>
      <c r="E5194" s="8"/>
    </row>
    <row r="5195" spans="1:5" ht="15" customHeight="1" outlineLevel="2" x14ac:dyDescent="0.25">
      <c r="A5195" s="3" t="str">
        <f>HYPERLINK("http://mystore1.ru/price_items/search?utf8=%E2%9C%93&amp;oem=5412ACL","5412ACL")</f>
        <v>5412ACL</v>
      </c>
      <c r="B5195" s="1" t="s">
        <v>9918</v>
      </c>
      <c r="C5195" s="9" t="s">
        <v>9913</v>
      </c>
      <c r="D5195" s="14" t="s">
        <v>9919</v>
      </c>
      <c r="E5195" s="9" t="s">
        <v>8</v>
      </c>
    </row>
    <row r="5196" spans="1:5" ht="15" customHeight="1" outlineLevel="2" x14ac:dyDescent="0.25">
      <c r="A5196" s="3" t="str">
        <f>HYPERLINK("http://mystore1.ru/price_items/search?utf8=%E2%9C%93&amp;oem=5412ASRV","5412ASRV")</f>
        <v>5412ASRV</v>
      </c>
      <c r="B5196" s="1" t="s">
        <v>9920</v>
      </c>
      <c r="C5196" s="9" t="s">
        <v>25</v>
      </c>
      <c r="D5196" s="14" t="s">
        <v>9921</v>
      </c>
      <c r="E5196" s="9" t="s">
        <v>27</v>
      </c>
    </row>
    <row r="5197" spans="1:5" outlineLevel="1" x14ac:dyDescent="0.25">
      <c r="A5197" s="2"/>
      <c r="B5197" s="6" t="s">
        <v>9922</v>
      </c>
      <c r="C5197" s="7"/>
      <c r="D5197" s="8"/>
      <c r="E5197" s="8"/>
    </row>
    <row r="5198" spans="1:5" ht="15" customHeight="1" outlineLevel="2" x14ac:dyDescent="0.25">
      <c r="A5198" s="3" t="str">
        <f>HYPERLINK("http://mystore1.ru/price_items/search?utf8=%E2%9C%93&amp;oem=5405ACL","5405ACL")</f>
        <v>5405ACL</v>
      </c>
      <c r="B5198" s="1" t="s">
        <v>9923</v>
      </c>
      <c r="C5198" s="9" t="s">
        <v>2629</v>
      </c>
      <c r="D5198" s="14" t="s">
        <v>9924</v>
      </c>
      <c r="E5198" s="9" t="s">
        <v>8</v>
      </c>
    </row>
    <row r="5199" spans="1:5" outlineLevel="1" x14ac:dyDescent="0.25">
      <c r="A5199" s="2"/>
      <c r="B5199" s="6" t="s">
        <v>9925</v>
      </c>
      <c r="C5199" s="8"/>
      <c r="D5199" s="8"/>
      <c r="E5199" s="8"/>
    </row>
    <row r="5200" spans="1:5" ht="15" customHeight="1" outlineLevel="2" x14ac:dyDescent="0.25">
      <c r="A5200" s="3" t="str">
        <f>HYPERLINK("http://mystore1.ru/price_items/search?utf8=%E2%9C%93&amp;oem=5424ACL","5424ACL")</f>
        <v>5424ACL</v>
      </c>
      <c r="B5200" s="1" t="s">
        <v>9926</v>
      </c>
      <c r="C5200" s="9" t="s">
        <v>738</v>
      </c>
      <c r="D5200" s="14" t="s">
        <v>9927</v>
      </c>
      <c r="E5200" s="9" t="s">
        <v>8</v>
      </c>
    </row>
    <row r="5201" spans="1:5" ht="15" customHeight="1" outlineLevel="2" x14ac:dyDescent="0.25">
      <c r="A5201" s="3" t="str">
        <f>HYPERLINK("http://mystore1.ru/price_items/search?utf8=%E2%9C%93&amp;oem=5424AGNBL","5424AGNBL")</f>
        <v>5424AGNBL</v>
      </c>
      <c r="B5201" s="1" t="s">
        <v>9928</v>
      </c>
      <c r="C5201" s="9" t="s">
        <v>738</v>
      </c>
      <c r="D5201" s="14" t="s">
        <v>9929</v>
      </c>
      <c r="E5201" s="9" t="s">
        <v>8</v>
      </c>
    </row>
    <row r="5202" spans="1:5" ht="15" customHeight="1" outlineLevel="2" x14ac:dyDescent="0.25">
      <c r="A5202" s="3" t="str">
        <f>HYPERLINK("http://mystore1.ru/price_items/search?utf8=%E2%9C%93&amp;oem=5424ASRL","5424ASRL")</f>
        <v>5424ASRL</v>
      </c>
      <c r="B5202" s="1" t="s">
        <v>9930</v>
      </c>
      <c r="C5202" s="9" t="s">
        <v>25</v>
      </c>
      <c r="D5202" s="14" t="s">
        <v>9931</v>
      </c>
      <c r="E5202" s="9" t="s">
        <v>27</v>
      </c>
    </row>
    <row r="5203" spans="1:5" outlineLevel="1" x14ac:dyDescent="0.25">
      <c r="A5203" s="2"/>
      <c r="B5203" s="6" t="s">
        <v>9932</v>
      </c>
      <c r="C5203" s="8"/>
      <c r="D5203" s="8"/>
      <c r="E5203" s="8"/>
    </row>
    <row r="5204" spans="1:5" ht="15" customHeight="1" outlineLevel="2" x14ac:dyDescent="0.25">
      <c r="A5204" s="3" t="str">
        <f>HYPERLINK("http://mystore1.ru/price_items/search?utf8=%E2%9C%93&amp;oem=5422ACL","5422ACL")</f>
        <v>5422ACL</v>
      </c>
      <c r="B5204" s="1" t="s">
        <v>9933</v>
      </c>
      <c r="C5204" s="9" t="s">
        <v>8745</v>
      </c>
      <c r="D5204" s="14" t="s">
        <v>9934</v>
      </c>
      <c r="E5204" s="9" t="s">
        <v>8</v>
      </c>
    </row>
    <row r="5205" spans="1:5" ht="15" customHeight="1" outlineLevel="2" x14ac:dyDescent="0.25">
      <c r="A5205" s="3" t="str">
        <f>HYPERLINK("http://mystore1.ru/price_items/search?utf8=%E2%9C%93&amp;oem=5422AGNGN","5422AGNGN")</f>
        <v>5422AGNGN</v>
      </c>
      <c r="B5205" s="1" t="s">
        <v>9935</v>
      </c>
      <c r="C5205" s="9" t="s">
        <v>8745</v>
      </c>
      <c r="D5205" s="14" t="s">
        <v>9936</v>
      </c>
      <c r="E5205" s="9" t="s">
        <v>8</v>
      </c>
    </row>
    <row r="5206" spans="1:5" ht="15" customHeight="1" outlineLevel="2" x14ac:dyDescent="0.25">
      <c r="A5206" s="3" t="str">
        <f>HYPERLINK("http://mystore1.ru/price_items/search?utf8=%E2%9C%93&amp;oem=5422ASRL","5422ASRL")</f>
        <v>5422ASRL</v>
      </c>
      <c r="B5206" s="1" t="s">
        <v>9937</v>
      </c>
      <c r="C5206" s="9" t="s">
        <v>25</v>
      </c>
      <c r="D5206" s="14" t="s">
        <v>9938</v>
      </c>
      <c r="E5206" s="9" t="s">
        <v>27</v>
      </c>
    </row>
    <row r="5207" spans="1:5" ht="15" customHeight="1" outlineLevel="2" x14ac:dyDescent="0.25">
      <c r="A5207" s="3" t="str">
        <f>HYPERLINK("http://mystore1.ru/price_items/search?utf8=%E2%9C%93&amp;oem=5422FCLV2FD","5422FCLV2FD")</f>
        <v>5422FCLV2FD</v>
      </c>
      <c r="B5207" s="1" t="s">
        <v>9939</v>
      </c>
      <c r="C5207" s="9" t="s">
        <v>8745</v>
      </c>
      <c r="D5207" s="14" t="s">
        <v>9940</v>
      </c>
      <c r="E5207" s="9" t="s">
        <v>11</v>
      </c>
    </row>
    <row r="5208" spans="1:5" outlineLevel="1" x14ac:dyDescent="0.25">
      <c r="A5208" s="2"/>
      <c r="B5208" s="6" t="s">
        <v>9941</v>
      </c>
      <c r="C5208" s="8"/>
      <c r="D5208" s="8"/>
      <c r="E5208" s="8"/>
    </row>
    <row r="5209" spans="1:5" ht="15" customHeight="1" outlineLevel="2" x14ac:dyDescent="0.25">
      <c r="A5209" s="3" t="str">
        <f>HYPERLINK("http://mystore1.ru/price_items/search?utf8=%E2%9C%93&amp;oem=5429ACL","5429ACL")</f>
        <v>5429ACL</v>
      </c>
      <c r="B5209" s="1" t="s">
        <v>9942</v>
      </c>
      <c r="C5209" s="9" t="s">
        <v>1804</v>
      </c>
      <c r="D5209" s="14" t="s">
        <v>9943</v>
      </c>
      <c r="E5209" s="9" t="s">
        <v>8</v>
      </c>
    </row>
    <row r="5210" spans="1:5" ht="15" customHeight="1" outlineLevel="2" x14ac:dyDescent="0.25">
      <c r="A5210" s="3" t="str">
        <f>HYPERLINK("http://mystore1.ru/price_items/search?utf8=%E2%9C%93&amp;oem=5429AGN","5429AGN")</f>
        <v>5429AGN</v>
      </c>
      <c r="B5210" s="1" t="s">
        <v>9944</v>
      </c>
      <c r="C5210" s="9" t="s">
        <v>1804</v>
      </c>
      <c r="D5210" s="14" t="s">
        <v>9945</v>
      </c>
      <c r="E5210" s="9" t="s">
        <v>8</v>
      </c>
    </row>
    <row r="5211" spans="1:5" ht="15" customHeight="1" outlineLevel="2" x14ac:dyDescent="0.25">
      <c r="A5211" s="3" t="str">
        <f>HYPERLINK("http://mystore1.ru/price_items/search?utf8=%E2%9C%93&amp;oem=5429AGNGN","5429AGNGN")</f>
        <v>5429AGNGN</v>
      </c>
      <c r="B5211" s="1" t="s">
        <v>9946</v>
      </c>
      <c r="C5211" s="9" t="s">
        <v>1804</v>
      </c>
      <c r="D5211" s="14" t="s">
        <v>9947</v>
      </c>
      <c r="E5211" s="9" t="s">
        <v>8</v>
      </c>
    </row>
    <row r="5212" spans="1:5" ht="15" customHeight="1" outlineLevel="2" x14ac:dyDescent="0.25">
      <c r="A5212" s="3" t="str">
        <f>HYPERLINK("http://mystore1.ru/price_items/search?utf8=%E2%9C%93&amp;oem=5429ASRL","5429ASRL")</f>
        <v>5429ASRL</v>
      </c>
      <c r="B5212" s="1" t="s">
        <v>9948</v>
      </c>
      <c r="C5212" s="9" t="s">
        <v>25</v>
      </c>
      <c r="D5212" s="14" t="s">
        <v>9949</v>
      </c>
      <c r="E5212" s="9" t="s">
        <v>27</v>
      </c>
    </row>
    <row r="5213" spans="1:5" ht="15" customHeight="1" outlineLevel="2" x14ac:dyDescent="0.25">
      <c r="A5213" s="3" t="str">
        <f>HYPERLINK("http://mystore1.ru/price_items/search?utf8=%E2%9C%93&amp;oem=5429LCLL2FD","5429LCLL2FD")</f>
        <v>5429LCLL2FD</v>
      </c>
      <c r="B5213" s="1" t="s">
        <v>9950</v>
      </c>
      <c r="C5213" s="9" t="s">
        <v>1804</v>
      </c>
      <c r="D5213" s="14" t="s">
        <v>9951</v>
      </c>
      <c r="E5213" s="9" t="s">
        <v>11</v>
      </c>
    </row>
    <row r="5214" spans="1:5" ht="15" customHeight="1" outlineLevel="2" x14ac:dyDescent="0.25">
      <c r="A5214" s="3" t="str">
        <f>HYPERLINK("http://mystore1.ru/price_items/search?utf8=%E2%9C%93&amp;oem=5429LGNL2FD","5429LGNL2FD")</f>
        <v>5429LGNL2FD</v>
      </c>
      <c r="B5214" s="1" t="s">
        <v>9952</v>
      </c>
      <c r="C5214" s="9" t="s">
        <v>1804</v>
      </c>
      <c r="D5214" s="14" t="s">
        <v>9953</v>
      </c>
      <c r="E5214" s="9" t="s">
        <v>11</v>
      </c>
    </row>
    <row r="5215" spans="1:5" ht="15" customHeight="1" outlineLevel="2" x14ac:dyDescent="0.25">
      <c r="A5215" s="3" t="str">
        <f>HYPERLINK("http://mystore1.ru/price_items/search?utf8=%E2%9C%93&amp;oem=5429RCLL2FD","5429RCLL2FD")</f>
        <v>5429RCLL2FD</v>
      </c>
      <c r="B5215" s="1" t="s">
        <v>9954</v>
      </c>
      <c r="C5215" s="9" t="s">
        <v>1804</v>
      </c>
      <c r="D5215" s="14" t="s">
        <v>9955</v>
      </c>
      <c r="E5215" s="9" t="s">
        <v>11</v>
      </c>
    </row>
    <row r="5216" spans="1:5" ht="15" customHeight="1" outlineLevel="2" x14ac:dyDescent="0.25">
      <c r="A5216" s="3" t="str">
        <f>HYPERLINK("http://mystore1.ru/price_items/search?utf8=%E2%9C%93&amp;oem=5429RGNL2FD","5429RGNL2FD")</f>
        <v>5429RGNL2FD</v>
      </c>
      <c r="B5216" s="1" t="s">
        <v>9956</v>
      </c>
      <c r="C5216" s="9" t="s">
        <v>1804</v>
      </c>
      <c r="D5216" s="14" t="s">
        <v>9957</v>
      </c>
      <c r="E5216" s="9" t="s">
        <v>11</v>
      </c>
    </row>
    <row r="5217" spans="1:5" ht="15" customHeight="1" outlineLevel="2" x14ac:dyDescent="0.25">
      <c r="A5217" s="3" t="str">
        <f>HYPERLINK("http://mystore1.ru/price_items/search?utf8=%E2%9C%93&amp;oem=5429RGNL2FDW","5429RGNL2FDW")</f>
        <v>5429RGNL2FDW</v>
      </c>
      <c r="B5217" s="1" t="s">
        <v>9958</v>
      </c>
      <c r="C5217" s="9" t="s">
        <v>1804</v>
      </c>
      <c r="D5217" s="14" t="s">
        <v>9959</v>
      </c>
      <c r="E5217" s="9" t="s">
        <v>11</v>
      </c>
    </row>
    <row r="5218" spans="1:5" outlineLevel="1" x14ac:dyDescent="0.25">
      <c r="A5218" s="2"/>
      <c r="B5218" s="6" t="s">
        <v>9960</v>
      </c>
      <c r="C5218" s="8"/>
      <c r="D5218" s="8"/>
      <c r="E5218" s="8"/>
    </row>
    <row r="5219" spans="1:5" ht="15" customHeight="1" outlineLevel="2" x14ac:dyDescent="0.25">
      <c r="A5219" s="3" t="str">
        <f>HYPERLINK("http://mystore1.ru/price_items/search?utf8=%E2%9C%93&amp;oem=5430ACL","5430ACL")</f>
        <v>5430ACL</v>
      </c>
      <c r="B5219" s="1" t="s">
        <v>9961</v>
      </c>
      <c r="C5219" s="9" t="s">
        <v>3126</v>
      </c>
      <c r="D5219" s="14" t="s">
        <v>9962</v>
      </c>
      <c r="E5219" s="9" t="s">
        <v>8</v>
      </c>
    </row>
    <row r="5220" spans="1:5" ht="15" customHeight="1" outlineLevel="2" x14ac:dyDescent="0.25">
      <c r="A5220" s="3" t="str">
        <f>HYPERLINK("http://mystore1.ru/price_items/search?utf8=%E2%9C%93&amp;oem=5430AGN","5430AGN")</f>
        <v>5430AGN</v>
      </c>
      <c r="B5220" s="1" t="s">
        <v>9963</v>
      </c>
      <c r="C5220" s="9" t="s">
        <v>3126</v>
      </c>
      <c r="D5220" s="14" t="s">
        <v>9964</v>
      </c>
      <c r="E5220" s="9" t="s">
        <v>8</v>
      </c>
    </row>
    <row r="5221" spans="1:5" ht="15" customHeight="1" outlineLevel="2" x14ac:dyDescent="0.25">
      <c r="A5221" s="3" t="str">
        <f>HYPERLINK("http://mystore1.ru/price_items/search?utf8=%E2%9C%93&amp;oem=5430ACL1A","5430ACL1A")</f>
        <v>5430ACL1A</v>
      </c>
      <c r="B5221" s="1" t="s">
        <v>9965</v>
      </c>
      <c r="C5221" s="9" t="s">
        <v>3126</v>
      </c>
      <c r="D5221" s="14" t="s">
        <v>9962</v>
      </c>
      <c r="E5221" s="9" t="s">
        <v>8</v>
      </c>
    </row>
    <row r="5222" spans="1:5" ht="15" customHeight="1" outlineLevel="2" x14ac:dyDescent="0.25">
      <c r="A5222" s="3" t="str">
        <f>HYPERLINK("http://mystore1.ru/price_items/search?utf8=%E2%9C%93&amp;oem=5430AGN1A","5430AGN1A")</f>
        <v>5430AGN1A</v>
      </c>
      <c r="B5222" s="1" t="s">
        <v>9966</v>
      </c>
      <c r="C5222" s="9" t="s">
        <v>3126</v>
      </c>
      <c r="D5222" s="14" t="s">
        <v>9967</v>
      </c>
      <c r="E5222" s="9" t="s">
        <v>8</v>
      </c>
    </row>
    <row r="5223" spans="1:5" ht="15" customHeight="1" outlineLevel="2" x14ac:dyDescent="0.25">
      <c r="A5223" s="3" t="str">
        <f>HYPERLINK("http://mystore1.ru/price_items/search?utf8=%E2%9C%93&amp;oem=5430AGNGN1A","5430AGNGN1A")</f>
        <v>5430AGNGN1A</v>
      </c>
      <c r="B5223" s="1" t="s">
        <v>9968</v>
      </c>
      <c r="C5223" s="9" t="s">
        <v>1403</v>
      </c>
      <c r="D5223" s="14" t="s">
        <v>9969</v>
      </c>
      <c r="E5223" s="9" t="s">
        <v>8</v>
      </c>
    </row>
    <row r="5224" spans="1:5" ht="15" customHeight="1" outlineLevel="2" x14ac:dyDescent="0.25">
      <c r="A5224" s="3" t="str">
        <f>HYPERLINK("http://mystore1.ru/price_items/search?utf8=%E2%9C%93&amp;oem=5430AKML","5430AKML")</f>
        <v>5430AKML</v>
      </c>
      <c r="B5224" s="1" t="s">
        <v>9970</v>
      </c>
      <c r="C5224" s="9" t="s">
        <v>25</v>
      </c>
      <c r="D5224" s="14" t="s">
        <v>9971</v>
      </c>
      <c r="E5224" s="9" t="s">
        <v>27</v>
      </c>
    </row>
    <row r="5225" spans="1:5" ht="15" customHeight="1" outlineLevel="2" x14ac:dyDescent="0.25">
      <c r="A5225" s="3" t="str">
        <f>HYPERLINK("http://mystore1.ru/price_items/search?utf8=%E2%9C%93&amp;oem=5430ASML","5430ASML")</f>
        <v>5430ASML</v>
      </c>
      <c r="B5225" s="1" t="s">
        <v>9972</v>
      </c>
      <c r="C5225" s="9" t="s">
        <v>25</v>
      </c>
      <c r="D5225" s="14" t="s">
        <v>9973</v>
      </c>
      <c r="E5225" s="9" t="s">
        <v>27</v>
      </c>
    </row>
    <row r="5226" spans="1:5" ht="15" customHeight="1" outlineLevel="2" x14ac:dyDescent="0.25">
      <c r="A5226" s="3" t="str">
        <f>HYPERLINK("http://mystore1.ru/price_items/search?utf8=%E2%9C%93&amp;oem=5430LCLL2FD","5430LCLL2FD")</f>
        <v>5430LCLL2FD</v>
      </c>
      <c r="B5226" s="1" t="s">
        <v>9974</v>
      </c>
      <c r="C5226" s="9" t="s">
        <v>3126</v>
      </c>
      <c r="D5226" s="14" t="s">
        <v>9975</v>
      </c>
      <c r="E5226" s="9" t="s">
        <v>11</v>
      </c>
    </row>
    <row r="5227" spans="1:5" ht="15" customHeight="1" outlineLevel="2" x14ac:dyDescent="0.25">
      <c r="A5227" s="3" t="str">
        <f>HYPERLINK("http://mystore1.ru/price_items/search?utf8=%E2%9C%93&amp;oem=5430LGNL2FD","5430LGNL2FD")</f>
        <v>5430LGNL2FD</v>
      </c>
      <c r="B5227" s="1" t="s">
        <v>9976</v>
      </c>
      <c r="C5227" s="9" t="s">
        <v>3126</v>
      </c>
      <c r="D5227" s="14" t="s">
        <v>9977</v>
      </c>
      <c r="E5227" s="9" t="s">
        <v>11</v>
      </c>
    </row>
    <row r="5228" spans="1:5" ht="15" customHeight="1" outlineLevel="2" x14ac:dyDescent="0.25">
      <c r="A5228" s="3" t="str">
        <f>HYPERLINK("http://mystore1.ru/price_items/search?utf8=%E2%9C%93&amp;oem=5430RCLL2FD","5430RCLL2FD")</f>
        <v>5430RCLL2FD</v>
      </c>
      <c r="B5228" s="1" t="s">
        <v>9978</v>
      </c>
      <c r="C5228" s="9" t="s">
        <v>3126</v>
      </c>
      <c r="D5228" s="14" t="s">
        <v>9979</v>
      </c>
      <c r="E5228" s="9" t="s">
        <v>11</v>
      </c>
    </row>
    <row r="5229" spans="1:5" ht="15" customHeight="1" outlineLevel="2" x14ac:dyDescent="0.25">
      <c r="A5229" s="3" t="str">
        <f>HYPERLINK("http://mystore1.ru/price_items/search?utf8=%E2%9C%93&amp;oem=5430RGNL2FD","5430RGNL2FD")</f>
        <v>5430RGNL2FD</v>
      </c>
      <c r="B5229" s="1" t="s">
        <v>9980</v>
      </c>
      <c r="C5229" s="9" t="s">
        <v>3126</v>
      </c>
      <c r="D5229" s="14" t="s">
        <v>9981</v>
      </c>
      <c r="E5229" s="9" t="s">
        <v>11</v>
      </c>
    </row>
    <row r="5230" spans="1:5" outlineLevel="1" x14ac:dyDescent="0.25">
      <c r="A5230" s="2"/>
      <c r="B5230" s="6" t="s">
        <v>9982</v>
      </c>
      <c r="C5230" s="8"/>
      <c r="D5230" s="8"/>
      <c r="E5230" s="8"/>
    </row>
    <row r="5231" spans="1:5" ht="15" customHeight="1" outlineLevel="2" x14ac:dyDescent="0.25">
      <c r="A5231" s="3" t="str">
        <f>HYPERLINK("http://mystore1.ru/price_items/search?utf8=%E2%9C%93&amp;oem=5423ACL","5423ACL")</f>
        <v>5423ACL</v>
      </c>
      <c r="B5231" s="1" t="s">
        <v>9983</v>
      </c>
      <c r="C5231" s="9" t="s">
        <v>4207</v>
      </c>
      <c r="D5231" s="14" t="s">
        <v>9984</v>
      </c>
      <c r="E5231" s="9" t="s">
        <v>8</v>
      </c>
    </row>
    <row r="5232" spans="1:5" ht="15" customHeight="1" outlineLevel="2" x14ac:dyDescent="0.25">
      <c r="A5232" s="3" t="str">
        <f>HYPERLINK("http://mystore1.ru/price_items/search?utf8=%E2%9C%93&amp;oem=5423AGNGN","5423AGNGN")</f>
        <v>5423AGNGN</v>
      </c>
      <c r="B5232" s="1" t="s">
        <v>9985</v>
      </c>
      <c r="C5232" s="9" t="s">
        <v>4207</v>
      </c>
      <c r="D5232" s="14" t="s">
        <v>9986</v>
      </c>
      <c r="E5232" s="9" t="s">
        <v>8</v>
      </c>
    </row>
    <row r="5233" spans="1:5" ht="15" customHeight="1" outlineLevel="2" x14ac:dyDescent="0.25">
      <c r="A5233" s="3" t="str">
        <f>HYPERLINK("http://mystore1.ru/price_items/search?utf8=%E2%9C%93&amp;oem=5423LCLV2FD","5423LCLV2FD")</f>
        <v>5423LCLV2FD</v>
      </c>
      <c r="B5233" s="1" t="s">
        <v>9987</v>
      </c>
      <c r="C5233" s="9" t="s">
        <v>4207</v>
      </c>
      <c r="D5233" s="14" t="s">
        <v>9988</v>
      </c>
      <c r="E5233" s="9" t="s">
        <v>11</v>
      </c>
    </row>
    <row r="5234" spans="1:5" ht="15" customHeight="1" outlineLevel="2" x14ac:dyDescent="0.25">
      <c r="A5234" s="3" t="str">
        <f>HYPERLINK("http://mystore1.ru/price_items/search?utf8=%E2%9C%93&amp;oem=5423RCLV2FD","5423RCLV2FD")</f>
        <v>5423RCLV2FD</v>
      </c>
      <c r="B5234" s="1" t="s">
        <v>9989</v>
      </c>
      <c r="C5234" s="9" t="s">
        <v>4207</v>
      </c>
      <c r="D5234" s="14" t="s">
        <v>9990</v>
      </c>
      <c r="E5234" s="9" t="s">
        <v>11</v>
      </c>
    </row>
    <row r="5235" spans="1:5" outlineLevel="1" x14ac:dyDescent="0.25">
      <c r="A5235" s="2"/>
      <c r="B5235" s="6" t="s">
        <v>9991</v>
      </c>
      <c r="C5235" s="8"/>
      <c r="D5235" s="8"/>
      <c r="E5235" s="8"/>
    </row>
    <row r="5236" spans="1:5" ht="15" customHeight="1" outlineLevel="2" x14ac:dyDescent="0.25">
      <c r="A5236" s="3" t="str">
        <f>HYPERLINK("http://mystore1.ru/price_items/search?utf8=%E2%9C%93&amp;oem=5425ACL","5425ACL")</f>
        <v>5425ACL</v>
      </c>
      <c r="B5236" s="1" t="s">
        <v>9992</v>
      </c>
      <c r="C5236" s="9" t="s">
        <v>9993</v>
      </c>
      <c r="D5236" s="14" t="s">
        <v>9994</v>
      </c>
      <c r="E5236" s="9" t="s">
        <v>8</v>
      </c>
    </row>
    <row r="5237" spans="1:5" ht="15" customHeight="1" outlineLevel="2" x14ac:dyDescent="0.25">
      <c r="A5237" s="3" t="str">
        <f>HYPERLINK("http://mystore1.ru/price_items/search?utf8=%E2%9C%93&amp;oem=5425ASRL","5425ASRL")</f>
        <v>5425ASRL</v>
      </c>
      <c r="B5237" s="1" t="s">
        <v>9995</v>
      </c>
      <c r="C5237" s="9" t="s">
        <v>25</v>
      </c>
      <c r="D5237" s="14" t="s">
        <v>9996</v>
      </c>
      <c r="E5237" s="9" t="s">
        <v>27</v>
      </c>
    </row>
    <row r="5238" spans="1:5" outlineLevel="1" x14ac:dyDescent="0.25">
      <c r="A5238" s="2"/>
      <c r="B5238" s="6" t="s">
        <v>9997</v>
      </c>
      <c r="C5238" s="8"/>
      <c r="D5238" s="8"/>
      <c r="E5238" s="8"/>
    </row>
    <row r="5239" spans="1:5" ht="15" customHeight="1" outlineLevel="2" x14ac:dyDescent="0.25">
      <c r="A5239" s="3" t="str">
        <f>HYPERLINK("http://mystore1.ru/price_items/search?utf8=%E2%9C%93&amp;oem=5427ACL","5427ACL")</f>
        <v>5427ACL</v>
      </c>
      <c r="B5239" s="1" t="s">
        <v>9998</v>
      </c>
      <c r="C5239" s="9" t="s">
        <v>2655</v>
      </c>
      <c r="D5239" s="14" t="s">
        <v>9999</v>
      </c>
      <c r="E5239" s="9" t="s">
        <v>8</v>
      </c>
    </row>
    <row r="5240" spans="1:5" ht="15" customHeight="1" outlineLevel="2" x14ac:dyDescent="0.25">
      <c r="A5240" s="3" t="str">
        <f>HYPERLINK("http://mystore1.ru/price_items/search?utf8=%E2%9C%93&amp;oem=5427ACL1C","5427ACL1C")</f>
        <v>5427ACL1C</v>
      </c>
      <c r="B5240" s="1" t="s">
        <v>10000</v>
      </c>
      <c r="C5240" s="9" t="s">
        <v>2655</v>
      </c>
      <c r="D5240" s="14" t="s">
        <v>10001</v>
      </c>
      <c r="E5240" s="9" t="s">
        <v>8</v>
      </c>
    </row>
    <row r="5241" spans="1:5" ht="15" customHeight="1" outlineLevel="2" x14ac:dyDescent="0.25">
      <c r="A5241" s="3" t="str">
        <f>HYPERLINK("http://mystore1.ru/price_items/search?utf8=%E2%9C%93&amp;oem=5427AGN","5427AGN")</f>
        <v>5427AGN</v>
      </c>
      <c r="B5241" s="1" t="s">
        <v>10002</v>
      </c>
      <c r="C5241" s="9" t="s">
        <v>2655</v>
      </c>
      <c r="D5241" s="14" t="s">
        <v>10003</v>
      </c>
      <c r="E5241" s="9" t="s">
        <v>8</v>
      </c>
    </row>
    <row r="5242" spans="1:5" ht="15" customHeight="1" outlineLevel="2" x14ac:dyDescent="0.25">
      <c r="A5242" s="3" t="str">
        <f>HYPERLINK("http://mystore1.ru/price_items/search?utf8=%E2%9C%93&amp;oem=5427AGN1C","5427AGN1C")</f>
        <v>5427AGN1C</v>
      </c>
      <c r="B5242" s="1" t="s">
        <v>10004</v>
      </c>
      <c r="C5242" s="9" t="s">
        <v>2655</v>
      </c>
      <c r="D5242" s="14" t="s">
        <v>10005</v>
      </c>
      <c r="E5242" s="9" t="s">
        <v>8</v>
      </c>
    </row>
    <row r="5243" spans="1:5" ht="15" customHeight="1" outlineLevel="2" x14ac:dyDescent="0.25">
      <c r="A5243" s="3" t="str">
        <f>HYPERLINK("http://mystore1.ru/price_items/search?utf8=%E2%9C%93&amp;oem=5427AGNGN","5427AGNGN")</f>
        <v>5427AGNGN</v>
      </c>
      <c r="B5243" s="1" t="s">
        <v>10006</v>
      </c>
      <c r="C5243" s="9" t="s">
        <v>2655</v>
      </c>
      <c r="D5243" s="14" t="s">
        <v>10007</v>
      </c>
      <c r="E5243" s="9" t="s">
        <v>8</v>
      </c>
    </row>
    <row r="5244" spans="1:5" ht="15" customHeight="1" outlineLevel="2" x14ac:dyDescent="0.25">
      <c r="A5244" s="3" t="str">
        <f>HYPERLINK("http://mystore1.ru/price_items/search?utf8=%E2%9C%93&amp;oem=5427AGNGN1C","5427AGNGN1C")</f>
        <v>5427AGNGN1C</v>
      </c>
      <c r="B5244" s="1" t="s">
        <v>10008</v>
      </c>
      <c r="C5244" s="9" t="s">
        <v>2655</v>
      </c>
      <c r="D5244" s="14" t="s">
        <v>10009</v>
      </c>
      <c r="E5244" s="9" t="s">
        <v>8</v>
      </c>
    </row>
    <row r="5245" spans="1:5" ht="15" customHeight="1" outlineLevel="2" x14ac:dyDescent="0.25">
      <c r="A5245" s="3" t="str">
        <f>HYPERLINK("http://mystore1.ru/price_items/search?utf8=%E2%9C%93&amp;oem=5427ASMV","5427ASMV")</f>
        <v>5427ASMV</v>
      </c>
      <c r="B5245" s="1" t="s">
        <v>10010</v>
      </c>
      <c r="C5245" s="9" t="s">
        <v>25</v>
      </c>
      <c r="D5245" s="14" t="s">
        <v>10011</v>
      </c>
      <c r="E5245" s="9" t="s">
        <v>27</v>
      </c>
    </row>
    <row r="5246" spans="1:5" ht="15" customHeight="1" outlineLevel="2" x14ac:dyDescent="0.25">
      <c r="A5246" s="3" t="str">
        <f>HYPERLINK("http://mystore1.ru/price_items/search?utf8=%E2%9C%93&amp;oem=5427BCLVL","5427BCLVL")</f>
        <v>5427BCLVL</v>
      </c>
      <c r="B5246" s="1" t="s">
        <v>10012</v>
      </c>
      <c r="C5246" s="9" t="s">
        <v>2655</v>
      </c>
      <c r="D5246" s="14" t="s">
        <v>10013</v>
      </c>
      <c r="E5246" s="9" t="s">
        <v>30</v>
      </c>
    </row>
    <row r="5247" spans="1:5" ht="15" customHeight="1" outlineLevel="2" x14ac:dyDescent="0.25">
      <c r="A5247" s="3" t="str">
        <f>HYPERLINK("http://mystore1.ru/price_items/search?utf8=%E2%9C%93&amp;oem=5427BCLVR","5427BCLVR")</f>
        <v>5427BCLVR</v>
      </c>
      <c r="B5247" s="1" t="s">
        <v>10014</v>
      </c>
      <c r="C5247" s="9" t="s">
        <v>2655</v>
      </c>
      <c r="D5247" s="14" t="s">
        <v>10015</v>
      </c>
      <c r="E5247" s="9" t="s">
        <v>30</v>
      </c>
    </row>
    <row r="5248" spans="1:5" ht="15" customHeight="1" outlineLevel="2" x14ac:dyDescent="0.25">
      <c r="A5248" s="3" t="str">
        <f>HYPERLINK("http://mystore1.ru/price_items/search?utf8=%E2%9C%93&amp;oem=5427BCLVRU","5427BCLVRU")</f>
        <v>5427BCLVRU</v>
      </c>
      <c r="B5248" s="1" t="s">
        <v>10016</v>
      </c>
      <c r="C5248" s="9" t="s">
        <v>2655</v>
      </c>
      <c r="D5248" s="14" t="s">
        <v>10017</v>
      </c>
      <c r="E5248" s="9" t="s">
        <v>30</v>
      </c>
    </row>
    <row r="5249" spans="1:5" ht="15" customHeight="1" outlineLevel="2" x14ac:dyDescent="0.25">
      <c r="A5249" s="3" t="str">
        <f>HYPERLINK("http://mystore1.ru/price_items/search?utf8=%E2%9C%93&amp;oem=5427BGNVL","5427BGNVL")</f>
        <v>5427BGNVL</v>
      </c>
      <c r="B5249" s="1" t="s">
        <v>10018</v>
      </c>
      <c r="C5249" s="9" t="s">
        <v>2655</v>
      </c>
      <c r="D5249" s="14" t="s">
        <v>10019</v>
      </c>
      <c r="E5249" s="9" t="s">
        <v>30</v>
      </c>
    </row>
    <row r="5250" spans="1:5" ht="15" customHeight="1" outlineLevel="2" x14ac:dyDescent="0.25">
      <c r="A5250" s="3" t="str">
        <f>HYPERLINK("http://mystore1.ru/price_items/search?utf8=%E2%9C%93&amp;oem=5427BGNVR","5427BGNVR")</f>
        <v>5427BGNVR</v>
      </c>
      <c r="B5250" s="1" t="s">
        <v>10020</v>
      </c>
      <c r="C5250" s="9" t="s">
        <v>2655</v>
      </c>
      <c r="D5250" s="14" t="s">
        <v>10021</v>
      </c>
      <c r="E5250" s="9" t="s">
        <v>30</v>
      </c>
    </row>
    <row r="5251" spans="1:5" ht="15" customHeight="1" outlineLevel="2" x14ac:dyDescent="0.25">
      <c r="A5251" s="3" t="str">
        <f>HYPERLINK("http://mystore1.ru/price_items/search?utf8=%E2%9C%93&amp;oem=5427FCLV2RQ","5427FCLV2RQ")</f>
        <v>5427FCLV2RQ</v>
      </c>
      <c r="B5251" s="1" t="s">
        <v>10022</v>
      </c>
      <c r="C5251" s="9" t="s">
        <v>2655</v>
      </c>
      <c r="D5251" s="14" t="s">
        <v>10023</v>
      </c>
      <c r="E5251" s="9" t="s">
        <v>11</v>
      </c>
    </row>
    <row r="5252" spans="1:5" ht="15" customHeight="1" outlineLevel="2" x14ac:dyDescent="0.25">
      <c r="A5252" s="3" t="str">
        <f>HYPERLINK("http://mystore1.ru/price_items/search?utf8=%E2%9C%93&amp;oem=5427LCLV2FD","5427LCLV2FD")</f>
        <v>5427LCLV2FD</v>
      </c>
      <c r="B5252" s="1" t="s">
        <v>10024</v>
      </c>
      <c r="C5252" s="9" t="s">
        <v>2655</v>
      </c>
      <c r="D5252" s="14" t="s">
        <v>10025</v>
      </c>
      <c r="E5252" s="9" t="s">
        <v>11</v>
      </c>
    </row>
    <row r="5253" spans="1:5" ht="15" customHeight="1" outlineLevel="2" x14ac:dyDescent="0.25">
      <c r="A5253" s="3" t="str">
        <f>HYPERLINK("http://mystore1.ru/price_items/search?utf8=%E2%9C%93&amp;oem=5427LCLV2FV","5427LCLV2FV")</f>
        <v>5427LCLV2FV</v>
      </c>
      <c r="B5253" s="1" t="s">
        <v>10026</v>
      </c>
      <c r="C5253" s="9" t="s">
        <v>2655</v>
      </c>
      <c r="D5253" s="14" t="s">
        <v>10027</v>
      </c>
      <c r="E5253" s="9" t="s">
        <v>11</v>
      </c>
    </row>
    <row r="5254" spans="1:5" ht="15" customHeight="1" outlineLevel="2" x14ac:dyDescent="0.25">
      <c r="A5254" s="3" t="str">
        <f>HYPERLINK("http://mystore1.ru/price_items/search?utf8=%E2%9C%93&amp;oem=5427LGNV2FD","5427LGNV2FD")</f>
        <v>5427LGNV2FD</v>
      </c>
      <c r="B5254" s="1" t="s">
        <v>10028</v>
      </c>
      <c r="C5254" s="9" t="s">
        <v>2655</v>
      </c>
      <c r="D5254" s="14" t="s">
        <v>10029</v>
      </c>
      <c r="E5254" s="9" t="s">
        <v>11</v>
      </c>
    </row>
    <row r="5255" spans="1:5" ht="15" customHeight="1" outlineLevel="2" x14ac:dyDescent="0.25">
      <c r="A5255" s="3" t="str">
        <f>HYPERLINK("http://mystore1.ru/price_items/search?utf8=%E2%9C%93&amp;oem=5427LGNV2FV","5427LGNV2FV")</f>
        <v>5427LGNV2FV</v>
      </c>
      <c r="B5255" s="1" t="s">
        <v>10030</v>
      </c>
      <c r="C5255" s="9" t="s">
        <v>2655</v>
      </c>
      <c r="D5255" s="14" t="s">
        <v>10031</v>
      </c>
      <c r="E5255" s="9" t="s">
        <v>11</v>
      </c>
    </row>
    <row r="5256" spans="1:5" ht="15" customHeight="1" outlineLevel="2" x14ac:dyDescent="0.25">
      <c r="A5256" s="3" t="str">
        <f>HYPERLINK("http://mystore1.ru/price_items/search?utf8=%E2%9C%93&amp;oem=5427RCLV2FD","5427RCLV2FD")</f>
        <v>5427RCLV2FD</v>
      </c>
      <c r="B5256" s="1" t="s">
        <v>10032</v>
      </c>
      <c r="C5256" s="9" t="s">
        <v>2655</v>
      </c>
      <c r="D5256" s="14" t="s">
        <v>10033</v>
      </c>
      <c r="E5256" s="9" t="s">
        <v>11</v>
      </c>
    </row>
    <row r="5257" spans="1:5" ht="15" customHeight="1" outlineLevel="2" x14ac:dyDescent="0.25">
      <c r="A5257" s="3" t="str">
        <f>HYPERLINK("http://mystore1.ru/price_items/search?utf8=%E2%9C%93&amp;oem=5427RCLV2FV","5427RCLV2FV")</f>
        <v>5427RCLV2FV</v>
      </c>
      <c r="B5257" s="1" t="s">
        <v>10034</v>
      </c>
      <c r="C5257" s="9" t="s">
        <v>2655</v>
      </c>
      <c r="D5257" s="14" t="s">
        <v>10035</v>
      </c>
      <c r="E5257" s="9" t="s">
        <v>11</v>
      </c>
    </row>
    <row r="5258" spans="1:5" ht="15" customHeight="1" outlineLevel="2" x14ac:dyDescent="0.25">
      <c r="A5258" s="3" t="str">
        <f>HYPERLINK("http://mystore1.ru/price_items/search?utf8=%E2%9C%93&amp;oem=5427RGNV2FD","5427RGNV2FD")</f>
        <v>5427RGNV2FD</v>
      </c>
      <c r="B5258" s="1" t="s">
        <v>10036</v>
      </c>
      <c r="C5258" s="9" t="s">
        <v>2655</v>
      </c>
      <c r="D5258" s="14" t="s">
        <v>10037</v>
      </c>
      <c r="E5258" s="9" t="s">
        <v>11</v>
      </c>
    </row>
    <row r="5259" spans="1:5" ht="15" customHeight="1" outlineLevel="2" x14ac:dyDescent="0.25">
      <c r="A5259" s="3" t="str">
        <f>HYPERLINK("http://mystore1.ru/price_items/search?utf8=%E2%9C%93&amp;oem=5427RGNV2FV","5427RGNV2FV")</f>
        <v>5427RGNV2FV</v>
      </c>
      <c r="B5259" s="1" t="s">
        <v>10038</v>
      </c>
      <c r="C5259" s="9" t="s">
        <v>2655</v>
      </c>
      <c r="D5259" s="14" t="s">
        <v>10039</v>
      </c>
      <c r="E5259" s="9" t="s">
        <v>11</v>
      </c>
    </row>
    <row r="5260" spans="1:5" outlineLevel="1" x14ac:dyDescent="0.25">
      <c r="A5260" s="2"/>
      <c r="B5260" s="6" t="s">
        <v>10040</v>
      </c>
      <c r="C5260" s="8"/>
      <c r="D5260" s="8"/>
      <c r="E5260" s="8"/>
    </row>
    <row r="5261" spans="1:5" ht="15" customHeight="1" outlineLevel="2" x14ac:dyDescent="0.25">
      <c r="A5261" s="3" t="str">
        <f>HYPERLINK("http://mystore1.ru/price_items/search?utf8=%E2%9C%93&amp;oem=5426ACL","5426ACL")</f>
        <v>5426ACL</v>
      </c>
      <c r="B5261" s="1" t="s">
        <v>10041</v>
      </c>
      <c r="C5261" s="9" t="s">
        <v>2655</v>
      </c>
      <c r="D5261" s="14" t="s">
        <v>10042</v>
      </c>
      <c r="E5261" s="9" t="s">
        <v>8</v>
      </c>
    </row>
    <row r="5262" spans="1:5" ht="15" customHeight="1" outlineLevel="2" x14ac:dyDescent="0.25">
      <c r="A5262" s="3" t="str">
        <f>HYPERLINK("http://mystore1.ru/price_items/search?utf8=%E2%9C%93&amp;oem=5426ACL1C","5426ACL1C")</f>
        <v>5426ACL1C</v>
      </c>
      <c r="B5262" s="1" t="s">
        <v>10043</v>
      </c>
      <c r="C5262" s="9" t="s">
        <v>2655</v>
      </c>
      <c r="D5262" s="14" t="s">
        <v>10044</v>
      </c>
      <c r="E5262" s="9" t="s">
        <v>8</v>
      </c>
    </row>
    <row r="5263" spans="1:5" ht="15" customHeight="1" outlineLevel="2" x14ac:dyDescent="0.25">
      <c r="A5263" s="3" t="str">
        <f>HYPERLINK("http://mystore1.ru/price_items/search?utf8=%E2%9C%93&amp;oem=5426AGN","5426AGN")</f>
        <v>5426AGN</v>
      </c>
      <c r="B5263" s="1" t="s">
        <v>10045</v>
      </c>
      <c r="C5263" s="9" t="s">
        <v>2655</v>
      </c>
      <c r="D5263" s="14" t="s">
        <v>10046</v>
      </c>
      <c r="E5263" s="9" t="s">
        <v>8</v>
      </c>
    </row>
    <row r="5264" spans="1:5" ht="15" customHeight="1" outlineLevel="2" x14ac:dyDescent="0.25">
      <c r="A5264" s="3" t="str">
        <f>HYPERLINK("http://mystore1.ru/price_items/search?utf8=%E2%9C%93&amp;oem=5426AGN1C","5426AGN1C")</f>
        <v>5426AGN1C</v>
      </c>
      <c r="B5264" s="1" t="s">
        <v>10047</v>
      </c>
      <c r="C5264" s="9" t="s">
        <v>2655</v>
      </c>
      <c r="D5264" s="14" t="s">
        <v>10048</v>
      </c>
      <c r="E5264" s="9" t="s">
        <v>8</v>
      </c>
    </row>
    <row r="5265" spans="1:5" ht="15" customHeight="1" outlineLevel="2" x14ac:dyDescent="0.25">
      <c r="A5265" s="3" t="str">
        <f>HYPERLINK("http://mystore1.ru/price_items/search?utf8=%E2%9C%93&amp;oem=5426AGNGN","5426AGNGN")</f>
        <v>5426AGNGN</v>
      </c>
      <c r="B5265" s="1" t="s">
        <v>10049</v>
      </c>
      <c r="C5265" s="9" t="s">
        <v>2655</v>
      </c>
      <c r="D5265" s="14" t="s">
        <v>10050</v>
      </c>
      <c r="E5265" s="9" t="s">
        <v>8</v>
      </c>
    </row>
    <row r="5266" spans="1:5" ht="15" customHeight="1" outlineLevel="2" x14ac:dyDescent="0.25">
      <c r="A5266" s="3" t="str">
        <f>HYPERLINK("http://mystore1.ru/price_items/search?utf8=%E2%9C%93&amp;oem=5426AGNGN1C","5426AGNGN1C")</f>
        <v>5426AGNGN1C</v>
      </c>
      <c r="B5266" s="1" t="s">
        <v>10051</v>
      </c>
      <c r="C5266" s="9" t="s">
        <v>2655</v>
      </c>
      <c r="D5266" s="14" t="s">
        <v>10052</v>
      </c>
      <c r="E5266" s="9" t="s">
        <v>8</v>
      </c>
    </row>
    <row r="5267" spans="1:5" ht="15" customHeight="1" outlineLevel="2" x14ac:dyDescent="0.25">
      <c r="A5267" s="3" t="str">
        <f>HYPERLINK("http://mystore1.ru/price_items/search?utf8=%E2%9C%93&amp;oem=5426ASMV","5426ASMV")</f>
        <v>5426ASMV</v>
      </c>
      <c r="B5267" s="1" t="s">
        <v>10053</v>
      </c>
      <c r="C5267" s="9" t="s">
        <v>25</v>
      </c>
      <c r="D5267" s="14" t="s">
        <v>10054</v>
      </c>
      <c r="E5267" s="9" t="s">
        <v>27</v>
      </c>
    </row>
    <row r="5268" spans="1:5" ht="15" customHeight="1" outlineLevel="2" x14ac:dyDescent="0.25">
      <c r="A5268" s="3" t="str">
        <f>HYPERLINK("http://mystore1.ru/price_items/search?utf8=%E2%9C%93&amp;oem=5426BCLVL","5426BCLVL")</f>
        <v>5426BCLVL</v>
      </c>
      <c r="B5268" s="1" t="s">
        <v>10055</v>
      </c>
      <c r="C5268" s="9" t="s">
        <v>2655</v>
      </c>
      <c r="D5268" s="14" t="s">
        <v>10056</v>
      </c>
      <c r="E5268" s="9" t="s">
        <v>30</v>
      </c>
    </row>
    <row r="5269" spans="1:5" ht="15" customHeight="1" outlineLevel="2" x14ac:dyDescent="0.25">
      <c r="A5269" s="3" t="str">
        <f>HYPERLINK("http://mystore1.ru/price_items/search?utf8=%E2%9C%93&amp;oem=5426BCLVR","5426BCLVR")</f>
        <v>5426BCLVR</v>
      </c>
      <c r="B5269" s="1" t="s">
        <v>10057</v>
      </c>
      <c r="C5269" s="9" t="s">
        <v>2655</v>
      </c>
      <c r="D5269" s="14" t="s">
        <v>10058</v>
      </c>
      <c r="E5269" s="9" t="s">
        <v>30</v>
      </c>
    </row>
    <row r="5270" spans="1:5" ht="15" customHeight="1" outlineLevel="2" x14ac:dyDescent="0.25">
      <c r="A5270" s="3" t="str">
        <f>HYPERLINK("http://mystore1.ru/price_items/search?utf8=%E2%9C%93&amp;oem=5426BCLVRU","5426BCLVRU")</f>
        <v>5426BCLVRU</v>
      </c>
      <c r="B5270" s="1" t="s">
        <v>10059</v>
      </c>
      <c r="C5270" s="9" t="s">
        <v>2655</v>
      </c>
      <c r="D5270" s="14" t="s">
        <v>10060</v>
      </c>
      <c r="E5270" s="9" t="s">
        <v>30</v>
      </c>
    </row>
    <row r="5271" spans="1:5" ht="15" customHeight="1" outlineLevel="2" x14ac:dyDescent="0.25">
      <c r="A5271" s="3" t="str">
        <f>HYPERLINK("http://mystore1.ru/price_items/search?utf8=%E2%9C%93&amp;oem=5426BGNVL","5426BGNVL")</f>
        <v>5426BGNVL</v>
      </c>
      <c r="B5271" s="1" t="s">
        <v>10061</v>
      </c>
      <c r="C5271" s="9" t="s">
        <v>2655</v>
      </c>
      <c r="D5271" s="14" t="s">
        <v>10062</v>
      </c>
      <c r="E5271" s="9" t="s">
        <v>30</v>
      </c>
    </row>
    <row r="5272" spans="1:5" ht="15" customHeight="1" outlineLevel="2" x14ac:dyDescent="0.25">
      <c r="A5272" s="3" t="str">
        <f>HYPERLINK("http://mystore1.ru/price_items/search?utf8=%E2%9C%93&amp;oem=5426BCLVLU","5426BCLVLU")</f>
        <v>5426BCLVLU</v>
      </c>
      <c r="B5272" s="1" t="s">
        <v>10063</v>
      </c>
      <c r="C5272" s="9" t="s">
        <v>2655</v>
      </c>
      <c r="D5272" s="14" t="s">
        <v>10064</v>
      </c>
      <c r="E5272" s="9" t="s">
        <v>30</v>
      </c>
    </row>
    <row r="5273" spans="1:5" ht="15" customHeight="1" outlineLevel="2" x14ac:dyDescent="0.25">
      <c r="A5273" s="3" t="str">
        <f>HYPERLINK("http://mystore1.ru/price_items/search?utf8=%E2%9C%93&amp;oem=5426BGNVR","5426BGNVR")</f>
        <v>5426BGNVR</v>
      </c>
      <c r="B5273" s="1" t="s">
        <v>10065</v>
      </c>
      <c r="C5273" s="9" t="s">
        <v>2655</v>
      </c>
      <c r="D5273" s="14" t="s">
        <v>10066</v>
      </c>
      <c r="E5273" s="9" t="s">
        <v>30</v>
      </c>
    </row>
    <row r="5274" spans="1:5" ht="15" customHeight="1" outlineLevel="2" x14ac:dyDescent="0.25">
      <c r="A5274" s="3" t="str">
        <f>HYPERLINK("http://mystore1.ru/price_items/search?utf8=%E2%9C%93&amp;oem=5426FCLV2RQ","5426FCLV2RQ")</f>
        <v>5426FCLV2RQ</v>
      </c>
      <c r="B5274" s="1" t="s">
        <v>10067</v>
      </c>
      <c r="C5274" s="9" t="s">
        <v>2655</v>
      </c>
      <c r="D5274" s="14" t="s">
        <v>10068</v>
      </c>
      <c r="E5274" s="9" t="s">
        <v>11</v>
      </c>
    </row>
    <row r="5275" spans="1:5" ht="15" customHeight="1" outlineLevel="2" x14ac:dyDescent="0.25">
      <c r="A5275" s="3" t="str">
        <f>HYPERLINK("http://mystore1.ru/price_items/search?utf8=%E2%9C%93&amp;oem=5426LCLV2FD","5426LCLV2FD")</f>
        <v>5426LCLV2FD</v>
      </c>
      <c r="B5275" s="1" t="s">
        <v>10069</v>
      </c>
      <c r="C5275" s="9" t="s">
        <v>2655</v>
      </c>
      <c r="D5275" s="14" t="s">
        <v>10070</v>
      </c>
      <c r="E5275" s="9" t="s">
        <v>11</v>
      </c>
    </row>
    <row r="5276" spans="1:5" ht="15" customHeight="1" outlineLevel="2" x14ac:dyDescent="0.25">
      <c r="A5276" s="3" t="str">
        <f>HYPERLINK("http://mystore1.ru/price_items/search?utf8=%E2%9C%93&amp;oem=5426LCLV2FV","5426LCLV2FV")</f>
        <v>5426LCLV2FV</v>
      </c>
      <c r="B5276" s="1" t="s">
        <v>10071</v>
      </c>
      <c r="C5276" s="9" t="s">
        <v>2655</v>
      </c>
      <c r="D5276" s="14" t="s">
        <v>10072</v>
      </c>
      <c r="E5276" s="9" t="s">
        <v>11</v>
      </c>
    </row>
    <row r="5277" spans="1:5" ht="15" customHeight="1" outlineLevel="2" x14ac:dyDescent="0.25">
      <c r="A5277" s="3" t="str">
        <f>HYPERLINK("http://mystore1.ru/price_items/search?utf8=%E2%9C%93&amp;oem=5426LCLV3MQ","5426LCLV3MQ")</f>
        <v>5426LCLV3MQ</v>
      </c>
      <c r="B5277" s="1" t="s">
        <v>10073</v>
      </c>
      <c r="C5277" s="9" t="s">
        <v>2655</v>
      </c>
      <c r="D5277" s="14" t="s">
        <v>10074</v>
      </c>
      <c r="E5277" s="9" t="s">
        <v>11</v>
      </c>
    </row>
    <row r="5278" spans="1:5" ht="15" customHeight="1" outlineLevel="2" x14ac:dyDescent="0.25">
      <c r="A5278" s="3" t="str">
        <f>HYPERLINK("http://mystore1.ru/price_items/search?utf8=%E2%9C%93&amp;oem=5426LGNV2FD","5426LGNV2FD")</f>
        <v>5426LGNV2FD</v>
      </c>
      <c r="B5278" s="1" t="s">
        <v>10075</v>
      </c>
      <c r="C5278" s="9" t="s">
        <v>2655</v>
      </c>
      <c r="D5278" s="14" t="s">
        <v>10076</v>
      </c>
      <c r="E5278" s="9" t="s">
        <v>11</v>
      </c>
    </row>
    <row r="5279" spans="1:5" ht="15" customHeight="1" outlineLevel="2" x14ac:dyDescent="0.25">
      <c r="A5279" s="3" t="str">
        <f>HYPERLINK("http://mystore1.ru/price_items/search?utf8=%E2%9C%93&amp;oem=5426LGNV2FV","5426LGNV2FV")</f>
        <v>5426LGNV2FV</v>
      </c>
      <c r="B5279" s="1" t="s">
        <v>10077</v>
      </c>
      <c r="C5279" s="9" t="s">
        <v>2655</v>
      </c>
      <c r="D5279" s="14" t="s">
        <v>10078</v>
      </c>
      <c r="E5279" s="9" t="s">
        <v>11</v>
      </c>
    </row>
    <row r="5280" spans="1:5" ht="15" customHeight="1" outlineLevel="2" x14ac:dyDescent="0.25">
      <c r="A5280" s="3" t="str">
        <f>HYPERLINK("http://mystore1.ru/price_items/search?utf8=%E2%9C%93&amp;oem=5426RCLV2FD","5426RCLV2FD")</f>
        <v>5426RCLV2FD</v>
      </c>
      <c r="B5280" s="1" t="s">
        <v>10079</v>
      </c>
      <c r="C5280" s="9" t="s">
        <v>2655</v>
      </c>
      <c r="D5280" s="14" t="s">
        <v>10080</v>
      </c>
      <c r="E5280" s="9" t="s">
        <v>11</v>
      </c>
    </row>
    <row r="5281" spans="1:5" ht="15" customHeight="1" outlineLevel="2" x14ac:dyDescent="0.25">
      <c r="A5281" s="3" t="str">
        <f>HYPERLINK("http://mystore1.ru/price_items/search?utf8=%E2%9C%93&amp;oem=5426RCLV2FV","5426RCLV2FV")</f>
        <v>5426RCLV2FV</v>
      </c>
      <c r="B5281" s="1" t="s">
        <v>10081</v>
      </c>
      <c r="C5281" s="9" t="s">
        <v>2655</v>
      </c>
      <c r="D5281" s="14" t="s">
        <v>10082</v>
      </c>
      <c r="E5281" s="9" t="s">
        <v>11</v>
      </c>
    </row>
    <row r="5282" spans="1:5" ht="15" customHeight="1" outlineLevel="2" x14ac:dyDescent="0.25">
      <c r="A5282" s="3" t="str">
        <f>HYPERLINK("http://mystore1.ru/price_items/search?utf8=%E2%9C%93&amp;oem=5426RCLV2MQ","5426RCLV2MQ")</f>
        <v>5426RCLV2MQ</v>
      </c>
      <c r="B5282" s="1" t="s">
        <v>10083</v>
      </c>
      <c r="C5282" s="9" t="s">
        <v>2655</v>
      </c>
      <c r="D5282" s="14" t="s">
        <v>10084</v>
      </c>
      <c r="E5282" s="9" t="s">
        <v>11</v>
      </c>
    </row>
    <row r="5283" spans="1:5" ht="15" customHeight="1" outlineLevel="2" x14ac:dyDescent="0.25">
      <c r="A5283" s="3" t="str">
        <f>HYPERLINK("http://mystore1.ru/price_items/search?utf8=%E2%9C%93&amp;oem=5426RGNV2FD","5426RGNV2FD")</f>
        <v>5426RGNV2FD</v>
      </c>
      <c r="B5283" s="1" t="s">
        <v>10085</v>
      </c>
      <c r="C5283" s="9" t="s">
        <v>2655</v>
      </c>
      <c r="D5283" s="14" t="s">
        <v>10086</v>
      </c>
      <c r="E5283" s="9" t="s">
        <v>11</v>
      </c>
    </row>
    <row r="5284" spans="1:5" ht="15" customHeight="1" outlineLevel="2" x14ac:dyDescent="0.25">
      <c r="A5284" s="3" t="str">
        <f>HYPERLINK("http://mystore1.ru/price_items/search?utf8=%E2%9C%93&amp;oem=5426RGNV2FV","5426RGNV2FV")</f>
        <v>5426RGNV2FV</v>
      </c>
      <c r="B5284" s="1" t="s">
        <v>10087</v>
      </c>
      <c r="C5284" s="9" t="s">
        <v>2655</v>
      </c>
      <c r="D5284" s="14" t="s">
        <v>10088</v>
      </c>
      <c r="E5284" s="9" t="s">
        <v>11</v>
      </c>
    </row>
    <row r="5285" spans="1:5" outlineLevel="1" x14ac:dyDescent="0.25">
      <c r="A5285" s="2"/>
      <c r="B5285" s="6" t="s">
        <v>10089</v>
      </c>
      <c r="C5285" s="8"/>
      <c r="D5285" s="8"/>
      <c r="E5285" s="8"/>
    </row>
    <row r="5286" spans="1:5" ht="15" customHeight="1" outlineLevel="2" x14ac:dyDescent="0.25">
      <c r="A5286" s="3" t="str">
        <f>HYPERLINK("http://mystore1.ru/price_items/search?utf8=%E2%9C%93&amp;oem=5439ACL","5439ACL")</f>
        <v>5439ACL</v>
      </c>
      <c r="B5286" s="1" t="s">
        <v>10090</v>
      </c>
      <c r="C5286" s="9" t="s">
        <v>687</v>
      </c>
      <c r="D5286" s="14" t="s">
        <v>10091</v>
      </c>
      <c r="E5286" s="9" t="s">
        <v>8</v>
      </c>
    </row>
    <row r="5287" spans="1:5" ht="15" customHeight="1" outlineLevel="2" x14ac:dyDescent="0.25">
      <c r="A5287" s="3" t="str">
        <f>HYPERLINK("http://mystore1.ru/price_items/search?utf8=%E2%9C%93&amp;oem=5439ACLH","5439ACLH")</f>
        <v>5439ACLH</v>
      </c>
      <c r="B5287" s="1" t="s">
        <v>10092</v>
      </c>
      <c r="C5287" s="9" t="s">
        <v>687</v>
      </c>
      <c r="D5287" s="14" t="s">
        <v>10093</v>
      </c>
      <c r="E5287" s="9" t="s">
        <v>8</v>
      </c>
    </row>
    <row r="5288" spans="1:5" ht="15" customHeight="1" outlineLevel="2" x14ac:dyDescent="0.25">
      <c r="A5288" s="3" t="str">
        <f>HYPERLINK("http://mystore1.ru/price_items/search?utf8=%E2%9C%93&amp;oem=5439ACLHM1B","5439ACLHM1B")</f>
        <v>5439ACLHM1B</v>
      </c>
      <c r="B5288" s="1" t="s">
        <v>10094</v>
      </c>
      <c r="C5288" s="9" t="s">
        <v>687</v>
      </c>
      <c r="D5288" s="14" t="s">
        <v>10095</v>
      </c>
      <c r="E5288" s="9" t="s">
        <v>8</v>
      </c>
    </row>
    <row r="5289" spans="1:5" ht="15" customHeight="1" outlineLevel="2" x14ac:dyDescent="0.25">
      <c r="A5289" s="3" t="str">
        <f>HYPERLINK("http://mystore1.ru/price_items/search?utf8=%E2%9C%93&amp;oem=5439ACLM1B","5439ACLM1B")</f>
        <v>5439ACLM1B</v>
      </c>
      <c r="B5289" s="1" t="s">
        <v>10096</v>
      </c>
      <c r="C5289" s="9" t="s">
        <v>687</v>
      </c>
      <c r="D5289" s="14" t="s">
        <v>10097</v>
      </c>
      <c r="E5289" s="9" t="s">
        <v>8</v>
      </c>
    </row>
    <row r="5290" spans="1:5" ht="15" customHeight="1" outlineLevel="2" x14ac:dyDescent="0.25">
      <c r="A5290" s="3" t="str">
        <f>HYPERLINK("http://mystore1.ru/price_items/search?utf8=%E2%9C%93&amp;oem=5439AGS","5439AGS")</f>
        <v>5439AGS</v>
      </c>
      <c r="B5290" s="1" t="s">
        <v>10098</v>
      </c>
      <c r="C5290" s="9" t="s">
        <v>687</v>
      </c>
      <c r="D5290" s="14" t="s">
        <v>10099</v>
      </c>
      <c r="E5290" s="9" t="s">
        <v>8</v>
      </c>
    </row>
    <row r="5291" spans="1:5" ht="15" customHeight="1" outlineLevel="2" x14ac:dyDescent="0.25">
      <c r="A5291" s="3" t="str">
        <f>HYPERLINK("http://mystore1.ru/price_items/search?utf8=%E2%9C%93&amp;oem=5439AGSBL","5439AGSBL")</f>
        <v>5439AGSBL</v>
      </c>
      <c r="B5291" s="1" t="s">
        <v>10100</v>
      </c>
      <c r="C5291" s="9" t="s">
        <v>687</v>
      </c>
      <c r="D5291" s="14" t="s">
        <v>10101</v>
      </c>
      <c r="E5291" s="9" t="s">
        <v>8</v>
      </c>
    </row>
    <row r="5292" spans="1:5" ht="15" customHeight="1" outlineLevel="2" x14ac:dyDescent="0.25">
      <c r="A5292" s="3" t="str">
        <f>HYPERLINK("http://mystore1.ru/price_items/search?utf8=%E2%9C%93&amp;oem=5439AGSBLHM1B","5439AGSBLHM1B")</f>
        <v>5439AGSBLHM1B</v>
      </c>
      <c r="B5292" s="1" t="s">
        <v>10102</v>
      </c>
      <c r="C5292" s="9" t="s">
        <v>687</v>
      </c>
      <c r="D5292" s="14" t="s">
        <v>10103</v>
      </c>
      <c r="E5292" s="9" t="s">
        <v>8</v>
      </c>
    </row>
    <row r="5293" spans="1:5" ht="15" customHeight="1" outlineLevel="2" x14ac:dyDescent="0.25">
      <c r="A5293" s="3" t="str">
        <f>HYPERLINK("http://mystore1.ru/price_items/search?utf8=%E2%9C%93&amp;oem=5439AGSBLM1B","5439AGSBLM1B")</f>
        <v>5439AGSBLM1B</v>
      </c>
      <c r="B5293" s="1" t="s">
        <v>10104</v>
      </c>
      <c r="C5293" s="9" t="s">
        <v>687</v>
      </c>
      <c r="D5293" s="14" t="s">
        <v>10105</v>
      </c>
      <c r="E5293" s="9" t="s">
        <v>8</v>
      </c>
    </row>
    <row r="5294" spans="1:5" ht="15" customHeight="1" outlineLevel="2" x14ac:dyDescent="0.25">
      <c r="A5294" s="3" t="str">
        <f>HYPERLINK("http://mystore1.ru/price_items/search?utf8=%E2%9C%93&amp;oem=5439ASMV","5439ASMV")</f>
        <v>5439ASMV</v>
      </c>
      <c r="B5294" s="1" t="s">
        <v>10106</v>
      </c>
      <c r="C5294" s="9" t="s">
        <v>25</v>
      </c>
      <c r="D5294" s="14" t="s">
        <v>10107</v>
      </c>
      <c r="E5294" s="9" t="s">
        <v>27</v>
      </c>
    </row>
    <row r="5295" spans="1:5" ht="15" customHeight="1" outlineLevel="2" x14ac:dyDescent="0.25">
      <c r="A5295" s="3" t="str">
        <f>HYPERLINK("http://mystore1.ru/price_items/search?utf8=%E2%9C%93&amp;oem=5439LCLV3FD","5439LCLV3FD")</f>
        <v>5439LCLV3FD</v>
      </c>
      <c r="B5295" s="1" t="s">
        <v>10108</v>
      </c>
      <c r="C5295" s="9" t="s">
        <v>687</v>
      </c>
      <c r="D5295" s="14" t="s">
        <v>10109</v>
      </c>
      <c r="E5295" s="9" t="s">
        <v>11</v>
      </c>
    </row>
    <row r="5296" spans="1:5" ht="15" customHeight="1" outlineLevel="2" x14ac:dyDescent="0.25">
      <c r="A5296" s="3" t="str">
        <f>HYPERLINK("http://mystore1.ru/price_items/search?utf8=%E2%9C%93&amp;oem=5439LGNV3FD","5439LGNV3FD")</f>
        <v>5439LGNV3FD</v>
      </c>
      <c r="B5296" s="1" t="s">
        <v>10110</v>
      </c>
      <c r="C5296" s="9" t="s">
        <v>687</v>
      </c>
      <c r="D5296" s="14" t="s">
        <v>10111</v>
      </c>
      <c r="E5296" s="9" t="s">
        <v>11</v>
      </c>
    </row>
    <row r="5297" spans="1:5" ht="15" customHeight="1" outlineLevel="2" x14ac:dyDescent="0.25">
      <c r="A5297" s="3" t="str">
        <f>HYPERLINK("http://mystore1.ru/price_items/search?utf8=%E2%9C%93&amp;oem=5439RCLV3FD","5439RCLV3FD")</f>
        <v>5439RCLV3FD</v>
      </c>
      <c r="B5297" s="1" t="s">
        <v>10112</v>
      </c>
      <c r="C5297" s="9" t="s">
        <v>687</v>
      </c>
      <c r="D5297" s="14" t="s">
        <v>10113</v>
      </c>
      <c r="E5297" s="9" t="s">
        <v>11</v>
      </c>
    </row>
    <row r="5298" spans="1:5" ht="15" customHeight="1" outlineLevel="2" x14ac:dyDescent="0.25">
      <c r="A5298" s="3" t="str">
        <f>HYPERLINK("http://mystore1.ru/price_items/search?utf8=%E2%9C%93&amp;oem=5439RGNV3FD","5439RGNV3FD")</f>
        <v>5439RGNV3FD</v>
      </c>
      <c r="B5298" s="1" t="s">
        <v>10114</v>
      </c>
      <c r="C5298" s="9" t="s">
        <v>687</v>
      </c>
      <c r="D5298" s="14" t="s">
        <v>10115</v>
      </c>
      <c r="E5298" s="9" t="s">
        <v>11</v>
      </c>
    </row>
    <row r="5299" spans="1:5" outlineLevel="1" x14ac:dyDescent="0.25">
      <c r="A5299" s="2"/>
      <c r="B5299" s="6" t="s">
        <v>10116</v>
      </c>
      <c r="C5299" s="8"/>
      <c r="D5299" s="8"/>
      <c r="E5299" s="8"/>
    </row>
    <row r="5300" spans="1:5" ht="15" customHeight="1" outlineLevel="2" x14ac:dyDescent="0.25">
      <c r="A5300" s="3" t="str">
        <f>HYPERLINK("http://mystore1.ru/price_items/search?utf8=%E2%9C%93&amp;oem=5436AGSBLW","5436AGSBLW")</f>
        <v>5436AGSBLW</v>
      </c>
      <c r="B5300" s="1" t="s">
        <v>10117</v>
      </c>
      <c r="C5300" s="9" t="s">
        <v>10118</v>
      </c>
      <c r="D5300" s="14" t="s">
        <v>10119</v>
      </c>
      <c r="E5300" s="9" t="s">
        <v>8</v>
      </c>
    </row>
    <row r="5301" spans="1:5" ht="15" customHeight="1" outlineLevel="2" x14ac:dyDescent="0.25">
      <c r="A5301" s="3" t="str">
        <f>HYPERLINK("http://mystore1.ru/price_items/search?utf8=%E2%9C%93&amp;oem=5436BGSV","5436BGSV")</f>
        <v>5436BGSV</v>
      </c>
      <c r="B5301" s="1" t="s">
        <v>10120</v>
      </c>
      <c r="C5301" s="9" t="s">
        <v>10118</v>
      </c>
      <c r="D5301" s="14" t="s">
        <v>10121</v>
      </c>
      <c r="E5301" s="9" t="s">
        <v>30</v>
      </c>
    </row>
    <row r="5302" spans="1:5" ht="15" customHeight="1" outlineLevel="2" x14ac:dyDescent="0.25">
      <c r="A5302" s="3" t="str">
        <f>HYPERLINK("http://mystore1.ru/price_items/search?utf8=%E2%9C%93&amp;oem=5436LGSV4FD","5436LGSV4FD")</f>
        <v>5436LGSV4FD</v>
      </c>
      <c r="B5302" s="1" t="s">
        <v>10122</v>
      </c>
      <c r="C5302" s="9" t="s">
        <v>10118</v>
      </c>
      <c r="D5302" s="14" t="s">
        <v>10123</v>
      </c>
      <c r="E5302" s="9" t="s">
        <v>11</v>
      </c>
    </row>
    <row r="5303" spans="1:5" ht="15" customHeight="1" outlineLevel="2" x14ac:dyDescent="0.25">
      <c r="A5303" s="3" t="str">
        <f>HYPERLINK("http://mystore1.ru/price_items/search?utf8=%E2%9C%93&amp;oem=5436RGSV4FD","5436RGSV4FD")</f>
        <v>5436RGSV4FD</v>
      </c>
      <c r="B5303" s="1" t="s">
        <v>10124</v>
      </c>
      <c r="C5303" s="9" t="s">
        <v>10118</v>
      </c>
      <c r="D5303" s="14" t="s">
        <v>10125</v>
      </c>
      <c r="E5303" s="9" t="s">
        <v>11</v>
      </c>
    </row>
    <row r="5304" spans="1:5" outlineLevel="1" x14ac:dyDescent="0.25">
      <c r="A5304" s="2"/>
      <c r="B5304" s="6" t="s">
        <v>10126</v>
      </c>
      <c r="C5304" s="8"/>
      <c r="D5304" s="8"/>
      <c r="E5304" s="8"/>
    </row>
    <row r="5305" spans="1:5" ht="15" customHeight="1" outlineLevel="2" x14ac:dyDescent="0.25">
      <c r="A5305" s="3" t="str">
        <f>HYPERLINK("http://mystore1.ru/price_items/search?utf8=%E2%9C%93&amp;oem=5428ACL","5428ACL")</f>
        <v>5428ACL</v>
      </c>
      <c r="B5305" s="1" t="s">
        <v>10127</v>
      </c>
      <c r="C5305" s="9" t="s">
        <v>420</v>
      </c>
      <c r="D5305" s="14" t="s">
        <v>10128</v>
      </c>
      <c r="E5305" s="9" t="s">
        <v>8</v>
      </c>
    </row>
    <row r="5306" spans="1:5" ht="15" customHeight="1" outlineLevel="2" x14ac:dyDescent="0.25">
      <c r="A5306" s="3" t="str">
        <f>HYPERLINK("http://mystore1.ru/price_items/search?utf8=%E2%9C%93&amp;oem=5428ACL1C","5428ACL1C")</f>
        <v>5428ACL1C</v>
      </c>
      <c r="B5306" s="1" t="s">
        <v>10129</v>
      </c>
      <c r="C5306" s="9" t="s">
        <v>420</v>
      </c>
      <c r="D5306" s="14" t="s">
        <v>10130</v>
      </c>
      <c r="E5306" s="9" t="s">
        <v>8</v>
      </c>
    </row>
    <row r="5307" spans="1:5" ht="15" customHeight="1" outlineLevel="2" x14ac:dyDescent="0.25">
      <c r="A5307" s="3" t="str">
        <f>HYPERLINK("http://mystore1.ru/price_items/search?utf8=%E2%9C%93&amp;oem=5428AGN","5428AGN")</f>
        <v>5428AGN</v>
      </c>
      <c r="B5307" s="1" t="s">
        <v>10131</v>
      </c>
      <c r="C5307" s="9" t="s">
        <v>420</v>
      </c>
      <c r="D5307" s="14" t="s">
        <v>10132</v>
      </c>
      <c r="E5307" s="9" t="s">
        <v>8</v>
      </c>
    </row>
    <row r="5308" spans="1:5" ht="15" customHeight="1" outlineLevel="2" x14ac:dyDescent="0.25">
      <c r="A5308" s="3" t="str">
        <f>HYPERLINK("http://mystore1.ru/price_items/search?utf8=%E2%9C%93&amp;oem=5428AGN1C","5428AGN1C")</f>
        <v>5428AGN1C</v>
      </c>
      <c r="B5308" s="1" t="s">
        <v>10133</v>
      </c>
      <c r="C5308" s="9" t="s">
        <v>420</v>
      </c>
      <c r="D5308" s="14" t="s">
        <v>10134</v>
      </c>
      <c r="E5308" s="9" t="s">
        <v>8</v>
      </c>
    </row>
    <row r="5309" spans="1:5" ht="15" customHeight="1" outlineLevel="2" x14ac:dyDescent="0.25">
      <c r="A5309" s="3" t="str">
        <f>HYPERLINK("http://mystore1.ru/price_items/search?utf8=%E2%9C%93&amp;oem=5428AGNBL","5428AGNBL")</f>
        <v>5428AGNBL</v>
      </c>
      <c r="B5309" s="1" t="s">
        <v>10135</v>
      </c>
      <c r="C5309" s="9" t="s">
        <v>420</v>
      </c>
      <c r="D5309" s="14" t="s">
        <v>10136</v>
      </c>
      <c r="E5309" s="9" t="s">
        <v>8</v>
      </c>
    </row>
    <row r="5310" spans="1:5" ht="15" customHeight="1" outlineLevel="2" x14ac:dyDescent="0.25">
      <c r="A5310" s="3" t="str">
        <f>HYPERLINK("http://mystore1.ru/price_items/search?utf8=%E2%9C%93&amp;oem=5428AGNBL1C","5428AGNBL1C")</f>
        <v>5428AGNBL1C</v>
      </c>
      <c r="B5310" s="1" t="s">
        <v>10137</v>
      </c>
      <c r="C5310" s="9" t="s">
        <v>420</v>
      </c>
      <c r="D5310" s="14" t="s">
        <v>10138</v>
      </c>
      <c r="E5310" s="9" t="s">
        <v>8</v>
      </c>
    </row>
    <row r="5311" spans="1:5" ht="15" customHeight="1" outlineLevel="2" x14ac:dyDescent="0.25">
      <c r="A5311" s="3" t="str">
        <f>HYPERLINK("http://mystore1.ru/price_items/search?utf8=%E2%9C%93&amp;oem=5428AGNGN","5428AGNGN")</f>
        <v>5428AGNGN</v>
      </c>
      <c r="B5311" s="1" t="s">
        <v>10139</v>
      </c>
      <c r="C5311" s="9" t="s">
        <v>420</v>
      </c>
      <c r="D5311" s="14" t="s">
        <v>10140</v>
      </c>
      <c r="E5311" s="9" t="s">
        <v>8</v>
      </c>
    </row>
    <row r="5312" spans="1:5" ht="15" customHeight="1" outlineLevel="2" x14ac:dyDescent="0.25">
      <c r="A5312" s="3" t="str">
        <f>HYPERLINK("http://mystore1.ru/price_items/search?utf8=%E2%9C%93&amp;oem=5428AGNGN1C","5428AGNGN1C")</f>
        <v>5428AGNGN1C</v>
      </c>
      <c r="B5312" s="1" t="s">
        <v>10141</v>
      </c>
      <c r="C5312" s="9" t="s">
        <v>420</v>
      </c>
      <c r="D5312" s="14" t="s">
        <v>10142</v>
      </c>
      <c r="E5312" s="9" t="s">
        <v>8</v>
      </c>
    </row>
    <row r="5313" spans="1:5" ht="15" customHeight="1" outlineLevel="2" x14ac:dyDescent="0.25">
      <c r="A5313" s="3" t="str">
        <f>HYPERLINK("http://mystore1.ru/price_items/search?utf8=%E2%9C%93&amp;oem=5428AGNGY1C","5428AGNGY1C")</f>
        <v>5428AGNGY1C</v>
      </c>
      <c r="B5313" s="1" t="s">
        <v>10143</v>
      </c>
      <c r="C5313" s="9" t="s">
        <v>420</v>
      </c>
      <c r="D5313" s="14" t="s">
        <v>10138</v>
      </c>
      <c r="E5313" s="9" t="s">
        <v>8</v>
      </c>
    </row>
    <row r="5314" spans="1:5" ht="15" customHeight="1" outlineLevel="2" x14ac:dyDescent="0.25">
      <c r="A5314" s="3" t="str">
        <f>HYPERLINK("http://mystore1.ru/price_items/search?utf8=%E2%9C%93&amp;oem=5428AKCVS","5428AKCVS")</f>
        <v>5428AKCVS</v>
      </c>
      <c r="B5314" s="1" t="s">
        <v>10144</v>
      </c>
      <c r="C5314" s="9" t="s">
        <v>25</v>
      </c>
      <c r="D5314" s="14" t="s">
        <v>10145</v>
      </c>
      <c r="E5314" s="9" t="s">
        <v>27</v>
      </c>
    </row>
    <row r="5315" spans="1:5" ht="15" customHeight="1" outlineLevel="2" x14ac:dyDescent="0.25">
      <c r="A5315" s="3" t="str">
        <f>HYPERLINK("http://mystore1.ru/price_items/search?utf8=%E2%9C%93&amp;oem=5428AKMVS","5428AKMVS")</f>
        <v>5428AKMVS</v>
      </c>
      <c r="B5315" s="1" t="s">
        <v>10146</v>
      </c>
      <c r="C5315" s="9" t="s">
        <v>25</v>
      </c>
      <c r="D5315" s="14" t="s">
        <v>10147</v>
      </c>
      <c r="E5315" s="9" t="s">
        <v>27</v>
      </c>
    </row>
    <row r="5316" spans="1:5" ht="15" customHeight="1" outlineLevel="2" x14ac:dyDescent="0.25">
      <c r="A5316" s="3" t="str">
        <f>HYPERLINK("http://mystore1.ru/price_items/search?utf8=%E2%9C%93&amp;oem=5428ASMVT","5428ASMVT")</f>
        <v>5428ASMVT</v>
      </c>
      <c r="B5316" s="1" t="s">
        <v>10148</v>
      </c>
      <c r="C5316" s="9" t="s">
        <v>25</v>
      </c>
      <c r="D5316" s="14" t="s">
        <v>10149</v>
      </c>
      <c r="E5316" s="9" t="s">
        <v>27</v>
      </c>
    </row>
    <row r="5317" spans="1:5" ht="15" customHeight="1" outlineLevel="2" x14ac:dyDescent="0.25">
      <c r="A5317" s="3" t="str">
        <f>HYPERLINK("http://mystore1.ru/price_items/search?utf8=%E2%9C%93&amp;oem=5428BCLV","5428BCLV")</f>
        <v>5428BCLV</v>
      </c>
      <c r="B5317" s="1" t="s">
        <v>10150</v>
      </c>
      <c r="C5317" s="9" t="s">
        <v>420</v>
      </c>
      <c r="D5317" s="14" t="s">
        <v>10151</v>
      </c>
      <c r="E5317" s="9" t="s">
        <v>30</v>
      </c>
    </row>
    <row r="5318" spans="1:5" ht="15" customHeight="1" outlineLevel="2" x14ac:dyDescent="0.25">
      <c r="A5318" s="3" t="str">
        <f>HYPERLINK("http://mystore1.ru/price_items/search?utf8=%E2%9C%93&amp;oem=5428BCLVL","5428BCLVL")</f>
        <v>5428BCLVL</v>
      </c>
      <c r="B5318" s="1" t="s">
        <v>10152</v>
      </c>
      <c r="C5318" s="9" t="s">
        <v>420</v>
      </c>
      <c r="D5318" s="14" t="s">
        <v>10153</v>
      </c>
      <c r="E5318" s="9" t="s">
        <v>30</v>
      </c>
    </row>
    <row r="5319" spans="1:5" ht="15" customHeight="1" outlineLevel="2" x14ac:dyDescent="0.25">
      <c r="A5319" s="3" t="str">
        <f>HYPERLINK("http://mystore1.ru/price_items/search?utf8=%E2%9C%93&amp;oem=5428BCLVR","5428BCLVR")</f>
        <v>5428BCLVR</v>
      </c>
      <c r="B5319" s="1" t="s">
        <v>10154</v>
      </c>
      <c r="C5319" s="9" t="s">
        <v>420</v>
      </c>
      <c r="D5319" s="14" t="s">
        <v>10155</v>
      </c>
      <c r="E5319" s="9" t="s">
        <v>30</v>
      </c>
    </row>
    <row r="5320" spans="1:5" ht="15" customHeight="1" outlineLevel="2" x14ac:dyDescent="0.25">
      <c r="A5320" s="3" t="str">
        <f>HYPERLINK("http://mystore1.ru/price_items/search?utf8=%E2%9C%93&amp;oem=5428BGNV","5428BGNV")</f>
        <v>5428BGNV</v>
      </c>
      <c r="B5320" s="1" t="s">
        <v>10156</v>
      </c>
      <c r="C5320" s="9" t="s">
        <v>420</v>
      </c>
      <c r="D5320" s="14" t="s">
        <v>10157</v>
      </c>
      <c r="E5320" s="9" t="s">
        <v>30</v>
      </c>
    </row>
    <row r="5321" spans="1:5" ht="15" customHeight="1" outlineLevel="2" x14ac:dyDescent="0.25">
      <c r="A5321" s="3" t="str">
        <f>HYPERLINK("http://mystore1.ru/price_items/search?utf8=%E2%9C%93&amp;oem=5428BGNVB","5428BGNVB")</f>
        <v>5428BGNVB</v>
      </c>
      <c r="B5321" s="1" t="s">
        <v>10158</v>
      </c>
      <c r="C5321" s="9" t="s">
        <v>420</v>
      </c>
      <c r="D5321" s="14" t="s">
        <v>10159</v>
      </c>
      <c r="E5321" s="9" t="s">
        <v>30</v>
      </c>
    </row>
    <row r="5322" spans="1:5" ht="15" customHeight="1" outlineLevel="2" x14ac:dyDescent="0.25">
      <c r="A5322" s="3" t="str">
        <f>HYPERLINK("http://mystore1.ru/price_items/search?utf8=%E2%9C%93&amp;oem=5428BGNVL","5428BGNVL")</f>
        <v>5428BGNVL</v>
      </c>
      <c r="B5322" s="1" t="s">
        <v>10160</v>
      </c>
      <c r="C5322" s="9" t="s">
        <v>420</v>
      </c>
      <c r="D5322" s="14" t="s">
        <v>10161</v>
      </c>
      <c r="E5322" s="9" t="s">
        <v>30</v>
      </c>
    </row>
    <row r="5323" spans="1:5" ht="15" customHeight="1" outlineLevel="2" x14ac:dyDescent="0.25">
      <c r="A5323" s="3" t="str">
        <f>HYPERLINK("http://mystore1.ru/price_items/search?utf8=%E2%9C%93&amp;oem=5428BGNVR","5428BGNVR")</f>
        <v>5428BGNVR</v>
      </c>
      <c r="B5323" s="1" t="s">
        <v>10162</v>
      </c>
      <c r="C5323" s="9" t="s">
        <v>420</v>
      </c>
      <c r="D5323" s="14" t="s">
        <v>10163</v>
      </c>
      <c r="E5323" s="9" t="s">
        <v>30</v>
      </c>
    </row>
    <row r="5324" spans="1:5" ht="15" customHeight="1" outlineLevel="2" x14ac:dyDescent="0.25">
      <c r="A5324" s="3" t="str">
        <f>HYPERLINK("http://mystore1.ru/price_items/search?utf8=%E2%9C%93&amp;oem=5428LCLV2FDW","5428LCLV2FDW")</f>
        <v>5428LCLV2FDW</v>
      </c>
      <c r="B5324" s="1" t="s">
        <v>10164</v>
      </c>
      <c r="C5324" s="9" t="s">
        <v>420</v>
      </c>
      <c r="D5324" s="14" t="s">
        <v>10165</v>
      </c>
      <c r="E5324" s="9" t="s">
        <v>11</v>
      </c>
    </row>
    <row r="5325" spans="1:5" ht="15" customHeight="1" outlineLevel="2" x14ac:dyDescent="0.25">
      <c r="A5325" s="3" t="str">
        <f>HYPERLINK("http://mystore1.ru/price_items/search?utf8=%E2%9C%93&amp;oem=5428LCLV4MQ","5428LCLV4MQ")</f>
        <v>5428LCLV4MQ</v>
      </c>
      <c r="B5325" s="1" t="s">
        <v>10166</v>
      </c>
      <c r="C5325" s="9" t="s">
        <v>420</v>
      </c>
      <c r="D5325" s="14" t="s">
        <v>10167</v>
      </c>
      <c r="E5325" s="9" t="s">
        <v>11</v>
      </c>
    </row>
    <row r="5326" spans="1:5" ht="15" customHeight="1" outlineLevel="2" x14ac:dyDescent="0.25">
      <c r="A5326" s="3" t="str">
        <f>HYPERLINK("http://mystore1.ru/price_items/search?utf8=%E2%9C%93&amp;oem=5428LCLV4RD","5428LCLV4RD")</f>
        <v>5428LCLV4RD</v>
      </c>
      <c r="B5326" s="1" t="s">
        <v>10168</v>
      </c>
      <c r="C5326" s="9" t="s">
        <v>420</v>
      </c>
      <c r="D5326" s="14" t="s">
        <v>10169</v>
      </c>
      <c r="E5326" s="9" t="s">
        <v>11</v>
      </c>
    </row>
    <row r="5327" spans="1:5" ht="15" customHeight="1" outlineLevel="2" x14ac:dyDescent="0.25">
      <c r="A5327" s="3" t="str">
        <f>HYPERLINK("http://mystore1.ru/price_items/search?utf8=%E2%9C%93&amp;oem=5428LCLV4RQ","5428LCLV4RQ")</f>
        <v>5428LCLV4RQ</v>
      </c>
      <c r="B5327" s="1" t="s">
        <v>10170</v>
      </c>
      <c r="C5327" s="9" t="s">
        <v>420</v>
      </c>
      <c r="D5327" s="14" t="s">
        <v>10171</v>
      </c>
      <c r="E5327" s="9" t="s">
        <v>11</v>
      </c>
    </row>
    <row r="5328" spans="1:5" ht="15" customHeight="1" outlineLevel="2" x14ac:dyDescent="0.25">
      <c r="A5328" s="3" t="str">
        <f>HYPERLINK("http://mystore1.ru/price_items/search?utf8=%E2%9C%93&amp;oem=5428LCLV4RQZ1J","5428LCLV4RQZ1J")</f>
        <v>5428LCLV4RQZ1J</v>
      </c>
      <c r="B5328" s="1" t="s">
        <v>10172</v>
      </c>
      <c r="C5328" s="9" t="s">
        <v>420</v>
      </c>
      <c r="D5328" s="14" t="s">
        <v>10173</v>
      </c>
      <c r="E5328" s="9" t="s">
        <v>11</v>
      </c>
    </row>
    <row r="5329" spans="1:5" ht="15" customHeight="1" outlineLevel="2" x14ac:dyDescent="0.25">
      <c r="A5329" s="3" t="str">
        <f>HYPERLINK("http://mystore1.ru/price_items/search?utf8=%E2%9C%93&amp;oem=5428LGNV2FDW","5428LGNV2FDW")</f>
        <v>5428LGNV2FDW</v>
      </c>
      <c r="B5329" s="1" t="s">
        <v>10174</v>
      </c>
      <c r="C5329" s="9" t="s">
        <v>420</v>
      </c>
      <c r="D5329" s="14" t="s">
        <v>10175</v>
      </c>
      <c r="E5329" s="9" t="s">
        <v>11</v>
      </c>
    </row>
    <row r="5330" spans="1:5" ht="15" customHeight="1" outlineLevel="2" x14ac:dyDescent="0.25">
      <c r="A5330" s="3" t="str">
        <f>HYPERLINK("http://mystore1.ru/price_items/search?utf8=%E2%9C%93&amp;oem=5428LGNV4MQ","5428LGNV4MQ")</f>
        <v>5428LGNV4MQ</v>
      </c>
      <c r="B5330" s="1" t="s">
        <v>10176</v>
      </c>
      <c r="C5330" s="9" t="s">
        <v>420</v>
      </c>
      <c r="D5330" s="14" t="s">
        <v>10177</v>
      </c>
      <c r="E5330" s="9" t="s">
        <v>11</v>
      </c>
    </row>
    <row r="5331" spans="1:5" ht="15" customHeight="1" outlineLevel="2" x14ac:dyDescent="0.25">
      <c r="A5331" s="3" t="str">
        <f>HYPERLINK("http://mystore1.ru/price_items/search?utf8=%E2%9C%93&amp;oem=5428LGNV4MQOW1H","5428LGNV4MQOW1H")</f>
        <v>5428LGNV4MQOW1H</v>
      </c>
      <c r="B5331" s="1" t="s">
        <v>10178</v>
      </c>
      <c r="C5331" s="9" t="s">
        <v>420</v>
      </c>
      <c r="D5331" s="14" t="s">
        <v>10179</v>
      </c>
      <c r="E5331" s="9" t="s">
        <v>11</v>
      </c>
    </row>
    <row r="5332" spans="1:5" ht="15" customHeight="1" outlineLevel="2" x14ac:dyDescent="0.25">
      <c r="A5332" s="3" t="str">
        <f>HYPERLINK("http://mystore1.ru/price_items/search?utf8=%E2%9C%93&amp;oem=5428LGNV4RD","5428LGNV4RD")</f>
        <v>5428LGNV4RD</v>
      </c>
      <c r="B5332" s="1" t="s">
        <v>10180</v>
      </c>
      <c r="C5332" s="9" t="s">
        <v>420</v>
      </c>
      <c r="D5332" s="14" t="s">
        <v>10181</v>
      </c>
      <c r="E5332" s="9" t="s">
        <v>11</v>
      </c>
    </row>
    <row r="5333" spans="1:5" ht="15" customHeight="1" outlineLevel="2" x14ac:dyDescent="0.25">
      <c r="A5333" s="3" t="str">
        <f>HYPERLINK("http://mystore1.ru/price_items/search?utf8=%E2%9C%93&amp;oem=5428LGNV4RQ","5428LGNV4RQ")</f>
        <v>5428LGNV4RQ</v>
      </c>
      <c r="B5333" s="1" t="s">
        <v>10182</v>
      </c>
      <c r="C5333" s="9" t="s">
        <v>420</v>
      </c>
      <c r="D5333" s="14" t="s">
        <v>10183</v>
      </c>
      <c r="E5333" s="9" t="s">
        <v>11</v>
      </c>
    </row>
    <row r="5334" spans="1:5" ht="15" customHeight="1" outlineLevel="2" x14ac:dyDescent="0.25">
      <c r="A5334" s="3" t="str">
        <f>HYPERLINK("http://mystore1.ru/price_items/search?utf8=%E2%9C%93&amp;oem=5428LGNV4RQZ1J","5428LGNV4RQZ1J")</f>
        <v>5428LGNV4RQZ1J</v>
      </c>
      <c r="B5334" s="1" t="s">
        <v>10184</v>
      </c>
      <c r="C5334" s="9" t="s">
        <v>420</v>
      </c>
      <c r="D5334" s="14" t="s">
        <v>10185</v>
      </c>
      <c r="E5334" s="9" t="s">
        <v>11</v>
      </c>
    </row>
    <row r="5335" spans="1:5" ht="15" customHeight="1" outlineLevel="2" x14ac:dyDescent="0.25">
      <c r="A5335" s="3" t="str">
        <f>HYPERLINK("http://mystore1.ru/price_items/search?utf8=%E2%9C%93&amp;oem=5428RCLV2FDW","5428RCLV2FDW")</f>
        <v>5428RCLV2FDW</v>
      </c>
      <c r="B5335" s="1" t="s">
        <v>10186</v>
      </c>
      <c r="C5335" s="9" t="s">
        <v>420</v>
      </c>
      <c r="D5335" s="14" t="s">
        <v>10187</v>
      </c>
      <c r="E5335" s="9" t="s">
        <v>11</v>
      </c>
    </row>
    <row r="5336" spans="1:5" ht="15" customHeight="1" outlineLevel="2" x14ac:dyDescent="0.25">
      <c r="A5336" s="3" t="str">
        <f>HYPERLINK("http://mystore1.ru/price_items/search?utf8=%E2%9C%93&amp;oem=5428RCLV4RD","5428RCLV4RD")</f>
        <v>5428RCLV4RD</v>
      </c>
      <c r="B5336" s="1" t="s">
        <v>10188</v>
      </c>
      <c r="C5336" s="9" t="s">
        <v>420</v>
      </c>
      <c r="D5336" s="14" t="s">
        <v>10189</v>
      </c>
      <c r="E5336" s="9" t="s">
        <v>11</v>
      </c>
    </row>
    <row r="5337" spans="1:5" ht="15" customHeight="1" outlineLevel="2" x14ac:dyDescent="0.25">
      <c r="A5337" s="3" t="str">
        <f>HYPERLINK("http://mystore1.ru/price_items/search?utf8=%E2%9C%93&amp;oem=5428RCLV4RQ","5428RCLV4RQ")</f>
        <v>5428RCLV4RQ</v>
      </c>
      <c r="B5337" s="1" t="s">
        <v>10190</v>
      </c>
      <c r="C5337" s="9" t="s">
        <v>420</v>
      </c>
      <c r="D5337" s="14" t="s">
        <v>10191</v>
      </c>
      <c r="E5337" s="9" t="s">
        <v>11</v>
      </c>
    </row>
    <row r="5338" spans="1:5" ht="15" customHeight="1" outlineLevel="2" x14ac:dyDescent="0.25">
      <c r="A5338" s="3" t="str">
        <f>HYPERLINK("http://mystore1.ru/price_items/search?utf8=%E2%9C%93&amp;oem=5428RGNV2FDW","5428RGNV2FDW")</f>
        <v>5428RGNV2FDW</v>
      </c>
      <c r="B5338" s="1" t="s">
        <v>10192</v>
      </c>
      <c r="C5338" s="9" t="s">
        <v>420</v>
      </c>
      <c r="D5338" s="14" t="s">
        <v>10193</v>
      </c>
      <c r="E5338" s="9" t="s">
        <v>11</v>
      </c>
    </row>
    <row r="5339" spans="1:5" ht="15" customHeight="1" outlineLevel="2" x14ac:dyDescent="0.25">
      <c r="A5339" s="3" t="str">
        <f>HYPERLINK("http://mystore1.ru/price_items/search?utf8=%E2%9C%93&amp;oem=5428RGNV4RD","5428RGNV4RD")</f>
        <v>5428RGNV4RD</v>
      </c>
      <c r="B5339" s="1" t="s">
        <v>10194</v>
      </c>
      <c r="C5339" s="9" t="s">
        <v>420</v>
      </c>
      <c r="D5339" s="14" t="s">
        <v>10195</v>
      </c>
      <c r="E5339" s="9" t="s">
        <v>11</v>
      </c>
    </row>
    <row r="5340" spans="1:5" ht="15" customHeight="1" outlineLevel="2" x14ac:dyDescent="0.25">
      <c r="A5340" s="3" t="str">
        <f>HYPERLINK("http://mystore1.ru/price_items/search?utf8=%E2%9C%93&amp;oem=5428RGNV4RQ","5428RGNV4RQ")</f>
        <v>5428RGNV4RQ</v>
      </c>
      <c r="B5340" s="1" t="s">
        <v>10196</v>
      </c>
      <c r="C5340" s="9" t="s">
        <v>420</v>
      </c>
      <c r="D5340" s="14" t="s">
        <v>10197</v>
      </c>
      <c r="E5340" s="9" t="s">
        <v>11</v>
      </c>
    </row>
    <row r="5341" spans="1:5" outlineLevel="1" x14ac:dyDescent="0.25">
      <c r="A5341" s="2"/>
      <c r="B5341" s="6" t="s">
        <v>10198</v>
      </c>
      <c r="C5341" s="8"/>
      <c r="D5341" s="8"/>
      <c r="E5341" s="8"/>
    </row>
    <row r="5342" spans="1:5" outlineLevel="2" x14ac:dyDescent="0.25">
      <c r="A5342" s="3" t="str">
        <f>HYPERLINK("http://mystore1.ru/price_items/search?utf8=%E2%9C%93&amp;oem=5438AGSA","5438AGSA")</f>
        <v>5438AGSA</v>
      </c>
      <c r="B5342" s="1" t="s">
        <v>10199</v>
      </c>
      <c r="C5342" s="9" t="s">
        <v>1408</v>
      </c>
      <c r="D5342" s="14" t="s">
        <v>10200</v>
      </c>
      <c r="E5342" s="9" t="s">
        <v>8</v>
      </c>
    </row>
    <row r="5343" spans="1:5" outlineLevel="2" x14ac:dyDescent="0.25">
      <c r="A5343" s="3" t="str">
        <f>HYPERLINK("http://mystore1.ru/price_items/search?utf8=%E2%9C%93&amp;oem=5438AGSAM1B","5438AGSAM1B")</f>
        <v>5438AGSAM1B</v>
      </c>
      <c r="B5343" s="1" t="s">
        <v>10201</v>
      </c>
      <c r="C5343" s="9" t="s">
        <v>1408</v>
      </c>
      <c r="D5343" s="14" t="s">
        <v>10202</v>
      </c>
      <c r="E5343" s="9" t="s">
        <v>8</v>
      </c>
    </row>
    <row r="5344" spans="1:5" outlineLevel="2" x14ac:dyDescent="0.25">
      <c r="A5344" s="3" t="str">
        <f>HYPERLINK("http://mystore1.ru/price_items/search?utf8=%E2%9C%93&amp;oem=5438AGSGNA","5438AGSGNA")</f>
        <v>5438AGSGNA</v>
      </c>
      <c r="B5344" s="1" t="s">
        <v>10203</v>
      </c>
      <c r="C5344" s="9" t="s">
        <v>1408</v>
      </c>
      <c r="D5344" s="14" t="s">
        <v>10204</v>
      </c>
      <c r="E5344" s="9" t="s">
        <v>8</v>
      </c>
    </row>
    <row r="5345" spans="1:5" outlineLevel="2" x14ac:dyDescent="0.25">
      <c r="A5345" s="3" t="str">
        <f>HYPERLINK("http://mystore1.ru/price_items/search?utf8=%E2%9C%93&amp;oem=5438AGSGNAM1B","5438AGSGNAM1B")</f>
        <v>5438AGSGNAM1B</v>
      </c>
      <c r="B5345" s="1" t="s">
        <v>10205</v>
      </c>
      <c r="C5345" s="9" t="s">
        <v>1408</v>
      </c>
      <c r="D5345" s="14" t="s">
        <v>10206</v>
      </c>
      <c r="E5345" s="9" t="s">
        <v>8</v>
      </c>
    </row>
    <row r="5346" spans="1:5" outlineLevel="2" x14ac:dyDescent="0.25">
      <c r="A5346" s="3" t="str">
        <f>HYPERLINK("http://mystore1.ru/price_items/search?utf8=%E2%9C%93&amp;oem=5438ASMV","5438ASMV")</f>
        <v>5438ASMV</v>
      </c>
      <c r="B5346" s="1" t="s">
        <v>10207</v>
      </c>
      <c r="C5346" s="9" t="s">
        <v>25</v>
      </c>
      <c r="D5346" s="14" t="s">
        <v>10208</v>
      </c>
      <c r="E5346" s="9" t="s">
        <v>27</v>
      </c>
    </row>
    <row r="5347" spans="1:5" outlineLevel="2" x14ac:dyDescent="0.25">
      <c r="A5347" s="3" t="str">
        <f>HYPERLINK("http://mystore1.ru/price_items/search?utf8=%E2%9C%93&amp;oem=5438BGSV","5438BGSV")</f>
        <v>5438BGSV</v>
      </c>
      <c r="B5347" s="1" t="s">
        <v>10209</v>
      </c>
      <c r="C5347" s="9" t="s">
        <v>1408</v>
      </c>
      <c r="D5347" s="14" t="s">
        <v>10210</v>
      </c>
      <c r="E5347" s="9" t="s">
        <v>30</v>
      </c>
    </row>
    <row r="5348" spans="1:5" outlineLevel="2" x14ac:dyDescent="0.25">
      <c r="A5348" s="3" t="str">
        <f>HYPERLINK("http://mystore1.ru/price_items/search?utf8=%E2%9C%93&amp;oem=5438BGSVL","5438BGSVL")</f>
        <v>5438BGSVL</v>
      </c>
      <c r="B5348" s="1" t="s">
        <v>10211</v>
      </c>
      <c r="C5348" s="9" t="s">
        <v>1408</v>
      </c>
      <c r="D5348" s="14" t="s">
        <v>10212</v>
      </c>
      <c r="E5348" s="9" t="s">
        <v>30</v>
      </c>
    </row>
    <row r="5349" spans="1:5" outlineLevel="2" x14ac:dyDescent="0.25">
      <c r="A5349" s="3" t="str">
        <f>HYPERLINK("http://mystore1.ru/price_items/search?utf8=%E2%9C%93&amp;oem=5438BGSVR","5438BGSVR")</f>
        <v>5438BGSVR</v>
      </c>
      <c r="B5349" s="1" t="s">
        <v>10213</v>
      </c>
      <c r="C5349" s="9" t="s">
        <v>1408</v>
      </c>
      <c r="D5349" s="14" t="s">
        <v>10214</v>
      </c>
      <c r="E5349" s="9" t="s">
        <v>30</v>
      </c>
    </row>
    <row r="5350" spans="1:5" outlineLevel="2" x14ac:dyDescent="0.25">
      <c r="A5350" s="3" t="str">
        <f>HYPERLINK("http://mystore1.ru/price_items/search?utf8=%E2%9C%93&amp;oem=5438LGSV2FD","5438LGSV2FD")</f>
        <v>5438LGSV2FD</v>
      </c>
      <c r="B5350" s="1" t="s">
        <v>10215</v>
      </c>
      <c r="C5350" s="9" t="s">
        <v>1408</v>
      </c>
      <c r="D5350" s="14" t="s">
        <v>10216</v>
      </c>
      <c r="E5350" s="9" t="s">
        <v>11</v>
      </c>
    </row>
    <row r="5351" spans="1:5" outlineLevel="2" x14ac:dyDescent="0.25">
      <c r="A5351" s="3" t="str">
        <f>HYPERLINK("http://mystore1.ru/price_items/search?utf8=%E2%9C%93&amp;oem=5438LGSV3MQ","5438LGSV3MQ")</f>
        <v>5438LGSV3MQ</v>
      </c>
      <c r="B5351" s="1" t="s">
        <v>10217</v>
      </c>
      <c r="C5351" s="9" t="s">
        <v>1408</v>
      </c>
      <c r="D5351" s="14" t="s">
        <v>10218</v>
      </c>
      <c r="E5351" s="9" t="s">
        <v>11</v>
      </c>
    </row>
    <row r="5352" spans="1:5" outlineLevel="2" x14ac:dyDescent="0.25">
      <c r="A5352" s="3" t="str">
        <f>HYPERLINK("http://mystore1.ru/price_items/search?utf8=%E2%9C%93&amp;oem=5438LGSV3RQOW","5438LGSV3RQOW")</f>
        <v>5438LGSV3RQOW</v>
      </c>
      <c r="B5352" s="1" t="s">
        <v>10219</v>
      </c>
      <c r="C5352" s="9" t="s">
        <v>1408</v>
      </c>
      <c r="D5352" s="14" t="s">
        <v>10220</v>
      </c>
      <c r="E5352" s="9" t="s">
        <v>11</v>
      </c>
    </row>
    <row r="5353" spans="1:5" outlineLevel="2" x14ac:dyDescent="0.25">
      <c r="A5353" s="3" t="str">
        <f>HYPERLINK("http://mystore1.ru/price_items/search?utf8=%E2%9C%93&amp;oem=5438LGSV4RD","5438LGSV4RD")</f>
        <v>5438LGSV4RD</v>
      </c>
      <c r="B5353" s="1" t="s">
        <v>10221</v>
      </c>
      <c r="C5353" s="9" t="s">
        <v>1408</v>
      </c>
      <c r="D5353" s="14" t="s">
        <v>10222</v>
      </c>
      <c r="E5353" s="9" t="s">
        <v>11</v>
      </c>
    </row>
    <row r="5354" spans="1:5" outlineLevel="2" x14ac:dyDescent="0.25">
      <c r="A5354" s="3" t="str">
        <f>HYPERLINK("http://mystore1.ru/price_items/search?utf8=%E2%9C%93&amp;oem=5438RGSV2FD","5438RGSV2FD")</f>
        <v>5438RGSV2FD</v>
      </c>
      <c r="B5354" s="1" t="s">
        <v>10223</v>
      </c>
      <c r="C5354" s="9" t="s">
        <v>1408</v>
      </c>
      <c r="D5354" s="14" t="s">
        <v>10224</v>
      </c>
      <c r="E5354" s="9" t="s">
        <v>11</v>
      </c>
    </row>
    <row r="5355" spans="1:5" outlineLevel="2" x14ac:dyDescent="0.25">
      <c r="A5355" s="3" t="str">
        <f>HYPERLINK("http://mystore1.ru/price_items/search?utf8=%E2%9C%93&amp;oem=5438RGSV4RD","5438RGSV4RD")</f>
        <v>5438RGSV4RD</v>
      </c>
      <c r="B5355" s="1" t="s">
        <v>10225</v>
      </c>
      <c r="C5355" s="9" t="s">
        <v>1408</v>
      </c>
      <c r="D5355" s="14" t="s">
        <v>10226</v>
      </c>
      <c r="E5355" s="9" t="s">
        <v>11</v>
      </c>
    </row>
    <row r="5356" spans="1:5" outlineLevel="2" x14ac:dyDescent="0.25">
      <c r="A5356" s="3" t="str">
        <f>HYPERLINK("http://mystore1.ru/price_items/search?utf8=%E2%9C%93&amp;oem=5438RGSV3RQOW","5438RGSV3RQOW")</f>
        <v>5438RGSV3RQOW</v>
      </c>
      <c r="B5356" s="1" t="s">
        <v>10227</v>
      </c>
      <c r="C5356" s="9" t="s">
        <v>1408</v>
      </c>
      <c r="D5356" s="14" t="s">
        <v>10228</v>
      </c>
      <c r="E5356" s="9" t="s">
        <v>11</v>
      </c>
    </row>
    <row r="5357" spans="1:5" x14ac:dyDescent="0.25">
      <c r="A5357" s="61" t="s">
        <v>10229</v>
      </c>
      <c r="B5357" s="61"/>
      <c r="C5357" s="61"/>
      <c r="D5357" s="61"/>
      <c r="E5357" s="61"/>
    </row>
    <row r="5358" spans="1:5" outlineLevel="1" x14ac:dyDescent="0.25">
      <c r="A5358" s="2"/>
      <c r="B5358" s="6" t="s">
        <v>10230</v>
      </c>
      <c r="C5358" s="7"/>
      <c r="D5358" s="7"/>
      <c r="E5358" s="7"/>
    </row>
    <row r="5359" spans="1:5" outlineLevel="2" x14ac:dyDescent="0.25">
      <c r="A5359" s="3" t="str">
        <f>HYPERLINK("http://mystore1.ru/price_items/search?utf8=%E2%9C%93&amp;oem=5355AGS","5355AGS")</f>
        <v>5355AGS</v>
      </c>
      <c r="B5359" s="1" t="s">
        <v>10231</v>
      </c>
      <c r="C5359" s="9" t="s">
        <v>2036</v>
      </c>
      <c r="D5359" s="14" t="s">
        <v>10232</v>
      </c>
      <c r="E5359" s="9" t="s">
        <v>8</v>
      </c>
    </row>
    <row r="5360" spans="1:5" outlineLevel="2" x14ac:dyDescent="0.25">
      <c r="A5360" s="3" t="str">
        <f>HYPERLINK("http://mystore1.ru/price_items/search?utf8=%E2%9C%93&amp;oem=5355AGSM1B","5355AGSM1B")</f>
        <v>5355AGSM1B</v>
      </c>
      <c r="B5360" s="1" t="s">
        <v>10233</v>
      </c>
      <c r="C5360" s="9" t="s">
        <v>2036</v>
      </c>
      <c r="D5360" s="14" t="s">
        <v>10234</v>
      </c>
      <c r="E5360" s="9" t="s">
        <v>8</v>
      </c>
    </row>
    <row r="5361" spans="1:5" outlineLevel="2" x14ac:dyDescent="0.25">
      <c r="A5361" s="3" t="str">
        <f>HYPERLINK("http://mystore1.ru/price_items/search?utf8=%E2%9C%93&amp;oem=5355ASMT","5355ASMT")</f>
        <v>5355ASMT</v>
      </c>
      <c r="B5361" s="1" t="s">
        <v>10235</v>
      </c>
      <c r="C5361" s="9" t="s">
        <v>25</v>
      </c>
      <c r="D5361" s="14" t="s">
        <v>10236</v>
      </c>
      <c r="E5361" s="9" t="s">
        <v>27</v>
      </c>
    </row>
    <row r="5362" spans="1:5" outlineLevel="2" x14ac:dyDescent="0.25">
      <c r="A5362" s="3" t="str">
        <f>HYPERLINK("http://mystore1.ru/price_items/search?utf8=%E2%9C%93&amp;oem=5355BGSCU","5355BGSCU")</f>
        <v>5355BGSCU</v>
      </c>
      <c r="B5362" s="1" t="s">
        <v>10237</v>
      </c>
      <c r="C5362" s="9" t="s">
        <v>2036</v>
      </c>
      <c r="D5362" s="14" t="s">
        <v>10238</v>
      </c>
      <c r="E5362" s="9" t="s">
        <v>30</v>
      </c>
    </row>
    <row r="5363" spans="1:5" outlineLevel="2" x14ac:dyDescent="0.25">
      <c r="A5363" s="3" t="str">
        <f>HYPERLINK("http://mystore1.ru/price_items/search?utf8=%E2%9C%93&amp;oem=5355BGSC","5355BGSC")</f>
        <v>5355BGSC</v>
      </c>
      <c r="B5363" s="1" t="s">
        <v>10239</v>
      </c>
      <c r="C5363" s="9" t="s">
        <v>2036</v>
      </c>
      <c r="D5363" s="14" t="s">
        <v>10240</v>
      </c>
      <c r="E5363" s="9" t="s">
        <v>30</v>
      </c>
    </row>
    <row r="5364" spans="1:5" outlineLevel="2" x14ac:dyDescent="0.25">
      <c r="A5364" s="3" t="str">
        <f>HYPERLINK("http://mystore1.ru/price_items/search?utf8=%E2%9C%93&amp;oem=5355BGST","5355BGST")</f>
        <v>5355BGST</v>
      </c>
      <c r="B5364" s="1" t="s">
        <v>10241</v>
      </c>
      <c r="C5364" s="9" t="s">
        <v>2036</v>
      </c>
      <c r="D5364" s="14" t="s">
        <v>10242</v>
      </c>
      <c r="E5364" s="9" t="s">
        <v>30</v>
      </c>
    </row>
    <row r="5365" spans="1:5" outlineLevel="2" x14ac:dyDescent="0.25">
      <c r="A5365" s="3" t="str">
        <f>HYPERLINK("http://mystore1.ru/price_items/search?utf8=%E2%9C%93&amp;oem=5355LGST2FD","5355LGST2FD")</f>
        <v>5355LGST2FD</v>
      </c>
      <c r="B5365" s="1" t="s">
        <v>10243</v>
      </c>
      <c r="C5365" s="9" t="s">
        <v>2036</v>
      </c>
      <c r="D5365" s="14" t="s">
        <v>10244</v>
      </c>
      <c r="E5365" s="9" t="s">
        <v>11</v>
      </c>
    </row>
    <row r="5366" spans="1:5" outlineLevel="2" x14ac:dyDescent="0.25">
      <c r="A5366" s="3" t="str">
        <f>HYPERLINK("http://mystore1.ru/price_items/search?utf8=%E2%9C%93&amp;oem=5355RGST2FD","5355RGST2FD")</f>
        <v>5355RGST2FD</v>
      </c>
      <c r="B5366" s="1" t="s">
        <v>10245</v>
      </c>
      <c r="C5366" s="9" t="s">
        <v>2036</v>
      </c>
      <c r="D5366" s="14" t="s">
        <v>10246</v>
      </c>
      <c r="E5366" s="9" t="s">
        <v>11</v>
      </c>
    </row>
    <row r="5367" spans="1:5" x14ac:dyDescent="0.25">
      <c r="A5367" s="61" t="s">
        <v>10247</v>
      </c>
      <c r="B5367" s="61"/>
      <c r="C5367" s="61"/>
      <c r="D5367" s="61"/>
      <c r="E5367" s="61"/>
    </row>
    <row r="5368" spans="1:5" outlineLevel="1" x14ac:dyDescent="0.25">
      <c r="A5368" s="2"/>
      <c r="B5368" s="6" t="s">
        <v>10248</v>
      </c>
      <c r="C5368" s="8"/>
      <c r="D5368" s="8"/>
      <c r="E5368" s="8"/>
    </row>
    <row r="5369" spans="1:5" ht="15" customHeight="1" outlineLevel="2" x14ac:dyDescent="0.25">
      <c r="A5369" s="3" t="str">
        <f>HYPERLINK("http://mystore1.ru/price_items/search?utf8=%E2%9C%93&amp;oem=5644AGNBL","5644AGNBL")</f>
        <v>5644AGNBL</v>
      </c>
      <c r="B5369" s="1" t="s">
        <v>10249</v>
      </c>
      <c r="C5369" s="9" t="s">
        <v>2015</v>
      </c>
      <c r="D5369" s="14" t="s">
        <v>10250</v>
      </c>
      <c r="E5369" s="9" t="s">
        <v>8</v>
      </c>
    </row>
    <row r="5370" spans="1:5" ht="15" customHeight="1" outlineLevel="2" x14ac:dyDescent="0.25">
      <c r="A5370" s="3" t="str">
        <f>HYPERLINK("http://mystore1.ru/price_items/search?utf8=%E2%9C%93&amp;oem=5644AGYGY","5644AGYGY")</f>
        <v>5644AGYGY</v>
      </c>
      <c r="B5370" s="1" t="s">
        <v>10251</v>
      </c>
      <c r="C5370" s="9" t="s">
        <v>2015</v>
      </c>
      <c r="D5370" s="14" t="s">
        <v>10252</v>
      </c>
      <c r="E5370" s="9" t="s">
        <v>8</v>
      </c>
    </row>
    <row r="5371" spans="1:5" outlineLevel="1" x14ac:dyDescent="0.25">
      <c r="A5371" s="2"/>
      <c r="B5371" s="6" t="s">
        <v>10253</v>
      </c>
      <c r="C5371" s="8"/>
      <c r="D5371" s="8"/>
      <c r="E5371" s="8"/>
    </row>
    <row r="5372" spans="1:5" ht="15" customHeight="1" outlineLevel="2" x14ac:dyDescent="0.25">
      <c r="A5372" s="3" t="str">
        <f>HYPERLINK("http://mystore1.ru/price_items/search?utf8=%E2%9C%93&amp;oem=5689AGNV","5689AGNV")</f>
        <v>5689AGNV</v>
      </c>
      <c r="B5372" s="1" t="s">
        <v>10254</v>
      </c>
      <c r="C5372" s="9" t="s">
        <v>601</v>
      </c>
      <c r="D5372" s="14" t="s">
        <v>10255</v>
      </c>
      <c r="E5372" s="9" t="s">
        <v>8</v>
      </c>
    </row>
    <row r="5373" spans="1:5" ht="15" customHeight="1" outlineLevel="2" x14ac:dyDescent="0.25">
      <c r="A5373" s="3" t="str">
        <f>HYPERLINK("http://mystore1.ru/price_items/search?utf8=%E2%9C%93&amp;oem=5689AGNMV1B","5689AGNMV1B")</f>
        <v>5689AGNMV1B</v>
      </c>
      <c r="B5373" s="1" t="s">
        <v>10256</v>
      </c>
      <c r="C5373" s="9" t="s">
        <v>601</v>
      </c>
      <c r="D5373" s="14" t="s">
        <v>10257</v>
      </c>
      <c r="E5373" s="9" t="s">
        <v>8</v>
      </c>
    </row>
    <row r="5374" spans="1:5" outlineLevel="1" x14ac:dyDescent="0.25">
      <c r="A5374" s="2"/>
      <c r="B5374" s="6" t="s">
        <v>10258</v>
      </c>
      <c r="C5374" s="8"/>
      <c r="D5374" s="8"/>
      <c r="E5374" s="8"/>
    </row>
    <row r="5375" spans="1:5" ht="15" customHeight="1" outlineLevel="2" x14ac:dyDescent="0.25">
      <c r="A5375" s="3" t="str">
        <f>HYPERLINK("http://mystore1.ru/price_items/search?utf8=%E2%9C%93&amp;oem=5625ACL","5625ACL")</f>
        <v>5625ACL</v>
      </c>
      <c r="B5375" s="1" t="s">
        <v>10259</v>
      </c>
      <c r="C5375" s="9" t="s">
        <v>10260</v>
      </c>
      <c r="D5375" s="14" t="s">
        <v>10261</v>
      </c>
      <c r="E5375" s="9" t="s">
        <v>8</v>
      </c>
    </row>
    <row r="5376" spans="1:5" outlineLevel="1" x14ac:dyDescent="0.25">
      <c r="A5376" s="2"/>
      <c r="B5376" s="6" t="s">
        <v>10262</v>
      </c>
      <c r="C5376" s="8"/>
      <c r="D5376" s="8"/>
      <c r="E5376" s="8"/>
    </row>
    <row r="5377" spans="1:5" ht="15" customHeight="1" outlineLevel="2" x14ac:dyDescent="0.25">
      <c r="A5377" s="3" t="str">
        <f>HYPERLINK("http://mystore1.ru/price_items/search?utf8=%E2%9C%93&amp;oem=5646AGN","5646AGN")</f>
        <v>5646AGN</v>
      </c>
      <c r="B5377" s="1" t="s">
        <v>10263</v>
      </c>
      <c r="C5377" s="9" t="s">
        <v>3218</v>
      </c>
      <c r="D5377" s="14" t="s">
        <v>10264</v>
      </c>
      <c r="E5377" s="9" t="s">
        <v>8</v>
      </c>
    </row>
    <row r="5378" spans="1:5" ht="15" customHeight="1" outlineLevel="2" x14ac:dyDescent="0.25">
      <c r="A5378" s="3" t="str">
        <f>HYPERLINK("http://mystore1.ru/price_items/search?utf8=%E2%9C%93&amp;oem=5646AGNBL","5646AGNBL")</f>
        <v>5646AGNBL</v>
      </c>
      <c r="B5378" s="1" t="s">
        <v>10265</v>
      </c>
      <c r="C5378" s="9" t="s">
        <v>3218</v>
      </c>
      <c r="D5378" s="14" t="s">
        <v>10266</v>
      </c>
      <c r="E5378" s="9" t="s">
        <v>8</v>
      </c>
    </row>
    <row r="5379" spans="1:5" ht="15" customHeight="1" outlineLevel="2" x14ac:dyDescent="0.25">
      <c r="A5379" s="3" t="str">
        <f>HYPERLINK("http://mystore1.ru/price_items/search?utf8=%E2%9C%93&amp;oem=5646AGNGN","5646AGNGN")</f>
        <v>5646AGNGN</v>
      </c>
      <c r="B5379" s="1" t="s">
        <v>10267</v>
      </c>
      <c r="C5379" s="9" t="s">
        <v>3218</v>
      </c>
      <c r="D5379" s="14" t="s">
        <v>10268</v>
      </c>
      <c r="E5379" s="9" t="s">
        <v>8</v>
      </c>
    </row>
    <row r="5380" spans="1:5" ht="15" customHeight="1" outlineLevel="2" x14ac:dyDescent="0.25">
      <c r="A5380" s="3" t="str">
        <f>HYPERLINK("http://mystore1.ru/price_items/search?utf8=%E2%9C%93&amp;oem=5646ASMHT","5646ASMHT")</f>
        <v>5646ASMHT</v>
      </c>
      <c r="B5380" s="1" t="s">
        <v>10269</v>
      </c>
      <c r="C5380" s="9" t="s">
        <v>25</v>
      </c>
      <c r="D5380" s="14" t="s">
        <v>10270</v>
      </c>
      <c r="E5380" s="9" t="s">
        <v>27</v>
      </c>
    </row>
    <row r="5381" spans="1:5" ht="15" customHeight="1" outlineLevel="2" x14ac:dyDescent="0.25">
      <c r="A5381" s="3" t="str">
        <f>HYPERLINK("http://mystore1.ru/price_items/search?utf8=%E2%9C%93&amp;oem=5646BGNH","5646BGNH")</f>
        <v>5646BGNH</v>
      </c>
      <c r="B5381" s="1" t="s">
        <v>10271</v>
      </c>
      <c r="C5381" s="9" t="s">
        <v>3218</v>
      </c>
      <c r="D5381" s="14" t="s">
        <v>10272</v>
      </c>
      <c r="E5381" s="9" t="s">
        <v>30</v>
      </c>
    </row>
    <row r="5382" spans="1:5" ht="15" customHeight="1" outlineLevel="2" x14ac:dyDescent="0.25">
      <c r="A5382" s="3" t="str">
        <f>HYPERLINK("http://mystore1.ru/price_items/search?utf8=%E2%9C%93&amp;oem=5646BGNH1J","5646BGNH1J")</f>
        <v>5646BGNH1J</v>
      </c>
      <c r="B5382" s="1" t="s">
        <v>10273</v>
      </c>
      <c r="C5382" s="9" t="s">
        <v>9574</v>
      </c>
      <c r="D5382" s="14" t="s">
        <v>10274</v>
      </c>
      <c r="E5382" s="9" t="s">
        <v>30</v>
      </c>
    </row>
    <row r="5383" spans="1:5" ht="15" customHeight="1" outlineLevel="2" x14ac:dyDescent="0.25">
      <c r="A5383" s="3" t="str">
        <f>HYPERLINK("http://mystore1.ru/price_items/search?utf8=%E2%9C%93&amp;oem=5646BGNS","5646BGNS")</f>
        <v>5646BGNS</v>
      </c>
      <c r="B5383" s="1" t="s">
        <v>10275</v>
      </c>
      <c r="C5383" s="9" t="s">
        <v>3218</v>
      </c>
      <c r="D5383" s="14" t="s">
        <v>10276</v>
      </c>
      <c r="E5383" s="9" t="s">
        <v>30</v>
      </c>
    </row>
    <row r="5384" spans="1:5" ht="15" customHeight="1" outlineLevel="2" x14ac:dyDescent="0.25">
      <c r="A5384" s="3" t="str">
        <f>HYPERLINK("http://mystore1.ru/price_items/search?utf8=%E2%9C%93&amp;oem=5646LGNH5FD","5646LGNH5FD")</f>
        <v>5646LGNH5FD</v>
      </c>
      <c r="B5384" s="1" t="s">
        <v>10277</v>
      </c>
      <c r="C5384" s="9" t="s">
        <v>3218</v>
      </c>
      <c r="D5384" s="14" t="s">
        <v>10278</v>
      </c>
      <c r="E5384" s="9" t="s">
        <v>11</v>
      </c>
    </row>
    <row r="5385" spans="1:5" ht="15" customHeight="1" outlineLevel="2" x14ac:dyDescent="0.25">
      <c r="A5385" s="3" t="str">
        <f>HYPERLINK("http://mystore1.ru/price_items/search?utf8=%E2%9C%93&amp;oem=5646LGNH5RD","5646LGNH5RD")</f>
        <v>5646LGNH5RD</v>
      </c>
      <c r="B5385" s="1" t="s">
        <v>10279</v>
      </c>
      <c r="C5385" s="9" t="s">
        <v>3218</v>
      </c>
      <c r="D5385" s="14" t="s">
        <v>10280</v>
      </c>
      <c r="E5385" s="9" t="s">
        <v>11</v>
      </c>
    </row>
    <row r="5386" spans="1:5" ht="15" customHeight="1" outlineLevel="2" x14ac:dyDescent="0.25">
      <c r="A5386" s="3" t="str">
        <f>HYPERLINK("http://mystore1.ru/price_items/search?utf8=%E2%9C%93&amp;oem=5646LGNH5RV","5646LGNH5RV")</f>
        <v>5646LGNH5RV</v>
      </c>
      <c r="B5386" s="1" t="s">
        <v>10281</v>
      </c>
      <c r="C5386" s="9" t="s">
        <v>3218</v>
      </c>
      <c r="D5386" s="14" t="s">
        <v>10282</v>
      </c>
      <c r="E5386" s="9" t="s">
        <v>11</v>
      </c>
    </row>
    <row r="5387" spans="1:5" ht="15" customHeight="1" outlineLevel="2" x14ac:dyDescent="0.25">
      <c r="A5387" s="3" t="str">
        <f>HYPERLINK("http://mystore1.ru/price_items/search?utf8=%E2%9C%93&amp;oem=5646LGNS4RD","5646LGNS4RD")</f>
        <v>5646LGNS4RD</v>
      </c>
      <c r="B5387" s="1" t="s">
        <v>10283</v>
      </c>
      <c r="C5387" s="9" t="s">
        <v>3218</v>
      </c>
      <c r="D5387" s="14" t="s">
        <v>10284</v>
      </c>
      <c r="E5387" s="9" t="s">
        <v>11</v>
      </c>
    </row>
    <row r="5388" spans="1:5" ht="15" customHeight="1" outlineLevel="2" x14ac:dyDescent="0.25">
      <c r="A5388" s="3" t="str">
        <f>HYPERLINK("http://mystore1.ru/price_items/search?utf8=%E2%9C%93&amp;oem=5646LGNS4RV","5646LGNS4RV")</f>
        <v>5646LGNS4RV</v>
      </c>
      <c r="B5388" s="1" t="s">
        <v>10285</v>
      </c>
      <c r="C5388" s="9" t="s">
        <v>3218</v>
      </c>
      <c r="D5388" s="14" t="s">
        <v>10286</v>
      </c>
      <c r="E5388" s="9" t="s">
        <v>11</v>
      </c>
    </row>
    <row r="5389" spans="1:5" ht="15" customHeight="1" outlineLevel="2" x14ac:dyDescent="0.25">
      <c r="A5389" s="3" t="str">
        <f>HYPERLINK("http://mystore1.ru/price_items/search?utf8=%E2%9C%93&amp;oem=5646RGNH5FD","5646RGNH5FD")</f>
        <v>5646RGNH5FD</v>
      </c>
      <c r="B5389" s="1" t="s">
        <v>10287</v>
      </c>
      <c r="C5389" s="9" t="s">
        <v>3218</v>
      </c>
      <c r="D5389" s="14" t="s">
        <v>10288</v>
      </c>
      <c r="E5389" s="9" t="s">
        <v>11</v>
      </c>
    </row>
    <row r="5390" spans="1:5" ht="15" customHeight="1" outlineLevel="2" x14ac:dyDescent="0.25">
      <c r="A5390" s="3" t="str">
        <f>HYPERLINK("http://mystore1.ru/price_items/search?utf8=%E2%9C%93&amp;oem=5646RGNH5RD","5646RGNH5RD")</f>
        <v>5646RGNH5RD</v>
      </c>
      <c r="B5390" s="1" t="s">
        <v>10289</v>
      </c>
      <c r="C5390" s="9" t="s">
        <v>3218</v>
      </c>
      <c r="D5390" s="14" t="s">
        <v>10290</v>
      </c>
      <c r="E5390" s="9" t="s">
        <v>11</v>
      </c>
    </row>
    <row r="5391" spans="1:5" ht="15" customHeight="1" outlineLevel="2" x14ac:dyDescent="0.25">
      <c r="A5391" s="3" t="str">
        <f>HYPERLINK("http://mystore1.ru/price_items/search?utf8=%E2%9C%93&amp;oem=5646RGNH5RV","5646RGNH5RV")</f>
        <v>5646RGNH5RV</v>
      </c>
      <c r="B5391" s="1" t="s">
        <v>10291</v>
      </c>
      <c r="C5391" s="9" t="s">
        <v>3218</v>
      </c>
      <c r="D5391" s="14" t="s">
        <v>10292</v>
      </c>
      <c r="E5391" s="9" t="s">
        <v>11</v>
      </c>
    </row>
    <row r="5392" spans="1:5" ht="15" customHeight="1" outlineLevel="2" x14ac:dyDescent="0.25">
      <c r="A5392" s="3" t="str">
        <f>HYPERLINK("http://mystore1.ru/price_items/search?utf8=%E2%9C%93&amp;oem=5646RGNS4RD","5646RGNS4RD")</f>
        <v>5646RGNS4RD</v>
      </c>
      <c r="B5392" s="1" t="s">
        <v>10293</v>
      </c>
      <c r="C5392" s="9" t="s">
        <v>3218</v>
      </c>
      <c r="D5392" s="14" t="s">
        <v>10294</v>
      </c>
      <c r="E5392" s="9" t="s">
        <v>11</v>
      </c>
    </row>
    <row r="5393" spans="1:5" ht="15" customHeight="1" outlineLevel="2" x14ac:dyDescent="0.25">
      <c r="A5393" s="3" t="str">
        <f>HYPERLINK("http://mystore1.ru/price_items/search?utf8=%E2%9C%93&amp;oem=5646RGNS4RV","5646RGNS4RV")</f>
        <v>5646RGNS4RV</v>
      </c>
      <c r="B5393" s="1" t="s">
        <v>10295</v>
      </c>
      <c r="C5393" s="9" t="s">
        <v>3218</v>
      </c>
      <c r="D5393" s="14" t="s">
        <v>10296</v>
      </c>
      <c r="E5393" s="9" t="s">
        <v>11</v>
      </c>
    </row>
    <row r="5394" spans="1:5" outlineLevel="1" x14ac:dyDescent="0.25">
      <c r="A5394" s="2"/>
      <c r="B5394" s="6" t="s">
        <v>10297</v>
      </c>
      <c r="C5394" s="8"/>
      <c r="D5394" s="8"/>
      <c r="E5394" s="8"/>
    </row>
    <row r="5395" spans="1:5" ht="15" customHeight="1" outlineLevel="2" x14ac:dyDescent="0.25">
      <c r="A5395" s="3" t="str">
        <f>HYPERLINK("http://mystore1.ru/price_items/search?utf8=%E2%9C%93&amp;oem=5632ABL","5632ABL")</f>
        <v>5632ABL</v>
      </c>
      <c r="B5395" s="1" t="s">
        <v>10298</v>
      </c>
      <c r="C5395" s="9" t="s">
        <v>5871</v>
      </c>
      <c r="D5395" s="14" t="s">
        <v>10299</v>
      </c>
      <c r="E5395" s="9" t="s">
        <v>8</v>
      </c>
    </row>
    <row r="5396" spans="1:5" ht="15" customHeight="1" outlineLevel="2" x14ac:dyDescent="0.25">
      <c r="A5396" s="3" t="str">
        <f>HYPERLINK("http://mystore1.ru/price_items/search?utf8=%E2%9C%93&amp;oem=5632ABLBL","5632ABLBL")</f>
        <v>5632ABLBL</v>
      </c>
      <c r="B5396" s="1" t="s">
        <v>10300</v>
      </c>
      <c r="C5396" s="9" t="s">
        <v>5871</v>
      </c>
      <c r="D5396" s="14" t="s">
        <v>10301</v>
      </c>
      <c r="E5396" s="9" t="s">
        <v>8</v>
      </c>
    </row>
    <row r="5397" spans="1:5" ht="15" customHeight="1" outlineLevel="2" x14ac:dyDescent="0.25">
      <c r="A5397" s="3" t="str">
        <f>HYPERLINK("http://mystore1.ru/price_items/search?utf8=%E2%9C%93&amp;oem=5632AKCH","5632AKCH")</f>
        <v>5632AKCH</v>
      </c>
      <c r="B5397" s="1" t="s">
        <v>10302</v>
      </c>
      <c r="C5397" s="9" t="s">
        <v>25</v>
      </c>
      <c r="D5397" s="14" t="s">
        <v>10303</v>
      </c>
      <c r="E5397" s="9" t="s">
        <v>27</v>
      </c>
    </row>
    <row r="5398" spans="1:5" ht="15" customHeight="1" outlineLevel="2" x14ac:dyDescent="0.25">
      <c r="A5398" s="3" t="str">
        <f>HYPERLINK("http://mystore1.ru/price_items/search?utf8=%E2%9C%93&amp;oem=5632ASMHT","5632ASMHT")</f>
        <v>5632ASMHT</v>
      </c>
      <c r="B5398" s="1" t="s">
        <v>10304</v>
      </c>
      <c r="C5398" s="9" t="s">
        <v>25</v>
      </c>
      <c r="D5398" s="14" t="s">
        <v>10305</v>
      </c>
      <c r="E5398" s="9" t="s">
        <v>27</v>
      </c>
    </row>
    <row r="5399" spans="1:5" ht="15" customHeight="1" outlineLevel="2" x14ac:dyDescent="0.25">
      <c r="A5399" s="3" t="str">
        <f>HYPERLINK("http://mystore1.ru/price_items/search?utf8=%E2%9C%93&amp;oem=5632BBLH","5632BBLH")</f>
        <v>5632BBLH</v>
      </c>
      <c r="B5399" s="1" t="s">
        <v>10306</v>
      </c>
      <c r="C5399" s="9" t="s">
        <v>5871</v>
      </c>
      <c r="D5399" s="14" t="s">
        <v>10307</v>
      </c>
      <c r="E5399" s="9" t="s">
        <v>30</v>
      </c>
    </row>
    <row r="5400" spans="1:5" ht="15" customHeight="1" outlineLevel="2" x14ac:dyDescent="0.25">
      <c r="A5400" s="3" t="str">
        <f>HYPERLINK("http://mystore1.ru/price_items/search?utf8=%E2%9C%93&amp;oem=5632LBLH3FD","5632LBLH3FD")</f>
        <v>5632LBLH3FD</v>
      </c>
      <c r="B5400" s="1" t="s">
        <v>10308</v>
      </c>
      <c r="C5400" s="9" t="s">
        <v>5871</v>
      </c>
      <c r="D5400" s="14" t="s">
        <v>10309</v>
      </c>
      <c r="E5400" s="9" t="s">
        <v>11</v>
      </c>
    </row>
    <row r="5401" spans="1:5" ht="15" customHeight="1" outlineLevel="2" x14ac:dyDescent="0.25">
      <c r="A5401" s="3" t="str">
        <f>HYPERLINK("http://mystore1.ru/price_items/search?utf8=%E2%9C%93&amp;oem=5632RBLH3FD","5632RBLH3FD")</f>
        <v>5632RBLH3FD</v>
      </c>
      <c r="B5401" s="1" t="s">
        <v>10310</v>
      </c>
      <c r="C5401" s="9" t="s">
        <v>5871</v>
      </c>
      <c r="D5401" s="14" t="s">
        <v>10311</v>
      </c>
      <c r="E5401" s="9" t="s">
        <v>11</v>
      </c>
    </row>
    <row r="5402" spans="1:5" outlineLevel="1" x14ac:dyDescent="0.25">
      <c r="A5402" s="2"/>
      <c r="B5402" s="6" t="s">
        <v>10312</v>
      </c>
      <c r="C5402" s="8"/>
      <c r="D5402" s="8"/>
      <c r="E5402" s="8"/>
    </row>
    <row r="5403" spans="1:5" ht="15" customHeight="1" outlineLevel="2" x14ac:dyDescent="0.25">
      <c r="A5403" s="3" t="str">
        <f>HYPERLINK("http://mystore1.ru/price_items/search?utf8=%E2%9C%93&amp;oem=5641ABL","5641ABL")</f>
        <v>5641ABL</v>
      </c>
      <c r="B5403" s="1" t="s">
        <v>10313</v>
      </c>
      <c r="C5403" s="9" t="s">
        <v>10314</v>
      </c>
      <c r="D5403" s="14" t="s">
        <v>10315</v>
      </c>
      <c r="E5403" s="9" t="s">
        <v>8</v>
      </c>
    </row>
    <row r="5404" spans="1:5" ht="15" customHeight="1" outlineLevel="2" x14ac:dyDescent="0.25">
      <c r="A5404" s="3" t="str">
        <f>HYPERLINK("http://mystore1.ru/price_items/search?utf8=%E2%9C%93&amp;oem=5641AGN","5641AGN")</f>
        <v>5641AGN</v>
      </c>
      <c r="B5404" s="1" t="s">
        <v>10316</v>
      </c>
      <c r="C5404" s="9" t="s">
        <v>10314</v>
      </c>
      <c r="D5404" s="14" t="s">
        <v>10317</v>
      </c>
      <c r="E5404" s="9" t="s">
        <v>8</v>
      </c>
    </row>
    <row r="5405" spans="1:5" ht="15" customHeight="1" outlineLevel="2" x14ac:dyDescent="0.25">
      <c r="A5405" s="3" t="str">
        <f>HYPERLINK("http://mystore1.ru/price_items/search?utf8=%E2%9C%93&amp;oem=5641ASMHT","5641ASMHT")</f>
        <v>5641ASMHT</v>
      </c>
      <c r="B5405" s="1" t="s">
        <v>10318</v>
      </c>
      <c r="C5405" s="9" t="s">
        <v>25</v>
      </c>
      <c r="D5405" s="14" t="s">
        <v>10319</v>
      </c>
      <c r="E5405" s="9" t="s">
        <v>27</v>
      </c>
    </row>
    <row r="5406" spans="1:5" ht="15" customHeight="1" outlineLevel="2" x14ac:dyDescent="0.25">
      <c r="A5406" s="3" t="str">
        <f>HYPERLINK("http://mystore1.ru/price_items/search?utf8=%E2%9C%93&amp;oem=5641LBLH3FD","5641LBLH3FD")</f>
        <v>5641LBLH3FD</v>
      </c>
      <c r="B5406" s="1" t="s">
        <v>10320</v>
      </c>
      <c r="C5406" s="9" t="s">
        <v>10314</v>
      </c>
      <c r="D5406" s="14" t="s">
        <v>10321</v>
      </c>
      <c r="E5406" s="9" t="s">
        <v>11</v>
      </c>
    </row>
    <row r="5407" spans="1:5" ht="15" customHeight="1" outlineLevel="2" x14ac:dyDescent="0.25">
      <c r="A5407" s="3" t="str">
        <f>HYPERLINK("http://mystore1.ru/price_items/search?utf8=%E2%9C%93&amp;oem=5641RBLH3FD","5641RBLH3FD")</f>
        <v>5641RBLH3FD</v>
      </c>
      <c r="B5407" s="1" t="s">
        <v>10322</v>
      </c>
      <c r="C5407" s="9" t="s">
        <v>10314</v>
      </c>
      <c r="D5407" s="14" t="s">
        <v>10323</v>
      </c>
      <c r="E5407" s="9" t="s">
        <v>11</v>
      </c>
    </row>
    <row r="5408" spans="1:5" outlineLevel="1" x14ac:dyDescent="0.25">
      <c r="A5408" s="2"/>
      <c r="B5408" s="6" t="s">
        <v>10324</v>
      </c>
      <c r="C5408" s="8"/>
      <c r="D5408" s="8"/>
      <c r="E5408" s="8"/>
    </row>
    <row r="5409" spans="1:5" ht="15" customHeight="1" outlineLevel="2" x14ac:dyDescent="0.25">
      <c r="A5409" s="3" t="str">
        <f>HYPERLINK("http://mystore1.ru/price_items/search?utf8=%E2%9C%93&amp;oem=5647AGN","5647AGN")</f>
        <v>5647AGN</v>
      </c>
      <c r="B5409" s="1" t="s">
        <v>10325</v>
      </c>
      <c r="C5409" s="9" t="s">
        <v>420</v>
      </c>
      <c r="D5409" s="14" t="s">
        <v>10326</v>
      </c>
      <c r="E5409" s="9" t="s">
        <v>8</v>
      </c>
    </row>
    <row r="5410" spans="1:5" ht="15" customHeight="1" outlineLevel="2" x14ac:dyDescent="0.25">
      <c r="A5410" s="3" t="str">
        <f>HYPERLINK("http://mystore1.ru/price_items/search?utf8=%E2%9C%93&amp;oem=5647AGNBL","5647AGNBL")</f>
        <v>5647AGNBL</v>
      </c>
      <c r="B5410" s="1" t="s">
        <v>10327</v>
      </c>
      <c r="C5410" s="9" t="s">
        <v>420</v>
      </c>
      <c r="D5410" s="14" t="s">
        <v>10328</v>
      </c>
      <c r="E5410" s="9" t="s">
        <v>8</v>
      </c>
    </row>
    <row r="5411" spans="1:5" ht="15" customHeight="1" outlineLevel="2" x14ac:dyDescent="0.25">
      <c r="A5411" s="3" t="str">
        <f>HYPERLINK("http://mystore1.ru/price_items/search?utf8=%E2%9C%93&amp;oem=5647AGNGN","5647AGNGN")</f>
        <v>5647AGNGN</v>
      </c>
      <c r="B5411" s="1" t="s">
        <v>10329</v>
      </c>
      <c r="C5411" s="9" t="s">
        <v>420</v>
      </c>
      <c r="D5411" s="14" t="s">
        <v>10330</v>
      </c>
      <c r="E5411" s="9" t="s">
        <v>8</v>
      </c>
    </row>
    <row r="5412" spans="1:5" ht="15" customHeight="1" outlineLevel="2" x14ac:dyDescent="0.25">
      <c r="A5412" s="3" t="str">
        <f>HYPERLINK("http://mystore1.ru/price_items/search?utf8=%E2%9C%93&amp;oem=5647AKCH","5647AKCH")</f>
        <v>5647AKCH</v>
      </c>
      <c r="B5412" s="1" t="s">
        <v>10331</v>
      </c>
      <c r="C5412" s="9" t="s">
        <v>25</v>
      </c>
      <c r="D5412" s="14" t="s">
        <v>10332</v>
      </c>
      <c r="E5412" s="9" t="s">
        <v>27</v>
      </c>
    </row>
    <row r="5413" spans="1:5" ht="15" customHeight="1" outlineLevel="2" x14ac:dyDescent="0.25">
      <c r="A5413" s="3" t="str">
        <f>HYPERLINK("http://mystore1.ru/price_items/search?utf8=%E2%9C%93&amp;oem=5647ASMHT","5647ASMHT")</f>
        <v>5647ASMHT</v>
      </c>
      <c r="B5413" s="1" t="s">
        <v>10333</v>
      </c>
      <c r="C5413" s="9" t="s">
        <v>25</v>
      </c>
      <c r="D5413" s="14" t="s">
        <v>10334</v>
      </c>
      <c r="E5413" s="9" t="s">
        <v>27</v>
      </c>
    </row>
    <row r="5414" spans="1:5" ht="15" customHeight="1" outlineLevel="2" x14ac:dyDescent="0.25">
      <c r="A5414" s="3" t="str">
        <f>HYPERLINK("http://mystore1.ru/price_items/search?utf8=%E2%9C%93&amp;oem=5647BGNHW","5647BGNHW")</f>
        <v>5647BGNHW</v>
      </c>
      <c r="B5414" s="1" t="s">
        <v>10335</v>
      </c>
      <c r="C5414" s="9" t="s">
        <v>420</v>
      </c>
      <c r="D5414" s="14" t="s">
        <v>10336</v>
      </c>
      <c r="E5414" s="9" t="s">
        <v>30</v>
      </c>
    </row>
    <row r="5415" spans="1:5" ht="15" customHeight="1" outlineLevel="2" x14ac:dyDescent="0.25">
      <c r="A5415" s="3" t="str">
        <f>HYPERLINK("http://mystore1.ru/price_items/search?utf8=%E2%9C%93&amp;oem=5647LGNH3FD","5647LGNH3FD")</f>
        <v>5647LGNH3FD</v>
      </c>
      <c r="B5415" s="1" t="s">
        <v>10337</v>
      </c>
      <c r="C5415" s="9" t="s">
        <v>420</v>
      </c>
      <c r="D5415" s="14" t="s">
        <v>10338</v>
      </c>
      <c r="E5415" s="9" t="s">
        <v>11</v>
      </c>
    </row>
    <row r="5416" spans="1:5" ht="15" customHeight="1" outlineLevel="2" x14ac:dyDescent="0.25">
      <c r="A5416" s="3" t="str">
        <f>HYPERLINK("http://mystore1.ru/price_items/search?utf8=%E2%9C%93&amp;oem=5647RGNH3FD","5647RGNH3FD")</f>
        <v>5647RGNH3FD</v>
      </c>
      <c r="B5416" s="1" t="s">
        <v>10339</v>
      </c>
      <c r="C5416" s="9" t="s">
        <v>420</v>
      </c>
      <c r="D5416" s="14" t="s">
        <v>10340</v>
      </c>
      <c r="E5416" s="9" t="s">
        <v>11</v>
      </c>
    </row>
    <row r="5417" spans="1:5" outlineLevel="1" x14ac:dyDescent="0.25">
      <c r="A5417" s="2"/>
      <c r="B5417" s="6" t="s">
        <v>10341</v>
      </c>
      <c r="C5417" s="8"/>
      <c r="D5417" s="8"/>
      <c r="E5417" s="8"/>
    </row>
    <row r="5418" spans="1:5" ht="15" customHeight="1" outlineLevel="2" x14ac:dyDescent="0.25">
      <c r="A5418" s="3" t="str">
        <f>HYPERLINK("http://mystore1.ru/price_items/search?utf8=%E2%9C%93&amp;oem=5676AGN","5676AGN")</f>
        <v>5676AGN</v>
      </c>
      <c r="B5418" s="1" t="s">
        <v>10342</v>
      </c>
      <c r="C5418" s="9" t="s">
        <v>1607</v>
      </c>
      <c r="D5418" s="14" t="s">
        <v>10343</v>
      </c>
      <c r="E5418" s="9" t="s">
        <v>8</v>
      </c>
    </row>
    <row r="5419" spans="1:5" ht="15" customHeight="1" outlineLevel="2" x14ac:dyDescent="0.25">
      <c r="A5419" s="3" t="str">
        <f>HYPERLINK("http://mystore1.ru/price_items/search?utf8=%E2%9C%93&amp;oem=5676AGNBL","5676AGNBL")</f>
        <v>5676AGNBL</v>
      </c>
      <c r="B5419" s="1" t="s">
        <v>10344</v>
      </c>
      <c r="C5419" s="9" t="s">
        <v>1607</v>
      </c>
      <c r="D5419" s="14" t="s">
        <v>10345</v>
      </c>
      <c r="E5419" s="9" t="s">
        <v>8</v>
      </c>
    </row>
    <row r="5420" spans="1:5" ht="15" customHeight="1" outlineLevel="2" x14ac:dyDescent="0.25">
      <c r="A5420" s="3" t="str">
        <f>HYPERLINK("http://mystore1.ru/price_items/search?utf8=%E2%9C%93&amp;oem=5676AGNM1B","5676AGNM1B")</f>
        <v>5676AGNM1B</v>
      </c>
      <c r="B5420" s="1" t="s">
        <v>10346</v>
      </c>
      <c r="C5420" s="9" t="s">
        <v>1607</v>
      </c>
      <c r="D5420" s="14" t="s">
        <v>10347</v>
      </c>
      <c r="E5420" s="9" t="s">
        <v>8</v>
      </c>
    </row>
    <row r="5421" spans="1:5" ht="15" customHeight="1" outlineLevel="2" x14ac:dyDescent="0.25">
      <c r="A5421" s="3" t="str">
        <f>HYPERLINK("http://mystore1.ru/price_items/search?utf8=%E2%9C%93&amp;oem=5676ASMHT","5676ASMHT")</f>
        <v>5676ASMHT</v>
      </c>
      <c r="B5421" s="1" t="s">
        <v>10348</v>
      </c>
      <c r="C5421" s="9" t="s">
        <v>25</v>
      </c>
      <c r="D5421" s="14" t="s">
        <v>10349</v>
      </c>
      <c r="E5421" s="9" t="s">
        <v>27</v>
      </c>
    </row>
    <row r="5422" spans="1:5" ht="15" customHeight="1" outlineLevel="2" x14ac:dyDescent="0.25">
      <c r="A5422" s="3" t="str">
        <f>HYPERLINK("http://mystore1.ru/price_items/search?utf8=%E2%9C%93&amp;oem=5676LGNH3FD","5676LGNH3FD")</f>
        <v>5676LGNH3FD</v>
      </c>
      <c r="B5422" s="1" t="s">
        <v>10350</v>
      </c>
      <c r="C5422" s="9" t="s">
        <v>1607</v>
      </c>
      <c r="D5422" s="14" t="s">
        <v>10351</v>
      </c>
      <c r="E5422" s="9" t="s">
        <v>11</v>
      </c>
    </row>
    <row r="5423" spans="1:5" ht="15" customHeight="1" outlineLevel="2" x14ac:dyDescent="0.25">
      <c r="A5423" s="3" t="str">
        <f>HYPERLINK("http://mystore1.ru/price_items/search?utf8=%E2%9C%93&amp;oem=5676LGNH3RQZ","5676LGNH3RQZ")</f>
        <v>5676LGNH3RQZ</v>
      </c>
      <c r="B5423" s="1" t="s">
        <v>10352</v>
      </c>
      <c r="C5423" s="9" t="s">
        <v>1607</v>
      </c>
      <c r="D5423" s="14" t="s">
        <v>10353</v>
      </c>
      <c r="E5423" s="9" t="s">
        <v>11</v>
      </c>
    </row>
    <row r="5424" spans="1:5" ht="15" customHeight="1" outlineLevel="2" x14ac:dyDescent="0.25">
      <c r="A5424" s="3" t="str">
        <f>HYPERLINK("http://mystore1.ru/price_items/search?utf8=%E2%9C%93&amp;oem=5676LGSH3RQZ","5676LGSH3RQZ")</f>
        <v>5676LGSH3RQZ</v>
      </c>
      <c r="B5424" s="1" t="s">
        <v>10354</v>
      </c>
      <c r="C5424" s="9" t="s">
        <v>1607</v>
      </c>
      <c r="D5424" s="14" t="s">
        <v>10355</v>
      </c>
      <c r="E5424" s="9" t="s">
        <v>11</v>
      </c>
    </row>
    <row r="5425" spans="1:5" ht="15" customHeight="1" outlineLevel="2" x14ac:dyDescent="0.25">
      <c r="A5425" s="3" t="str">
        <f>HYPERLINK("http://mystore1.ru/price_items/search?utf8=%E2%9C%93&amp;oem=5676RGNH3FD","5676RGNH3FD")</f>
        <v>5676RGNH3FD</v>
      </c>
      <c r="B5425" s="1" t="s">
        <v>10356</v>
      </c>
      <c r="C5425" s="9" t="s">
        <v>1607</v>
      </c>
      <c r="D5425" s="14" t="s">
        <v>10357</v>
      </c>
      <c r="E5425" s="9" t="s">
        <v>11</v>
      </c>
    </row>
    <row r="5426" spans="1:5" ht="15" customHeight="1" outlineLevel="2" x14ac:dyDescent="0.25">
      <c r="A5426" s="3" t="str">
        <f>HYPERLINK("http://mystore1.ru/price_items/search?utf8=%E2%9C%93&amp;oem=5676RGNH3RQZ","5676RGNH3RQZ")</f>
        <v>5676RGNH3RQZ</v>
      </c>
      <c r="B5426" s="1" t="s">
        <v>10358</v>
      </c>
      <c r="C5426" s="9" t="s">
        <v>1607</v>
      </c>
      <c r="D5426" s="14" t="s">
        <v>10359</v>
      </c>
      <c r="E5426" s="9" t="s">
        <v>11</v>
      </c>
    </row>
    <row r="5427" spans="1:5" ht="15" customHeight="1" outlineLevel="2" x14ac:dyDescent="0.25">
      <c r="A5427" s="3" t="str">
        <f>HYPERLINK("http://mystore1.ru/price_items/search?utf8=%E2%9C%93&amp;oem=5676RGSH3RQZ","5676RGSH3RQZ")</f>
        <v>5676RGSH3RQZ</v>
      </c>
      <c r="B5427" s="1" t="s">
        <v>10360</v>
      </c>
      <c r="C5427" s="9" t="s">
        <v>1607</v>
      </c>
      <c r="D5427" s="14" t="s">
        <v>10361</v>
      </c>
      <c r="E5427" s="9" t="s">
        <v>11</v>
      </c>
    </row>
    <row r="5428" spans="1:5" outlineLevel="1" x14ac:dyDescent="0.25">
      <c r="A5428" s="2"/>
      <c r="B5428" s="6" t="s">
        <v>10362</v>
      </c>
      <c r="C5428" s="8"/>
      <c r="D5428" s="8"/>
      <c r="E5428" s="8"/>
    </row>
    <row r="5429" spans="1:5" ht="15" customHeight="1" outlineLevel="2" x14ac:dyDescent="0.25">
      <c r="A5429" s="3" t="str">
        <f>HYPERLINK("http://mystore1.ru/price_items/search?utf8=%E2%9C%93&amp;oem=5672AGN6Z","5672AGN6Z")</f>
        <v>5672AGN6Z</v>
      </c>
      <c r="B5429" s="1" t="s">
        <v>10363</v>
      </c>
      <c r="C5429" s="9" t="s">
        <v>511</v>
      </c>
      <c r="D5429" s="14" t="s">
        <v>10364</v>
      </c>
      <c r="E5429" s="9" t="s">
        <v>8</v>
      </c>
    </row>
    <row r="5430" spans="1:5" ht="15" customHeight="1" outlineLevel="2" x14ac:dyDescent="0.25">
      <c r="A5430" s="3" t="str">
        <f>HYPERLINK("http://mystore1.ru/price_items/search?utf8=%E2%9C%93&amp;oem=5672AGNM6Z","5672AGNM6Z")</f>
        <v>5672AGNM6Z</v>
      </c>
      <c r="B5430" s="1" t="s">
        <v>10365</v>
      </c>
      <c r="C5430" s="9" t="s">
        <v>511</v>
      </c>
      <c r="D5430" s="14" t="s">
        <v>10366</v>
      </c>
      <c r="E5430" s="9" t="s">
        <v>8</v>
      </c>
    </row>
    <row r="5431" spans="1:5" ht="15" customHeight="1" outlineLevel="2" x14ac:dyDescent="0.25">
      <c r="A5431" s="3" t="str">
        <f>HYPERLINK("http://mystore1.ru/price_items/search?utf8=%E2%9C%93&amp;oem=5672AGN","5672AGN")</f>
        <v>5672AGN</v>
      </c>
      <c r="B5431" s="1" t="s">
        <v>10367</v>
      </c>
      <c r="C5431" s="9" t="s">
        <v>747</v>
      </c>
      <c r="D5431" s="14" t="s">
        <v>10368</v>
      </c>
      <c r="E5431" s="9" t="s">
        <v>8</v>
      </c>
    </row>
    <row r="5432" spans="1:5" ht="15" customHeight="1" outlineLevel="2" x14ac:dyDescent="0.25">
      <c r="A5432" s="3" t="str">
        <f>HYPERLINK("http://mystore1.ru/price_items/search?utf8=%E2%9C%93&amp;oem=5672AGN2B","5672AGN2B")</f>
        <v>5672AGN2B</v>
      </c>
      <c r="B5432" s="1" t="s">
        <v>10369</v>
      </c>
      <c r="C5432" s="9" t="s">
        <v>747</v>
      </c>
      <c r="D5432" s="14" t="s">
        <v>10370</v>
      </c>
      <c r="E5432" s="9" t="s">
        <v>8</v>
      </c>
    </row>
    <row r="5433" spans="1:5" ht="15" customHeight="1" outlineLevel="2" x14ac:dyDescent="0.25">
      <c r="A5433" s="3" t="str">
        <f>HYPERLINK("http://mystore1.ru/price_items/search?utf8=%E2%9C%93&amp;oem=5672AGNBL","5672AGNBL")</f>
        <v>5672AGNBL</v>
      </c>
      <c r="B5433" s="1" t="s">
        <v>10371</v>
      </c>
      <c r="C5433" s="9" t="s">
        <v>747</v>
      </c>
      <c r="D5433" s="14" t="s">
        <v>10372</v>
      </c>
      <c r="E5433" s="9" t="s">
        <v>8</v>
      </c>
    </row>
    <row r="5434" spans="1:5" ht="15" customHeight="1" outlineLevel="2" x14ac:dyDescent="0.25">
      <c r="A5434" s="3" t="str">
        <f>HYPERLINK("http://mystore1.ru/price_items/search?utf8=%E2%9C%93&amp;oem=5672AGNM1B","5672AGNM1B")</f>
        <v>5672AGNM1B</v>
      </c>
      <c r="B5434" s="1" t="s">
        <v>10373</v>
      </c>
      <c r="C5434" s="9" t="s">
        <v>747</v>
      </c>
      <c r="D5434" s="14" t="s">
        <v>10374</v>
      </c>
      <c r="E5434" s="9" t="s">
        <v>8</v>
      </c>
    </row>
    <row r="5435" spans="1:5" ht="15" customHeight="1" outlineLevel="2" x14ac:dyDescent="0.25">
      <c r="A5435" s="3" t="str">
        <f>HYPERLINK("http://mystore1.ru/price_items/search?utf8=%E2%9C%93&amp;oem=5672ASMHT","5672ASMHT")</f>
        <v>5672ASMHT</v>
      </c>
      <c r="B5435" s="1" t="s">
        <v>10375</v>
      </c>
      <c r="C5435" s="9" t="s">
        <v>25</v>
      </c>
      <c r="D5435" s="14" t="s">
        <v>10376</v>
      </c>
      <c r="E5435" s="9" t="s">
        <v>27</v>
      </c>
    </row>
    <row r="5436" spans="1:5" ht="15" customHeight="1" outlineLevel="2" x14ac:dyDescent="0.25">
      <c r="A5436" s="3" t="str">
        <f>HYPERLINK("http://mystore1.ru/price_items/search?utf8=%E2%9C%93&amp;oem=5672BGNH","5672BGNH")</f>
        <v>5672BGNH</v>
      </c>
      <c r="B5436" s="1" t="s">
        <v>10377</v>
      </c>
      <c r="C5436" s="9" t="s">
        <v>747</v>
      </c>
      <c r="D5436" s="14" t="s">
        <v>10378</v>
      </c>
      <c r="E5436" s="9" t="s">
        <v>30</v>
      </c>
    </row>
    <row r="5437" spans="1:5" ht="15" customHeight="1" outlineLevel="2" x14ac:dyDescent="0.25">
      <c r="A5437" s="3" t="str">
        <f>HYPERLINK("http://mystore1.ru/price_items/search?utf8=%E2%9C%93&amp;oem=5672BYPH","5672BYPH")</f>
        <v>5672BYPH</v>
      </c>
      <c r="B5437" s="1" t="s">
        <v>10379</v>
      </c>
      <c r="C5437" s="9" t="s">
        <v>747</v>
      </c>
      <c r="D5437" s="14" t="s">
        <v>10380</v>
      </c>
      <c r="E5437" s="9" t="s">
        <v>30</v>
      </c>
    </row>
    <row r="5438" spans="1:5" ht="15" customHeight="1" outlineLevel="2" x14ac:dyDescent="0.25">
      <c r="A5438" s="3" t="str">
        <f>HYPERLINK("http://mystore1.ru/price_items/search?utf8=%E2%9C%93&amp;oem=5672LGNH5FD","5672LGNH5FD")</f>
        <v>5672LGNH5FD</v>
      </c>
      <c r="B5438" s="1" t="s">
        <v>10381</v>
      </c>
      <c r="C5438" s="9" t="s">
        <v>747</v>
      </c>
      <c r="D5438" s="14" t="s">
        <v>10382</v>
      </c>
      <c r="E5438" s="9" t="s">
        <v>11</v>
      </c>
    </row>
    <row r="5439" spans="1:5" ht="15" customHeight="1" outlineLevel="2" x14ac:dyDescent="0.25">
      <c r="A5439" s="3" t="str">
        <f>HYPERLINK("http://mystore1.ru/price_items/search?utf8=%E2%9C%93&amp;oem=5672LGNH5FQZ","5672LGNH5FQZ")</f>
        <v>5672LGNH5FQZ</v>
      </c>
      <c r="B5439" s="1" t="s">
        <v>10383</v>
      </c>
      <c r="C5439" s="9" t="s">
        <v>1607</v>
      </c>
      <c r="D5439" s="14" t="s">
        <v>10384</v>
      </c>
      <c r="E5439" s="9" t="s">
        <v>11</v>
      </c>
    </row>
    <row r="5440" spans="1:5" ht="15" customHeight="1" outlineLevel="2" x14ac:dyDescent="0.25">
      <c r="A5440" s="3" t="str">
        <f>HYPERLINK("http://mystore1.ru/price_items/search?utf8=%E2%9C%93&amp;oem=5672LGNH5RDW","5672LGNH5RDW")</f>
        <v>5672LGNH5RDW</v>
      </c>
      <c r="B5440" s="1" t="s">
        <v>10385</v>
      </c>
      <c r="C5440" s="9" t="s">
        <v>747</v>
      </c>
      <c r="D5440" s="14" t="s">
        <v>10386</v>
      </c>
      <c r="E5440" s="9" t="s">
        <v>11</v>
      </c>
    </row>
    <row r="5441" spans="1:5" ht="15" customHeight="1" outlineLevel="2" x14ac:dyDescent="0.25">
      <c r="A5441" s="3" t="str">
        <f>HYPERLINK("http://mystore1.ru/price_items/search?utf8=%E2%9C%93&amp;oem=5672LGNH5RD1H","5672LGNH5RD1H")</f>
        <v>5672LGNH5RD1H</v>
      </c>
      <c r="B5441" s="1" t="s">
        <v>10387</v>
      </c>
      <c r="C5441" s="9" t="s">
        <v>747</v>
      </c>
      <c r="D5441" s="14" t="s">
        <v>10386</v>
      </c>
      <c r="E5441" s="9" t="s">
        <v>11</v>
      </c>
    </row>
    <row r="5442" spans="1:5" ht="15" customHeight="1" outlineLevel="2" x14ac:dyDescent="0.25">
      <c r="A5442" s="3" t="str">
        <f>HYPERLINK("http://mystore1.ru/price_items/search?utf8=%E2%9C%93&amp;oem=5672LGNH5RQZ","5672LGNH5RQZ")</f>
        <v>5672LGNH5RQZ</v>
      </c>
      <c r="B5442" s="1" t="s">
        <v>10388</v>
      </c>
      <c r="C5442" s="9" t="s">
        <v>747</v>
      </c>
      <c r="D5442" s="14" t="s">
        <v>10389</v>
      </c>
      <c r="E5442" s="9" t="s">
        <v>11</v>
      </c>
    </row>
    <row r="5443" spans="1:5" ht="15" customHeight="1" outlineLevel="2" x14ac:dyDescent="0.25">
      <c r="A5443" s="3" t="str">
        <f>HYPERLINK("http://mystore1.ru/price_items/search?utf8=%E2%9C%93&amp;oem=5672LGSH5FD","5672LGSH5FD")</f>
        <v>5672LGSH5FD</v>
      </c>
      <c r="B5443" s="1" t="s">
        <v>10390</v>
      </c>
      <c r="C5443" s="9" t="s">
        <v>747</v>
      </c>
      <c r="D5443" s="14" t="s">
        <v>10391</v>
      </c>
      <c r="E5443" s="9" t="s">
        <v>11</v>
      </c>
    </row>
    <row r="5444" spans="1:5" ht="15" customHeight="1" outlineLevel="2" x14ac:dyDescent="0.25">
      <c r="A5444" s="3" t="str">
        <f>HYPERLINK("http://mystore1.ru/price_items/search?utf8=%E2%9C%93&amp;oem=5672LGSH5RDW","5672LGSH5RDW")</f>
        <v>5672LGSH5RDW</v>
      </c>
      <c r="B5444" s="1" t="s">
        <v>10392</v>
      </c>
      <c r="C5444" s="9" t="s">
        <v>747</v>
      </c>
      <c r="D5444" s="14" t="s">
        <v>10393</v>
      </c>
      <c r="E5444" s="9" t="s">
        <v>11</v>
      </c>
    </row>
    <row r="5445" spans="1:5" ht="15" customHeight="1" outlineLevel="2" x14ac:dyDescent="0.25">
      <c r="A5445" s="3" t="str">
        <f>HYPERLINK("http://mystore1.ru/price_items/search?utf8=%E2%9C%93&amp;oem=5672LYPH5RDW","5672LYPH5RDW")</f>
        <v>5672LYPH5RDW</v>
      </c>
      <c r="B5445" s="1" t="s">
        <v>10394</v>
      </c>
      <c r="C5445" s="9" t="s">
        <v>747</v>
      </c>
      <c r="D5445" s="14" t="s">
        <v>10395</v>
      </c>
      <c r="E5445" s="9" t="s">
        <v>11</v>
      </c>
    </row>
    <row r="5446" spans="1:5" ht="15" customHeight="1" outlineLevel="2" x14ac:dyDescent="0.25">
      <c r="A5446" s="3" t="str">
        <f>HYPERLINK("http://mystore1.ru/price_items/search?utf8=%E2%9C%93&amp;oem=5672LYPH5RDW1H","5672LYPH5RDW1H")</f>
        <v>5672LYPH5RDW1H</v>
      </c>
      <c r="B5446" s="1" t="s">
        <v>10396</v>
      </c>
      <c r="C5446" s="9" t="s">
        <v>747</v>
      </c>
      <c r="D5446" s="14" t="s">
        <v>10395</v>
      </c>
      <c r="E5446" s="9" t="s">
        <v>11</v>
      </c>
    </row>
    <row r="5447" spans="1:5" ht="15" customHeight="1" outlineLevel="2" x14ac:dyDescent="0.25">
      <c r="A5447" s="3" t="str">
        <f>HYPERLINK("http://mystore1.ru/price_items/search?utf8=%E2%9C%93&amp;oem=5672LYPH5RQZ","5672LYPH5RQZ")</f>
        <v>5672LYPH5RQZ</v>
      </c>
      <c r="B5447" s="1" t="s">
        <v>10397</v>
      </c>
      <c r="C5447" s="9" t="s">
        <v>747</v>
      </c>
      <c r="D5447" s="14" t="s">
        <v>10398</v>
      </c>
      <c r="E5447" s="9" t="s">
        <v>11</v>
      </c>
    </row>
    <row r="5448" spans="1:5" ht="15" customHeight="1" outlineLevel="2" x14ac:dyDescent="0.25">
      <c r="A5448" s="3" t="str">
        <f>HYPERLINK("http://mystore1.ru/price_items/search?utf8=%E2%9C%93&amp;oem=5672RGNH5FD","5672RGNH5FD")</f>
        <v>5672RGNH5FD</v>
      </c>
      <c r="B5448" s="1" t="s">
        <v>10399</v>
      </c>
      <c r="C5448" s="9" t="s">
        <v>747</v>
      </c>
      <c r="D5448" s="14" t="s">
        <v>10400</v>
      </c>
      <c r="E5448" s="9" t="s">
        <v>11</v>
      </c>
    </row>
    <row r="5449" spans="1:5" ht="15" customHeight="1" outlineLevel="2" x14ac:dyDescent="0.25">
      <c r="A5449" s="3" t="str">
        <f>HYPERLINK("http://mystore1.ru/price_items/search?utf8=%E2%9C%93&amp;oem=5672RGNH5FQZ","5672RGNH5FQZ")</f>
        <v>5672RGNH5FQZ</v>
      </c>
      <c r="B5449" s="1" t="s">
        <v>10401</v>
      </c>
      <c r="C5449" s="9" t="s">
        <v>1607</v>
      </c>
      <c r="D5449" s="14" t="s">
        <v>10402</v>
      </c>
      <c r="E5449" s="9" t="s">
        <v>11</v>
      </c>
    </row>
    <row r="5450" spans="1:5" ht="15" customHeight="1" outlineLevel="2" x14ac:dyDescent="0.25">
      <c r="A5450" s="3" t="str">
        <f>HYPERLINK("http://mystore1.ru/price_items/search?utf8=%E2%9C%93&amp;oem=5672RGNH5RDW","5672RGNH5RDW")</f>
        <v>5672RGNH5RDW</v>
      </c>
      <c r="B5450" s="1" t="s">
        <v>10403</v>
      </c>
      <c r="C5450" s="9" t="s">
        <v>747</v>
      </c>
      <c r="D5450" s="14" t="s">
        <v>10404</v>
      </c>
      <c r="E5450" s="9" t="s">
        <v>11</v>
      </c>
    </row>
    <row r="5451" spans="1:5" ht="15" customHeight="1" outlineLevel="2" x14ac:dyDescent="0.25">
      <c r="A5451" s="3" t="str">
        <f>HYPERLINK("http://mystore1.ru/price_items/search?utf8=%E2%9C%93&amp;oem=5672RGNH5RD1H","5672RGNH5RD1H")</f>
        <v>5672RGNH5RD1H</v>
      </c>
      <c r="B5451" s="1" t="s">
        <v>10405</v>
      </c>
      <c r="C5451" s="9" t="s">
        <v>747</v>
      </c>
      <c r="D5451" s="14" t="s">
        <v>10404</v>
      </c>
      <c r="E5451" s="9" t="s">
        <v>11</v>
      </c>
    </row>
    <row r="5452" spans="1:5" ht="15" customHeight="1" outlineLevel="2" x14ac:dyDescent="0.25">
      <c r="A5452" s="3" t="str">
        <f>HYPERLINK("http://mystore1.ru/price_items/search?utf8=%E2%9C%93&amp;oem=5672RGNH5RQZ","5672RGNH5RQZ")</f>
        <v>5672RGNH5RQZ</v>
      </c>
      <c r="B5452" s="1" t="s">
        <v>10406</v>
      </c>
      <c r="C5452" s="9" t="s">
        <v>747</v>
      </c>
      <c r="D5452" s="14" t="s">
        <v>10407</v>
      </c>
      <c r="E5452" s="9" t="s">
        <v>11</v>
      </c>
    </row>
    <row r="5453" spans="1:5" ht="15" customHeight="1" outlineLevel="2" x14ac:dyDescent="0.25">
      <c r="A5453" s="3" t="str">
        <f>HYPERLINK("http://mystore1.ru/price_items/search?utf8=%E2%9C%93&amp;oem=5672RGSH5FD","5672RGSH5FD")</f>
        <v>5672RGSH5FD</v>
      </c>
      <c r="B5453" s="1" t="s">
        <v>10408</v>
      </c>
      <c r="C5453" s="9" t="s">
        <v>747</v>
      </c>
      <c r="D5453" s="14" t="s">
        <v>10409</v>
      </c>
      <c r="E5453" s="9" t="s">
        <v>11</v>
      </c>
    </row>
    <row r="5454" spans="1:5" ht="15" customHeight="1" outlineLevel="2" x14ac:dyDescent="0.25">
      <c r="A5454" s="3" t="str">
        <f>HYPERLINK("http://mystore1.ru/price_items/search?utf8=%E2%9C%93&amp;oem=5672RGSH5RDW","5672RGSH5RDW")</f>
        <v>5672RGSH5RDW</v>
      </c>
      <c r="B5454" s="1" t="s">
        <v>10410</v>
      </c>
      <c r="C5454" s="9" t="s">
        <v>747</v>
      </c>
      <c r="D5454" s="14" t="s">
        <v>10411</v>
      </c>
      <c r="E5454" s="9" t="s">
        <v>11</v>
      </c>
    </row>
    <row r="5455" spans="1:5" ht="15" customHeight="1" outlineLevel="2" x14ac:dyDescent="0.25">
      <c r="A5455" s="3" t="str">
        <f>HYPERLINK("http://mystore1.ru/price_items/search?utf8=%E2%9C%93&amp;oem=5672RYPH5RDW","5672RYPH5RDW")</f>
        <v>5672RYPH5RDW</v>
      </c>
      <c r="B5455" s="1" t="s">
        <v>10412</v>
      </c>
      <c r="C5455" s="9" t="s">
        <v>747</v>
      </c>
      <c r="D5455" s="14" t="s">
        <v>10413</v>
      </c>
      <c r="E5455" s="9" t="s">
        <v>11</v>
      </c>
    </row>
    <row r="5456" spans="1:5" ht="15" customHeight="1" outlineLevel="2" x14ac:dyDescent="0.25">
      <c r="A5456" s="3" t="str">
        <f>HYPERLINK("http://mystore1.ru/price_items/search?utf8=%E2%9C%93&amp;oem=5672RYPH5RDW1H","5672RYPH5RDW1H")</f>
        <v>5672RYPH5RDW1H</v>
      </c>
      <c r="B5456" s="1" t="s">
        <v>10414</v>
      </c>
      <c r="C5456" s="9" t="s">
        <v>747</v>
      </c>
      <c r="D5456" s="14" t="s">
        <v>10413</v>
      </c>
      <c r="E5456" s="9" t="s">
        <v>11</v>
      </c>
    </row>
    <row r="5457" spans="1:5" ht="15" customHeight="1" outlineLevel="2" x14ac:dyDescent="0.25">
      <c r="A5457" s="3" t="str">
        <f>HYPERLINK("http://mystore1.ru/price_items/search?utf8=%E2%9C%93&amp;oem=5672RYPH5RQZ","5672RYPH5RQZ")</f>
        <v>5672RYPH5RQZ</v>
      </c>
      <c r="B5457" s="1" t="s">
        <v>10415</v>
      </c>
      <c r="C5457" s="9" t="s">
        <v>747</v>
      </c>
      <c r="D5457" s="14" t="s">
        <v>10416</v>
      </c>
      <c r="E5457" s="9" t="s">
        <v>11</v>
      </c>
    </row>
    <row r="5458" spans="1:5" outlineLevel="1" x14ac:dyDescent="0.25">
      <c r="A5458" s="2"/>
      <c r="B5458" s="6" t="s">
        <v>10417</v>
      </c>
      <c r="C5458" s="8"/>
      <c r="D5458" s="8"/>
      <c r="E5458" s="8"/>
    </row>
    <row r="5459" spans="1:5" ht="15" customHeight="1" outlineLevel="2" x14ac:dyDescent="0.25">
      <c r="A5459" s="3" t="str">
        <f>HYPERLINK("http://mystore1.ru/price_items/search?utf8=%E2%9C%93&amp;oem=5640AGNBL","5640AGNBL")</f>
        <v>5640AGNBL</v>
      </c>
      <c r="B5459" s="1" t="s">
        <v>10418</v>
      </c>
      <c r="C5459" s="9" t="s">
        <v>10314</v>
      </c>
      <c r="D5459" s="14" t="s">
        <v>10419</v>
      </c>
      <c r="E5459" s="9" t="s">
        <v>8</v>
      </c>
    </row>
    <row r="5460" spans="1:5" ht="15" customHeight="1" outlineLevel="2" x14ac:dyDescent="0.25">
      <c r="A5460" s="3" t="str">
        <f>HYPERLINK("http://mystore1.ru/price_items/search?utf8=%E2%9C%93&amp;oem=5640ASMCT","5640ASMCT")</f>
        <v>5640ASMCT</v>
      </c>
      <c r="B5460" s="1" t="s">
        <v>10420</v>
      </c>
      <c r="C5460" s="9" t="s">
        <v>25</v>
      </c>
      <c r="D5460" s="14" t="s">
        <v>10421</v>
      </c>
      <c r="E5460" s="9" t="s">
        <v>27</v>
      </c>
    </row>
    <row r="5461" spans="1:5" ht="15" customHeight="1" outlineLevel="2" x14ac:dyDescent="0.25">
      <c r="A5461" s="3" t="str">
        <f>HYPERLINK("http://mystore1.ru/price_items/search?utf8=%E2%9C%93&amp;oem=5640LGNC2FD","5640LGNC2FD")</f>
        <v>5640LGNC2FD</v>
      </c>
      <c r="B5461" s="1" t="s">
        <v>10422</v>
      </c>
      <c r="C5461" s="9" t="s">
        <v>10314</v>
      </c>
      <c r="D5461" s="14" t="s">
        <v>10423</v>
      </c>
      <c r="E5461" s="9" t="s">
        <v>11</v>
      </c>
    </row>
    <row r="5462" spans="1:5" outlineLevel="1" x14ac:dyDescent="0.25">
      <c r="A5462" s="2"/>
      <c r="B5462" s="6" t="s">
        <v>10424</v>
      </c>
      <c r="C5462" s="8"/>
      <c r="D5462" s="8"/>
      <c r="E5462" s="8"/>
    </row>
    <row r="5463" spans="1:5" ht="15" customHeight="1" outlineLevel="2" x14ac:dyDescent="0.25">
      <c r="A5463" s="3" t="str">
        <f>HYPERLINK("http://mystore1.ru/price_items/search?utf8=%E2%9C%93&amp;oem=5651AGNBL","5651AGNBL")</f>
        <v>5651AGNBL</v>
      </c>
      <c r="B5463" s="1" t="s">
        <v>10425</v>
      </c>
      <c r="C5463" s="9" t="s">
        <v>1141</v>
      </c>
      <c r="D5463" s="14" t="s">
        <v>10426</v>
      </c>
      <c r="E5463" s="9" t="s">
        <v>8</v>
      </c>
    </row>
    <row r="5464" spans="1:5" outlineLevel="1" x14ac:dyDescent="0.25">
      <c r="A5464" s="2"/>
      <c r="B5464" s="6" t="s">
        <v>10427</v>
      </c>
      <c r="C5464" s="8"/>
      <c r="D5464" s="8"/>
      <c r="E5464" s="8"/>
    </row>
    <row r="5465" spans="1:5" ht="15" customHeight="1" outlineLevel="2" x14ac:dyDescent="0.25">
      <c r="A5465" s="3" t="str">
        <f>HYPERLINK("http://mystore1.ru/price_items/search?utf8=%E2%9C%93&amp;oem=2700LGNC2FD","2700LGNC2FD")</f>
        <v>2700LGNC2FD</v>
      </c>
      <c r="B5465" s="1" t="s">
        <v>10428</v>
      </c>
      <c r="C5465" s="9" t="s">
        <v>1722</v>
      </c>
      <c r="D5465" s="14" t="s">
        <v>10429</v>
      </c>
      <c r="E5465" s="9" t="s">
        <v>11</v>
      </c>
    </row>
    <row r="5466" spans="1:5" outlineLevel="1" x14ac:dyDescent="0.25">
      <c r="A5466" s="2"/>
      <c r="B5466" s="6" t="s">
        <v>10430</v>
      </c>
      <c r="C5466" s="8"/>
      <c r="D5466" s="8"/>
      <c r="E5466" s="8"/>
    </row>
    <row r="5467" spans="1:5" ht="15" customHeight="1" outlineLevel="2" x14ac:dyDescent="0.25">
      <c r="A5467" s="3" t="str">
        <f>HYPERLINK("http://mystore1.ru/price_items/search?utf8=%E2%9C%93&amp;oem=5624ABL","5624ABL")</f>
        <v>5624ABL</v>
      </c>
      <c r="B5467" s="1" t="s">
        <v>10431</v>
      </c>
      <c r="C5467" s="9" t="s">
        <v>5824</v>
      </c>
      <c r="D5467" s="14" t="s">
        <v>10432</v>
      </c>
      <c r="E5467" s="9" t="s">
        <v>8</v>
      </c>
    </row>
    <row r="5468" spans="1:5" ht="15" customHeight="1" outlineLevel="2" x14ac:dyDescent="0.25">
      <c r="A5468" s="3" t="str">
        <f>HYPERLINK("http://mystore1.ru/price_items/search?utf8=%E2%9C%93&amp;oem=5624ABZ","5624ABZ")</f>
        <v>5624ABZ</v>
      </c>
      <c r="B5468" s="1" t="s">
        <v>10433</v>
      </c>
      <c r="C5468" s="9" t="s">
        <v>5824</v>
      </c>
      <c r="D5468" s="14" t="s">
        <v>10434</v>
      </c>
      <c r="E5468" s="9" t="s">
        <v>8</v>
      </c>
    </row>
    <row r="5469" spans="1:5" outlineLevel="1" x14ac:dyDescent="0.25">
      <c r="A5469" s="2"/>
      <c r="B5469" s="6" t="s">
        <v>10435</v>
      </c>
      <c r="C5469" s="8"/>
      <c r="D5469" s="8"/>
      <c r="E5469" s="8"/>
    </row>
    <row r="5470" spans="1:5" ht="15" customHeight="1" outlineLevel="2" x14ac:dyDescent="0.25">
      <c r="A5470" s="3" t="str">
        <f>HYPERLINK("http://mystore1.ru/price_items/search?utf8=%E2%9C%93&amp;oem=5630ABL","5630ABL")</f>
        <v>5630ABL</v>
      </c>
      <c r="B5470" s="1" t="s">
        <v>10436</v>
      </c>
      <c r="C5470" s="9" t="s">
        <v>4307</v>
      </c>
      <c r="D5470" s="14" t="s">
        <v>10437</v>
      </c>
      <c r="E5470" s="9" t="s">
        <v>8</v>
      </c>
    </row>
    <row r="5471" spans="1:5" ht="15" customHeight="1" outlineLevel="2" x14ac:dyDescent="0.25">
      <c r="A5471" s="3" t="str">
        <f>HYPERLINK("http://mystore1.ru/price_items/search?utf8=%E2%9C%93&amp;oem=5630ABLBL","5630ABLBL")</f>
        <v>5630ABLBL</v>
      </c>
      <c r="B5471" s="1" t="s">
        <v>10438</v>
      </c>
      <c r="C5471" s="9" t="s">
        <v>4307</v>
      </c>
      <c r="D5471" s="14" t="s">
        <v>10439</v>
      </c>
      <c r="E5471" s="9" t="s">
        <v>8</v>
      </c>
    </row>
    <row r="5472" spans="1:5" ht="15" customHeight="1" outlineLevel="2" x14ac:dyDescent="0.25">
      <c r="A5472" s="3" t="str">
        <f>HYPERLINK("http://mystore1.ru/price_items/search?utf8=%E2%9C%93&amp;oem=5630ABZ","5630ABZ")</f>
        <v>5630ABZ</v>
      </c>
      <c r="B5472" s="1" t="s">
        <v>10440</v>
      </c>
      <c r="C5472" s="9" t="s">
        <v>4307</v>
      </c>
      <c r="D5472" s="14" t="s">
        <v>10441</v>
      </c>
      <c r="E5472" s="9" t="s">
        <v>8</v>
      </c>
    </row>
    <row r="5473" spans="1:5" ht="15" customHeight="1" outlineLevel="2" x14ac:dyDescent="0.25">
      <c r="A5473" s="3" t="str">
        <f>HYPERLINK("http://mystore1.ru/price_items/search?utf8=%E2%9C%93&amp;oem=5630AKCS","5630AKCS")</f>
        <v>5630AKCS</v>
      </c>
      <c r="B5473" s="1" t="s">
        <v>10442</v>
      </c>
      <c r="C5473" s="9" t="s">
        <v>25</v>
      </c>
      <c r="D5473" s="14" t="s">
        <v>10443</v>
      </c>
      <c r="E5473" s="9" t="s">
        <v>27</v>
      </c>
    </row>
    <row r="5474" spans="1:5" ht="15" customHeight="1" outlineLevel="2" x14ac:dyDescent="0.25">
      <c r="A5474" s="3" t="str">
        <f>HYPERLINK("http://mystore1.ru/price_items/search?utf8=%E2%9C%93&amp;oem=5630BBLS","5630BBLS")</f>
        <v>5630BBLS</v>
      </c>
      <c r="B5474" s="1" t="s">
        <v>10444</v>
      </c>
      <c r="C5474" s="9" t="s">
        <v>4307</v>
      </c>
      <c r="D5474" s="14" t="s">
        <v>10445</v>
      </c>
      <c r="E5474" s="9" t="s">
        <v>30</v>
      </c>
    </row>
    <row r="5475" spans="1:5" ht="15" customHeight="1" outlineLevel="2" x14ac:dyDescent="0.25">
      <c r="A5475" s="3" t="str">
        <f>HYPERLINK("http://mystore1.ru/price_items/search?utf8=%E2%9C%93&amp;oem=5630LBLS4FD","5630LBLS4FD")</f>
        <v>5630LBLS4FD</v>
      </c>
      <c r="B5475" s="1" t="s">
        <v>10446</v>
      </c>
      <c r="C5475" s="9" t="s">
        <v>4307</v>
      </c>
      <c r="D5475" s="14" t="s">
        <v>10447</v>
      </c>
      <c r="E5475" s="9" t="s">
        <v>11</v>
      </c>
    </row>
    <row r="5476" spans="1:5" ht="15" customHeight="1" outlineLevel="2" x14ac:dyDescent="0.25">
      <c r="A5476" s="3" t="str">
        <f>HYPERLINK("http://mystore1.ru/price_items/search?utf8=%E2%9C%93&amp;oem=5630LBLS4RD","5630LBLS4RD")</f>
        <v>5630LBLS4RD</v>
      </c>
      <c r="B5476" s="1" t="s">
        <v>10448</v>
      </c>
      <c r="C5476" s="9" t="s">
        <v>4307</v>
      </c>
      <c r="D5476" s="14" t="s">
        <v>10449</v>
      </c>
      <c r="E5476" s="9" t="s">
        <v>11</v>
      </c>
    </row>
    <row r="5477" spans="1:5" ht="15" customHeight="1" outlineLevel="2" x14ac:dyDescent="0.25">
      <c r="A5477" s="3" t="str">
        <f>HYPERLINK("http://mystore1.ru/price_items/search?utf8=%E2%9C%93&amp;oem=5630LBLS4RQZ","5630LBLS4RQZ")</f>
        <v>5630LBLS4RQZ</v>
      </c>
      <c r="B5477" s="1" t="s">
        <v>10450</v>
      </c>
      <c r="C5477" s="9" t="s">
        <v>4307</v>
      </c>
      <c r="D5477" s="14" t="s">
        <v>10451</v>
      </c>
      <c r="E5477" s="9" t="s">
        <v>11</v>
      </c>
    </row>
    <row r="5478" spans="1:5" ht="15" customHeight="1" outlineLevel="2" x14ac:dyDescent="0.25">
      <c r="A5478" s="3" t="str">
        <f>HYPERLINK("http://mystore1.ru/price_items/search?utf8=%E2%9C%93&amp;oem=5630RBLS4FD","5630RBLS4FD")</f>
        <v>5630RBLS4FD</v>
      </c>
      <c r="B5478" s="1" t="s">
        <v>10452</v>
      </c>
      <c r="C5478" s="9" t="s">
        <v>4307</v>
      </c>
      <c r="D5478" s="14" t="s">
        <v>10453</v>
      </c>
      <c r="E5478" s="9" t="s">
        <v>11</v>
      </c>
    </row>
    <row r="5479" spans="1:5" outlineLevel="1" x14ac:dyDescent="0.25">
      <c r="A5479" s="2"/>
      <c r="B5479" s="6" t="s">
        <v>10454</v>
      </c>
      <c r="C5479" s="8"/>
      <c r="D5479" s="8"/>
      <c r="E5479" s="8"/>
    </row>
    <row r="5480" spans="1:5" ht="15" customHeight="1" outlineLevel="2" x14ac:dyDescent="0.25">
      <c r="A5480" s="3" t="str">
        <f>HYPERLINK("http://mystore1.ru/price_items/search?utf8=%E2%9C%93&amp;oem=5634ABL","5634ABL")</f>
        <v>5634ABL</v>
      </c>
      <c r="B5480" s="1" t="s">
        <v>10455</v>
      </c>
      <c r="C5480" s="9" t="s">
        <v>4310</v>
      </c>
      <c r="D5480" s="14" t="s">
        <v>10456</v>
      </c>
      <c r="E5480" s="9" t="s">
        <v>8</v>
      </c>
    </row>
    <row r="5481" spans="1:5" ht="15" customHeight="1" outlineLevel="2" x14ac:dyDescent="0.25">
      <c r="A5481" s="3" t="str">
        <f>HYPERLINK("http://mystore1.ru/price_items/search?utf8=%E2%9C%93&amp;oem=5634ABLBL","5634ABLBL")</f>
        <v>5634ABLBL</v>
      </c>
      <c r="B5481" s="1" t="s">
        <v>10457</v>
      </c>
      <c r="C5481" s="9" t="s">
        <v>4310</v>
      </c>
      <c r="D5481" s="14" t="s">
        <v>10458</v>
      </c>
      <c r="E5481" s="9" t="s">
        <v>8</v>
      </c>
    </row>
    <row r="5482" spans="1:5" ht="15" customHeight="1" outlineLevel="2" x14ac:dyDescent="0.25">
      <c r="A5482" s="3" t="str">
        <f>HYPERLINK("http://mystore1.ru/price_items/search?utf8=%E2%9C%93&amp;oem=5634ABZ","5634ABZ")</f>
        <v>5634ABZ</v>
      </c>
      <c r="B5482" s="1" t="s">
        <v>10459</v>
      </c>
      <c r="C5482" s="9" t="s">
        <v>4310</v>
      </c>
      <c r="D5482" s="14" t="s">
        <v>10460</v>
      </c>
      <c r="E5482" s="9" t="s">
        <v>8</v>
      </c>
    </row>
    <row r="5483" spans="1:5" ht="15" customHeight="1" outlineLevel="2" x14ac:dyDescent="0.25">
      <c r="A5483" s="3" t="str">
        <f>HYPERLINK("http://mystore1.ru/price_items/search?utf8=%E2%9C%93&amp;oem=5634AKCH","5634AKCH")</f>
        <v>5634AKCH</v>
      </c>
      <c r="B5483" s="1" t="s">
        <v>10461</v>
      </c>
      <c r="C5483" s="9" t="s">
        <v>25</v>
      </c>
      <c r="D5483" s="14" t="s">
        <v>10462</v>
      </c>
      <c r="E5483" s="9" t="s">
        <v>27</v>
      </c>
    </row>
    <row r="5484" spans="1:5" ht="15" customHeight="1" outlineLevel="2" x14ac:dyDescent="0.25">
      <c r="A5484" s="3" t="str">
        <f>HYPERLINK("http://mystore1.ru/price_items/search?utf8=%E2%9C%93&amp;oem=5634BBLH","5634BBLH")</f>
        <v>5634BBLH</v>
      </c>
      <c r="B5484" s="1" t="s">
        <v>10463</v>
      </c>
      <c r="C5484" s="9" t="s">
        <v>4310</v>
      </c>
      <c r="D5484" s="14" t="s">
        <v>10464</v>
      </c>
      <c r="E5484" s="9" t="s">
        <v>30</v>
      </c>
    </row>
    <row r="5485" spans="1:5" outlineLevel="1" x14ac:dyDescent="0.25">
      <c r="A5485" s="2"/>
      <c r="B5485" s="6" t="s">
        <v>10465</v>
      </c>
      <c r="C5485" s="8"/>
      <c r="D5485" s="8"/>
      <c r="E5485" s="8"/>
    </row>
    <row r="5486" spans="1:5" ht="15" customHeight="1" outlineLevel="2" x14ac:dyDescent="0.25">
      <c r="A5486" s="3" t="str">
        <f>HYPERLINK("http://mystore1.ru/price_items/search?utf8=%E2%9C%93&amp;oem=5643ABL","5643ABL")</f>
        <v>5643ABL</v>
      </c>
      <c r="B5486" s="1" t="s">
        <v>10466</v>
      </c>
      <c r="C5486" s="9" t="s">
        <v>3403</v>
      </c>
      <c r="D5486" s="14" t="s">
        <v>10467</v>
      </c>
      <c r="E5486" s="9" t="s">
        <v>8</v>
      </c>
    </row>
    <row r="5487" spans="1:5" ht="15" customHeight="1" outlineLevel="2" x14ac:dyDescent="0.25">
      <c r="A5487" s="3" t="str">
        <f>HYPERLINK("http://mystore1.ru/price_items/search?utf8=%E2%9C%93&amp;oem=5643ABLBL","5643ABLBL")</f>
        <v>5643ABLBL</v>
      </c>
      <c r="B5487" s="1" t="s">
        <v>10468</v>
      </c>
      <c r="C5487" s="9" t="s">
        <v>3403</v>
      </c>
      <c r="D5487" s="14" t="s">
        <v>10469</v>
      </c>
      <c r="E5487" s="9" t="s">
        <v>8</v>
      </c>
    </row>
    <row r="5488" spans="1:5" ht="15" customHeight="1" outlineLevel="2" x14ac:dyDescent="0.25">
      <c r="A5488" s="3" t="str">
        <f>HYPERLINK("http://mystore1.ru/price_items/search?utf8=%E2%9C%93&amp;oem=5643AGN","5643AGN")</f>
        <v>5643AGN</v>
      </c>
      <c r="B5488" s="1" t="s">
        <v>10470</v>
      </c>
      <c r="C5488" s="9" t="s">
        <v>3403</v>
      </c>
      <c r="D5488" s="14" t="s">
        <v>10471</v>
      </c>
      <c r="E5488" s="9" t="s">
        <v>8</v>
      </c>
    </row>
    <row r="5489" spans="1:5" ht="15" customHeight="1" outlineLevel="2" x14ac:dyDescent="0.25">
      <c r="A5489" s="3" t="str">
        <f>HYPERLINK("http://mystore1.ru/price_items/search?utf8=%E2%9C%93&amp;oem=5643AGNBL","5643AGNBL")</f>
        <v>5643AGNBL</v>
      </c>
      <c r="B5489" s="1" t="s">
        <v>10472</v>
      </c>
      <c r="C5489" s="9" t="s">
        <v>3403</v>
      </c>
      <c r="D5489" s="14" t="s">
        <v>10473</v>
      </c>
      <c r="E5489" s="9" t="s">
        <v>8</v>
      </c>
    </row>
    <row r="5490" spans="1:5" ht="15" customHeight="1" outlineLevel="2" x14ac:dyDescent="0.25">
      <c r="A5490" s="3" t="str">
        <f>HYPERLINK("http://mystore1.ru/price_items/search?utf8=%E2%9C%93&amp;oem=5643ASMH","5643ASMH")</f>
        <v>5643ASMH</v>
      </c>
      <c r="B5490" s="1" t="s">
        <v>10474</v>
      </c>
      <c r="C5490" s="9" t="s">
        <v>25</v>
      </c>
      <c r="D5490" s="14" t="s">
        <v>10475</v>
      </c>
      <c r="E5490" s="9" t="s">
        <v>27</v>
      </c>
    </row>
    <row r="5491" spans="1:5" ht="15" customHeight="1" outlineLevel="2" x14ac:dyDescent="0.25">
      <c r="A5491" s="3" t="str">
        <f>HYPERLINK("http://mystore1.ru/price_items/search?utf8=%E2%9C%93&amp;oem=5643BBLS","5643BBLS")</f>
        <v>5643BBLS</v>
      </c>
      <c r="B5491" s="1" t="s">
        <v>10476</v>
      </c>
      <c r="C5491" s="9" t="s">
        <v>3403</v>
      </c>
      <c r="D5491" s="14" t="s">
        <v>10477</v>
      </c>
      <c r="E5491" s="9" t="s">
        <v>30</v>
      </c>
    </row>
    <row r="5492" spans="1:5" ht="15" customHeight="1" outlineLevel="2" x14ac:dyDescent="0.25">
      <c r="A5492" s="3" t="str">
        <f>HYPERLINK("http://mystore1.ru/price_items/search?utf8=%E2%9C%93&amp;oem=5643RGNH5FD","5643RGNH5FD")</f>
        <v>5643RGNH5FD</v>
      </c>
      <c r="B5492" s="1" t="s">
        <v>10478</v>
      </c>
      <c r="C5492" s="9" t="s">
        <v>3403</v>
      </c>
      <c r="D5492" s="14" t="s">
        <v>10479</v>
      </c>
      <c r="E5492" s="9" t="s">
        <v>11</v>
      </c>
    </row>
    <row r="5493" spans="1:5" outlineLevel="1" x14ac:dyDescent="0.25">
      <c r="A5493" s="2"/>
      <c r="B5493" s="6" t="s">
        <v>10480</v>
      </c>
      <c r="C5493" s="8"/>
      <c r="D5493" s="8"/>
      <c r="E5493" s="8"/>
    </row>
    <row r="5494" spans="1:5" ht="15" customHeight="1" outlineLevel="2" x14ac:dyDescent="0.25">
      <c r="A5494" s="3" t="str">
        <f>HYPERLINK("http://mystore1.ru/price_items/search?utf8=%E2%9C%93&amp;oem=5649AGN","5649AGN")</f>
        <v>5649AGN</v>
      </c>
      <c r="B5494" s="1" t="s">
        <v>10481</v>
      </c>
      <c r="C5494" s="9" t="s">
        <v>120</v>
      </c>
      <c r="D5494" s="14" t="s">
        <v>10482</v>
      </c>
      <c r="E5494" s="9" t="s">
        <v>8</v>
      </c>
    </row>
    <row r="5495" spans="1:5" ht="15" customHeight="1" outlineLevel="2" x14ac:dyDescent="0.25">
      <c r="A5495" s="3" t="str">
        <f>HYPERLINK("http://mystore1.ru/price_items/search?utf8=%E2%9C%93&amp;oem=5649AGNBL","5649AGNBL")</f>
        <v>5649AGNBL</v>
      </c>
      <c r="B5495" s="1" t="s">
        <v>10483</v>
      </c>
      <c r="C5495" s="9" t="s">
        <v>120</v>
      </c>
      <c r="D5495" s="14" t="s">
        <v>10484</v>
      </c>
      <c r="E5495" s="9" t="s">
        <v>8</v>
      </c>
    </row>
    <row r="5496" spans="1:5" ht="15" customHeight="1" outlineLevel="2" x14ac:dyDescent="0.25">
      <c r="A5496" s="3" t="str">
        <f>HYPERLINK("http://mystore1.ru/price_items/search?utf8=%E2%9C%93&amp;oem=5649ASMST","5649ASMST")</f>
        <v>5649ASMST</v>
      </c>
      <c r="B5496" s="1" t="s">
        <v>10485</v>
      </c>
      <c r="C5496" s="9" t="s">
        <v>25</v>
      </c>
      <c r="D5496" s="14" t="s">
        <v>10486</v>
      </c>
      <c r="E5496" s="9" t="s">
        <v>27</v>
      </c>
    </row>
    <row r="5497" spans="1:5" ht="15" customHeight="1" outlineLevel="2" x14ac:dyDescent="0.25">
      <c r="A5497" s="3" t="str">
        <f>HYPERLINK("http://mystore1.ru/price_items/search?utf8=%E2%9C%93&amp;oem=5649BGNS","5649BGNS")</f>
        <v>5649BGNS</v>
      </c>
      <c r="B5497" s="1" t="s">
        <v>10487</v>
      </c>
      <c r="C5497" s="9" t="s">
        <v>120</v>
      </c>
      <c r="D5497" s="14" t="s">
        <v>10488</v>
      </c>
      <c r="E5497" s="9" t="s">
        <v>30</v>
      </c>
    </row>
    <row r="5498" spans="1:5" ht="15" customHeight="1" outlineLevel="2" x14ac:dyDescent="0.25">
      <c r="A5498" s="3" t="str">
        <f>HYPERLINK("http://mystore1.ru/price_items/search?utf8=%E2%9C%93&amp;oem=5649LGNE5RD","5649LGNE5RD")</f>
        <v>5649LGNE5RD</v>
      </c>
      <c r="B5498" s="1" t="s">
        <v>10489</v>
      </c>
      <c r="C5498" s="9" t="s">
        <v>120</v>
      </c>
      <c r="D5498" s="14" t="s">
        <v>10490</v>
      </c>
      <c r="E5498" s="9" t="s">
        <v>11</v>
      </c>
    </row>
    <row r="5499" spans="1:5" ht="15" customHeight="1" outlineLevel="2" x14ac:dyDescent="0.25">
      <c r="A5499" s="3" t="str">
        <f>HYPERLINK("http://mystore1.ru/price_items/search?utf8=%E2%9C%93&amp;oem=5649LGNE5RV","5649LGNE5RV")</f>
        <v>5649LGNE5RV</v>
      </c>
      <c r="B5499" s="1" t="s">
        <v>10491</v>
      </c>
      <c r="C5499" s="9" t="s">
        <v>120</v>
      </c>
      <c r="D5499" s="14" t="s">
        <v>10492</v>
      </c>
      <c r="E5499" s="9" t="s">
        <v>11</v>
      </c>
    </row>
    <row r="5500" spans="1:5" ht="15" customHeight="1" outlineLevel="2" x14ac:dyDescent="0.25">
      <c r="A5500" s="3" t="str">
        <f>HYPERLINK("http://mystore1.ru/price_items/search?utf8=%E2%9C%93&amp;oem=5649LGNS4FD","5649LGNS4FD")</f>
        <v>5649LGNS4FD</v>
      </c>
      <c r="B5500" s="1" t="s">
        <v>10493</v>
      </c>
      <c r="C5500" s="9" t="s">
        <v>120</v>
      </c>
      <c r="D5500" s="14" t="s">
        <v>10494</v>
      </c>
      <c r="E5500" s="9" t="s">
        <v>11</v>
      </c>
    </row>
    <row r="5501" spans="1:5" ht="15" customHeight="1" outlineLevel="2" x14ac:dyDescent="0.25">
      <c r="A5501" s="3" t="str">
        <f>HYPERLINK("http://mystore1.ru/price_items/search?utf8=%E2%9C%93&amp;oem=5649LGNS4RD","5649LGNS4RD")</f>
        <v>5649LGNS4RD</v>
      </c>
      <c r="B5501" s="1" t="s">
        <v>10495</v>
      </c>
      <c r="C5501" s="9" t="s">
        <v>120</v>
      </c>
      <c r="D5501" s="14" t="s">
        <v>10496</v>
      </c>
      <c r="E5501" s="9" t="s">
        <v>11</v>
      </c>
    </row>
    <row r="5502" spans="1:5" ht="15" customHeight="1" outlineLevel="2" x14ac:dyDescent="0.25">
      <c r="A5502" s="3" t="str">
        <f>HYPERLINK("http://mystore1.ru/price_items/search?utf8=%E2%9C%93&amp;oem=5649LGNS4RV","5649LGNS4RV")</f>
        <v>5649LGNS4RV</v>
      </c>
      <c r="B5502" s="1" t="s">
        <v>10497</v>
      </c>
      <c r="C5502" s="9" t="s">
        <v>120</v>
      </c>
      <c r="D5502" s="14" t="s">
        <v>10498</v>
      </c>
      <c r="E5502" s="9" t="s">
        <v>11</v>
      </c>
    </row>
    <row r="5503" spans="1:5" ht="15" customHeight="1" outlineLevel="2" x14ac:dyDescent="0.25">
      <c r="A5503" s="3" t="str">
        <f>HYPERLINK("http://mystore1.ru/price_items/search?utf8=%E2%9C%93&amp;oem=5649RGNE5RD","5649RGNE5RD")</f>
        <v>5649RGNE5RD</v>
      </c>
      <c r="B5503" s="1" t="s">
        <v>10499</v>
      </c>
      <c r="C5503" s="9" t="s">
        <v>120</v>
      </c>
      <c r="D5503" s="14" t="s">
        <v>10500</v>
      </c>
      <c r="E5503" s="9" t="s">
        <v>11</v>
      </c>
    </row>
    <row r="5504" spans="1:5" ht="15" customHeight="1" outlineLevel="2" x14ac:dyDescent="0.25">
      <c r="A5504" s="3" t="str">
        <f>HYPERLINK("http://mystore1.ru/price_items/search?utf8=%E2%9C%93&amp;oem=5649RGNE5RV","5649RGNE5RV")</f>
        <v>5649RGNE5RV</v>
      </c>
      <c r="B5504" s="1" t="s">
        <v>10501</v>
      </c>
      <c r="C5504" s="9" t="s">
        <v>120</v>
      </c>
      <c r="D5504" s="14" t="s">
        <v>10502</v>
      </c>
      <c r="E5504" s="9" t="s">
        <v>11</v>
      </c>
    </row>
    <row r="5505" spans="1:5" ht="15" customHeight="1" outlineLevel="2" x14ac:dyDescent="0.25">
      <c r="A5505" s="3" t="str">
        <f>HYPERLINK("http://mystore1.ru/price_items/search?utf8=%E2%9C%93&amp;oem=5649RGNS4FD","5649RGNS4FD")</f>
        <v>5649RGNS4FD</v>
      </c>
      <c r="B5505" s="1" t="s">
        <v>10503</v>
      </c>
      <c r="C5505" s="9" t="s">
        <v>120</v>
      </c>
      <c r="D5505" s="14" t="s">
        <v>10504</v>
      </c>
      <c r="E5505" s="9" t="s">
        <v>11</v>
      </c>
    </row>
    <row r="5506" spans="1:5" ht="15" customHeight="1" outlineLevel="2" x14ac:dyDescent="0.25">
      <c r="A5506" s="3" t="str">
        <f>HYPERLINK("http://mystore1.ru/price_items/search?utf8=%E2%9C%93&amp;oem=5649RGNS4RD","5649RGNS4RD")</f>
        <v>5649RGNS4RD</v>
      </c>
      <c r="B5506" s="1" t="s">
        <v>10505</v>
      </c>
      <c r="C5506" s="9" t="s">
        <v>120</v>
      </c>
      <c r="D5506" s="14" t="s">
        <v>10506</v>
      </c>
      <c r="E5506" s="9" t="s">
        <v>11</v>
      </c>
    </row>
    <row r="5507" spans="1:5" ht="15" customHeight="1" outlineLevel="2" x14ac:dyDescent="0.25">
      <c r="A5507" s="3" t="str">
        <f>HYPERLINK("http://mystore1.ru/price_items/search?utf8=%E2%9C%93&amp;oem=5649RGNS4RV","5649RGNS4RV")</f>
        <v>5649RGNS4RV</v>
      </c>
      <c r="B5507" s="1" t="s">
        <v>10507</v>
      </c>
      <c r="C5507" s="9" t="s">
        <v>120</v>
      </c>
      <c r="D5507" s="14" t="s">
        <v>10508</v>
      </c>
      <c r="E5507" s="9" t="s">
        <v>11</v>
      </c>
    </row>
    <row r="5508" spans="1:5" outlineLevel="1" x14ac:dyDescent="0.25">
      <c r="A5508" s="2"/>
      <c r="B5508" s="6" t="s">
        <v>10509</v>
      </c>
      <c r="C5508" s="8"/>
      <c r="D5508" s="8"/>
      <c r="E5508" s="8"/>
    </row>
    <row r="5509" spans="1:5" ht="15" customHeight="1" outlineLevel="2" x14ac:dyDescent="0.25">
      <c r="A5509" s="3" t="str">
        <f>HYPERLINK("http://mystore1.ru/price_items/search?utf8=%E2%9C%93&amp;oem=5673AGNW","5673AGNW")</f>
        <v>5673AGNW</v>
      </c>
      <c r="B5509" s="1" t="s">
        <v>10510</v>
      </c>
      <c r="C5509" s="9" t="s">
        <v>747</v>
      </c>
      <c r="D5509" s="14" t="s">
        <v>10511</v>
      </c>
      <c r="E5509" s="9" t="s">
        <v>8</v>
      </c>
    </row>
    <row r="5510" spans="1:5" ht="15" customHeight="1" outlineLevel="2" x14ac:dyDescent="0.25">
      <c r="A5510" s="3" t="str">
        <f>HYPERLINK("http://mystore1.ru/price_items/search?utf8=%E2%9C%93&amp;oem=5673ASMVT","5673ASMVT")</f>
        <v>5673ASMVT</v>
      </c>
      <c r="B5510" s="1" t="s">
        <v>10512</v>
      </c>
      <c r="C5510" s="9" t="s">
        <v>25</v>
      </c>
      <c r="D5510" s="14" t="s">
        <v>10513</v>
      </c>
      <c r="E5510" s="9" t="s">
        <v>27</v>
      </c>
    </row>
    <row r="5511" spans="1:5" ht="15" customHeight="1" outlineLevel="2" x14ac:dyDescent="0.25">
      <c r="A5511" s="3" t="str">
        <f>HYPERLINK("http://mystore1.ru/price_items/search?utf8=%E2%9C%93&amp;oem=5673BGNV","5673BGNV")</f>
        <v>5673BGNV</v>
      </c>
      <c r="B5511" s="1" t="s">
        <v>10514</v>
      </c>
      <c r="C5511" s="9" t="s">
        <v>747</v>
      </c>
      <c r="D5511" s="14" t="s">
        <v>10515</v>
      </c>
      <c r="E5511" s="9" t="s">
        <v>30</v>
      </c>
    </row>
    <row r="5512" spans="1:5" ht="15" customHeight="1" outlineLevel="2" x14ac:dyDescent="0.25">
      <c r="A5512" s="3" t="str">
        <f>HYPERLINK("http://mystore1.ru/price_items/search?utf8=%E2%9C%93&amp;oem=5673LGNV5FD","5673LGNV5FD")</f>
        <v>5673LGNV5FD</v>
      </c>
      <c r="B5512" s="1" t="s">
        <v>10516</v>
      </c>
      <c r="C5512" s="9" t="s">
        <v>747</v>
      </c>
      <c r="D5512" s="14" t="s">
        <v>10517</v>
      </c>
      <c r="E5512" s="9" t="s">
        <v>11</v>
      </c>
    </row>
    <row r="5513" spans="1:5" ht="15" customHeight="1" outlineLevel="2" x14ac:dyDescent="0.25">
      <c r="A5513" s="3" t="str">
        <f>HYPERLINK("http://mystore1.ru/price_items/search?utf8=%E2%9C%93&amp;oem=5673LGNV5RD","5673LGNV5RD")</f>
        <v>5673LGNV5RD</v>
      </c>
      <c r="B5513" s="1" t="s">
        <v>10518</v>
      </c>
      <c r="C5513" s="9" t="s">
        <v>747</v>
      </c>
      <c r="D5513" s="14" t="s">
        <v>10519</v>
      </c>
      <c r="E5513" s="9" t="s">
        <v>11</v>
      </c>
    </row>
    <row r="5514" spans="1:5" ht="15" customHeight="1" outlineLevel="2" x14ac:dyDescent="0.25">
      <c r="A5514" s="3" t="str">
        <f>HYPERLINK("http://mystore1.ru/price_items/search?utf8=%E2%9C%93&amp;oem=5673RGNV5FD","5673RGNV5FD")</f>
        <v>5673RGNV5FD</v>
      </c>
      <c r="B5514" s="1" t="s">
        <v>10520</v>
      </c>
      <c r="C5514" s="9" t="s">
        <v>747</v>
      </c>
      <c r="D5514" s="14" t="s">
        <v>10521</v>
      </c>
      <c r="E5514" s="9" t="s">
        <v>11</v>
      </c>
    </row>
    <row r="5515" spans="1:5" ht="15" customHeight="1" outlineLevel="2" x14ac:dyDescent="0.25">
      <c r="A5515" s="3" t="str">
        <f>HYPERLINK("http://mystore1.ru/price_items/search?utf8=%E2%9C%93&amp;oem=5673RGNV5RD","5673RGNV5RD")</f>
        <v>5673RGNV5RD</v>
      </c>
      <c r="B5515" s="1" t="s">
        <v>10522</v>
      </c>
      <c r="C5515" s="9" t="s">
        <v>747</v>
      </c>
      <c r="D5515" s="14" t="s">
        <v>10523</v>
      </c>
      <c r="E5515" s="9" t="s">
        <v>11</v>
      </c>
    </row>
    <row r="5516" spans="1:5" outlineLevel="1" x14ac:dyDescent="0.25">
      <c r="A5516" s="2"/>
      <c r="B5516" s="6" t="s">
        <v>10524</v>
      </c>
      <c r="C5516" s="8"/>
      <c r="D5516" s="8"/>
      <c r="E5516" s="8"/>
    </row>
    <row r="5517" spans="1:5" ht="15" customHeight="1" outlineLevel="2" x14ac:dyDescent="0.25">
      <c r="A5517" s="3" t="str">
        <f>HYPERLINK("http://mystore1.ru/price_items/search?utf8=%E2%9C%93&amp;oem=5628ABL","5628ABL")</f>
        <v>5628ABL</v>
      </c>
      <c r="B5517" s="1" t="s">
        <v>10525</v>
      </c>
      <c r="C5517" s="9" t="s">
        <v>1745</v>
      </c>
      <c r="D5517" s="14" t="s">
        <v>10526</v>
      </c>
      <c r="E5517" s="9" t="s">
        <v>8</v>
      </c>
    </row>
    <row r="5518" spans="1:5" ht="15" customHeight="1" outlineLevel="2" x14ac:dyDescent="0.25">
      <c r="A5518" s="3" t="str">
        <f>HYPERLINK("http://mystore1.ru/price_items/search?utf8=%E2%9C%93&amp;oem=5628ACL","5628ACL")</f>
        <v>5628ACL</v>
      </c>
      <c r="B5518" s="1" t="s">
        <v>10527</v>
      </c>
      <c r="C5518" s="9" t="s">
        <v>1745</v>
      </c>
      <c r="D5518" s="14" t="s">
        <v>10528</v>
      </c>
      <c r="E5518" s="9" t="s">
        <v>8</v>
      </c>
    </row>
    <row r="5519" spans="1:5" ht="15" customHeight="1" outlineLevel="2" x14ac:dyDescent="0.25">
      <c r="A5519" s="3" t="str">
        <f>HYPERLINK("http://mystore1.ru/price_items/search?utf8=%E2%9C%93&amp;oem=5628AKCP","5628AKCP")</f>
        <v>5628AKCP</v>
      </c>
      <c r="B5519" s="1" t="s">
        <v>10529</v>
      </c>
      <c r="C5519" s="9" t="s">
        <v>25</v>
      </c>
      <c r="D5519" s="14" t="s">
        <v>10530</v>
      </c>
      <c r="E5519" s="9" t="s">
        <v>27</v>
      </c>
    </row>
    <row r="5520" spans="1:5" ht="15" customHeight="1" outlineLevel="2" x14ac:dyDescent="0.25">
      <c r="A5520" s="3" t="str">
        <f>HYPERLINK("http://mystore1.ru/price_items/search?utf8=%E2%9C%93&amp;oem=5628RBLP2FD","5628RBLP2FD")</f>
        <v>5628RBLP2FD</v>
      </c>
      <c r="B5520" s="1" t="s">
        <v>10531</v>
      </c>
      <c r="C5520" s="9" t="s">
        <v>1745</v>
      </c>
      <c r="D5520" s="14" t="s">
        <v>10532</v>
      </c>
      <c r="E5520" s="9" t="s">
        <v>11</v>
      </c>
    </row>
    <row r="5521" spans="1:5" ht="15" customHeight="1" outlineLevel="2" x14ac:dyDescent="0.25">
      <c r="A5521" s="3" t="str">
        <f>HYPERLINK("http://mystore1.ru/price_items/search?utf8=%E2%9C%93&amp;oem=5628RCLP2FD","5628RCLP2FD")</f>
        <v>5628RCLP2FD</v>
      </c>
      <c r="B5521" s="1" t="s">
        <v>10533</v>
      </c>
      <c r="C5521" s="9" t="s">
        <v>1745</v>
      </c>
      <c r="D5521" s="14" t="s">
        <v>10534</v>
      </c>
      <c r="E5521" s="9" t="s">
        <v>11</v>
      </c>
    </row>
    <row r="5522" spans="1:5" outlineLevel="1" x14ac:dyDescent="0.25">
      <c r="A5522" s="2"/>
      <c r="B5522" s="6" t="s">
        <v>10535</v>
      </c>
      <c r="C5522" s="8"/>
      <c r="D5522" s="8"/>
      <c r="E5522" s="8"/>
    </row>
    <row r="5523" spans="1:5" ht="15" customHeight="1" outlineLevel="2" x14ac:dyDescent="0.25">
      <c r="A5523" s="3" t="str">
        <f>HYPERLINK("http://mystore1.ru/price_items/search?utf8=%E2%9C%93&amp;oem=5650ABL","5650ABL")</f>
        <v>5650ABL</v>
      </c>
      <c r="B5523" s="1" t="s">
        <v>10536</v>
      </c>
      <c r="C5523" s="9" t="s">
        <v>10537</v>
      </c>
      <c r="D5523" s="14" t="s">
        <v>10538</v>
      </c>
      <c r="E5523" s="9" t="s">
        <v>8</v>
      </c>
    </row>
    <row r="5524" spans="1:5" ht="15" customHeight="1" outlineLevel="2" x14ac:dyDescent="0.25">
      <c r="A5524" s="3" t="str">
        <f>HYPERLINK("http://mystore1.ru/price_items/search?utf8=%E2%9C%93&amp;oem=5650AGN","5650AGN")</f>
        <v>5650AGN</v>
      </c>
      <c r="B5524" s="1" t="s">
        <v>10539</v>
      </c>
      <c r="C5524" s="9" t="s">
        <v>10537</v>
      </c>
      <c r="D5524" s="14" t="s">
        <v>10540</v>
      </c>
      <c r="E5524" s="9" t="s">
        <v>8</v>
      </c>
    </row>
    <row r="5525" spans="1:5" ht="15" customHeight="1" outlineLevel="2" x14ac:dyDescent="0.25">
      <c r="A5525" s="3" t="str">
        <f>HYPERLINK("http://mystore1.ru/price_items/search?utf8=%E2%9C%93&amp;oem=5650AGN1P","5650AGN1P")</f>
        <v>5650AGN1P</v>
      </c>
      <c r="B5525" s="1" t="s">
        <v>10541</v>
      </c>
      <c r="C5525" s="9" t="s">
        <v>956</v>
      </c>
      <c r="D5525" s="14" t="s">
        <v>10542</v>
      </c>
      <c r="E5525" s="9" t="s">
        <v>8</v>
      </c>
    </row>
    <row r="5526" spans="1:5" ht="15" customHeight="1" outlineLevel="2" x14ac:dyDescent="0.25">
      <c r="A5526" s="3" t="str">
        <f>HYPERLINK("http://mystore1.ru/price_items/search?utf8=%E2%9C%93&amp;oem=5650AGN2P","5650AGN2P")</f>
        <v>5650AGN2P</v>
      </c>
      <c r="B5526" s="1" t="s">
        <v>10543</v>
      </c>
      <c r="C5526" s="9" t="s">
        <v>1590</v>
      </c>
      <c r="D5526" s="14" t="s">
        <v>10544</v>
      </c>
      <c r="E5526" s="9" t="s">
        <v>8</v>
      </c>
    </row>
    <row r="5527" spans="1:5" ht="15" customHeight="1" outlineLevel="2" x14ac:dyDescent="0.25">
      <c r="A5527" s="3" t="str">
        <f>HYPERLINK("http://mystore1.ru/price_items/search?utf8=%E2%9C%93&amp;oem=5650AGN3P","5650AGN3P")</f>
        <v>5650AGN3P</v>
      </c>
      <c r="B5527" s="1" t="s">
        <v>10545</v>
      </c>
      <c r="C5527" s="9" t="s">
        <v>1590</v>
      </c>
      <c r="D5527" s="14" t="s">
        <v>10546</v>
      </c>
      <c r="E5527" s="9" t="s">
        <v>8</v>
      </c>
    </row>
    <row r="5528" spans="1:5" ht="15" customHeight="1" outlineLevel="2" x14ac:dyDescent="0.25">
      <c r="A5528" s="3" t="str">
        <f>HYPERLINK("http://mystore1.ru/price_items/search?utf8=%E2%9C%93&amp;oem=5650AGNBL","5650AGNBL")</f>
        <v>5650AGNBL</v>
      </c>
      <c r="B5528" s="1" t="s">
        <v>10547</v>
      </c>
      <c r="C5528" s="9" t="s">
        <v>10537</v>
      </c>
      <c r="D5528" s="14" t="s">
        <v>10548</v>
      </c>
      <c r="E5528" s="9" t="s">
        <v>8</v>
      </c>
    </row>
    <row r="5529" spans="1:5" ht="15" customHeight="1" outlineLevel="2" x14ac:dyDescent="0.25">
      <c r="A5529" s="3" t="str">
        <f>HYPERLINK("http://mystore1.ru/price_items/search?utf8=%E2%9C%93&amp;oem=5650AGNH1P","5650AGNH1P")</f>
        <v>5650AGNH1P</v>
      </c>
      <c r="B5529" s="1" t="s">
        <v>10549</v>
      </c>
      <c r="C5529" s="9" t="s">
        <v>956</v>
      </c>
      <c r="D5529" s="14" t="s">
        <v>10550</v>
      </c>
      <c r="E5529" s="9" t="s">
        <v>8</v>
      </c>
    </row>
    <row r="5530" spans="1:5" ht="15" customHeight="1" outlineLevel="2" x14ac:dyDescent="0.25">
      <c r="A5530" s="3" t="str">
        <f>HYPERLINK("http://mystore1.ru/price_items/search?utf8=%E2%9C%93&amp;oem=5650AGNH2P","5650AGNH2P")</f>
        <v>5650AGNH2P</v>
      </c>
      <c r="B5530" s="1" t="s">
        <v>10551</v>
      </c>
      <c r="C5530" s="9" t="s">
        <v>1499</v>
      </c>
      <c r="D5530" s="14" t="s">
        <v>10552</v>
      </c>
      <c r="E5530" s="9" t="s">
        <v>8</v>
      </c>
    </row>
    <row r="5531" spans="1:5" ht="15" customHeight="1" outlineLevel="2" x14ac:dyDescent="0.25">
      <c r="A5531" s="3" t="str">
        <f>HYPERLINK("http://mystore1.ru/price_items/search?utf8=%E2%9C%93&amp;oem=5650ASMP","5650ASMP")</f>
        <v>5650ASMP</v>
      </c>
      <c r="B5531" s="1" t="s">
        <v>10553</v>
      </c>
      <c r="C5531" s="9" t="s">
        <v>25</v>
      </c>
      <c r="D5531" s="14" t="s">
        <v>10554</v>
      </c>
      <c r="E5531" s="9" t="s">
        <v>27</v>
      </c>
    </row>
    <row r="5532" spans="1:5" ht="15" customHeight="1" outlineLevel="2" x14ac:dyDescent="0.25">
      <c r="A5532" s="3" t="str">
        <f>HYPERLINK("http://mystore1.ru/price_items/search?utf8=%E2%9C%93&amp;oem=5650ASMPC","5650ASMPC")</f>
        <v>5650ASMPC</v>
      </c>
      <c r="B5532" s="1" t="s">
        <v>10555</v>
      </c>
      <c r="C5532" s="9" t="s">
        <v>25</v>
      </c>
      <c r="D5532" s="14" t="s">
        <v>10556</v>
      </c>
      <c r="E5532" s="9" t="s">
        <v>27</v>
      </c>
    </row>
    <row r="5533" spans="1:5" ht="15" customHeight="1" outlineLevel="2" x14ac:dyDescent="0.25">
      <c r="A5533" s="3" t="str">
        <f>HYPERLINK("http://mystore1.ru/price_items/search?utf8=%E2%9C%93&amp;oem=5650ASMR","5650ASMR")</f>
        <v>5650ASMR</v>
      </c>
      <c r="B5533" s="1" t="s">
        <v>10557</v>
      </c>
      <c r="C5533" s="9" t="s">
        <v>25</v>
      </c>
      <c r="D5533" s="14" t="s">
        <v>10558</v>
      </c>
      <c r="E5533" s="9" t="s">
        <v>27</v>
      </c>
    </row>
    <row r="5534" spans="1:5" ht="15" customHeight="1" outlineLevel="2" x14ac:dyDescent="0.25">
      <c r="A5534" s="3" t="str">
        <f>HYPERLINK("http://mystore1.ru/price_items/search?utf8=%E2%9C%93&amp;oem=5650BGNP","5650BGNP")</f>
        <v>5650BGNP</v>
      </c>
      <c r="B5534" s="1" t="s">
        <v>10559</v>
      </c>
      <c r="C5534" s="9" t="s">
        <v>10537</v>
      </c>
      <c r="D5534" s="14" t="s">
        <v>10560</v>
      </c>
      <c r="E5534" s="9" t="s">
        <v>30</v>
      </c>
    </row>
    <row r="5535" spans="1:5" ht="15" customHeight="1" outlineLevel="2" x14ac:dyDescent="0.25">
      <c r="A5535" s="3" t="str">
        <f>HYPERLINK("http://mystore1.ru/price_items/search?utf8=%E2%9C%93&amp;oem=5650LGNP4FD","5650LGNP4FD")</f>
        <v>5650LGNP4FD</v>
      </c>
      <c r="B5535" s="1" t="s">
        <v>10561</v>
      </c>
      <c r="C5535" s="9" t="s">
        <v>10537</v>
      </c>
      <c r="D5535" s="14" t="s">
        <v>10562</v>
      </c>
      <c r="E5535" s="9" t="s">
        <v>11</v>
      </c>
    </row>
    <row r="5536" spans="1:5" ht="15" customHeight="1" outlineLevel="2" x14ac:dyDescent="0.25">
      <c r="A5536" s="3" t="str">
        <f>HYPERLINK("http://mystore1.ru/price_items/search?utf8=%E2%9C%93&amp;oem=5650LGNR5FD","5650LGNR5FD")</f>
        <v>5650LGNR5FD</v>
      </c>
      <c r="B5536" s="1" t="s">
        <v>10563</v>
      </c>
      <c r="C5536" s="9" t="s">
        <v>956</v>
      </c>
      <c r="D5536" s="14" t="s">
        <v>10564</v>
      </c>
      <c r="E5536" s="9" t="s">
        <v>11</v>
      </c>
    </row>
    <row r="5537" spans="1:5" ht="15" customHeight="1" outlineLevel="2" x14ac:dyDescent="0.25">
      <c r="A5537" s="3" t="str">
        <f>HYPERLINK("http://mystore1.ru/price_items/search?utf8=%E2%9C%93&amp;oem=5650LGNR5RD","5650LGNR5RD")</f>
        <v>5650LGNR5RD</v>
      </c>
      <c r="B5537" s="1" t="s">
        <v>10565</v>
      </c>
      <c r="C5537" s="9" t="s">
        <v>956</v>
      </c>
      <c r="D5537" s="14" t="s">
        <v>10566</v>
      </c>
      <c r="E5537" s="9" t="s">
        <v>11</v>
      </c>
    </row>
    <row r="5538" spans="1:5" ht="15" customHeight="1" outlineLevel="2" x14ac:dyDescent="0.25">
      <c r="A5538" s="3" t="str">
        <f>HYPERLINK("http://mystore1.ru/price_items/search?utf8=%E2%9C%93&amp;oem=5650LGNR5RV","5650LGNR5RV")</f>
        <v>5650LGNR5RV</v>
      </c>
      <c r="B5538" s="1" t="s">
        <v>10567</v>
      </c>
      <c r="C5538" s="9" t="s">
        <v>956</v>
      </c>
      <c r="D5538" s="14" t="s">
        <v>10568</v>
      </c>
      <c r="E5538" s="9" t="s">
        <v>11</v>
      </c>
    </row>
    <row r="5539" spans="1:5" ht="15" customHeight="1" outlineLevel="2" x14ac:dyDescent="0.25">
      <c r="A5539" s="3" t="str">
        <f>HYPERLINK("http://mystore1.ru/price_items/search?utf8=%E2%9C%93&amp;oem=5650RGNP4FD","5650RGNP4FD")</f>
        <v>5650RGNP4FD</v>
      </c>
      <c r="B5539" s="1" t="s">
        <v>10569</v>
      </c>
      <c r="C5539" s="9" t="s">
        <v>10537</v>
      </c>
      <c r="D5539" s="14" t="s">
        <v>10570</v>
      </c>
      <c r="E5539" s="9" t="s">
        <v>11</v>
      </c>
    </row>
    <row r="5540" spans="1:5" ht="15" customHeight="1" outlineLevel="2" x14ac:dyDescent="0.25">
      <c r="A5540" s="3" t="str">
        <f>HYPERLINK("http://mystore1.ru/price_items/search?utf8=%E2%9C%93&amp;oem=5650RGNP4RD","5650RGNP4RD")</f>
        <v>5650RGNP4RD</v>
      </c>
      <c r="B5540" s="1" t="s">
        <v>10571</v>
      </c>
      <c r="C5540" s="9" t="s">
        <v>10537</v>
      </c>
      <c r="D5540" s="14" t="s">
        <v>10572</v>
      </c>
      <c r="E5540" s="9" t="s">
        <v>11</v>
      </c>
    </row>
    <row r="5541" spans="1:5" ht="15" customHeight="1" outlineLevel="2" x14ac:dyDescent="0.25">
      <c r="A5541" s="3" t="str">
        <f>HYPERLINK("http://mystore1.ru/price_items/search?utf8=%E2%9C%93&amp;oem=5650RGNR5FD","5650RGNR5FD")</f>
        <v>5650RGNR5FD</v>
      </c>
      <c r="B5541" s="1" t="s">
        <v>10573</v>
      </c>
      <c r="C5541" s="9" t="s">
        <v>10537</v>
      </c>
      <c r="D5541" s="14" t="s">
        <v>10574</v>
      </c>
      <c r="E5541" s="9" t="s">
        <v>11</v>
      </c>
    </row>
    <row r="5542" spans="1:5" ht="15" customHeight="1" outlineLevel="2" x14ac:dyDescent="0.25">
      <c r="A5542" s="3" t="str">
        <f>HYPERLINK("http://mystore1.ru/price_items/search?utf8=%E2%9C%93&amp;oem=5650RGNR5RD","5650RGNR5RD")</f>
        <v>5650RGNR5RD</v>
      </c>
      <c r="B5542" s="1" t="s">
        <v>10575</v>
      </c>
      <c r="C5542" s="9" t="s">
        <v>10537</v>
      </c>
      <c r="D5542" s="14" t="s">
        <v>10576</v>
      </c>
      <c r="E5542" s="9" t="s">
        <v>11</v>
      </c>
    </row>
    <row r="5543" spans="1:5" ht="15" customHeight="1" outlineLevel="2" x14ac:dyDescent="0.25">
      <c r="A5543" s="3" t="str">
        <f>HYPERLINK("http://mystore1.ru/price_items/search?utf8=%E2%9C%93&amp;oem=5650RGNR5RV","5650RGNR5RV")</f>
        <v>5650RGNR5RV</v>
      </c>
      <c r="B5543" s="1" t="s">
        <v>10577</v>
      </c>
      <c r="C5543" s="9" t="s">
        <v>10537</v>
      </c>
      <c r="D5543" s="14" t="s">
        <v>10578</v>
      </c>
      <c r="E5543" s="9" t="s">
        <v>11</v>
      </c>
    </row>
    <row r="5544" spans="1:5" outlineLevel="1" x14ac:dyDescent="0.25">
      <c r="A5544" s="2"/>
      <c r="B5544" s="6" t="s">
        <v>10579</v>
      </c>
      <c r="C5544" s="8"/>
      <c r="D5544" s="8"/>
      <c r="E5544" s="8"/>
    </row>
    <row r="5545" spans="1:5" ht="15" customHeight="1" outlineLevel="2" x14ac:dyDescent="0.25">
      <c r="A5545" s="3" t="str">
        <f>HYPERLINK("http://mystore1.ru/price_items/search?utf8=%E2%9C%93&amp;oem=5679AGS","5679AGS")</f>
        <v>5679AGS</v>
      </c>
      <c r="B5545" s="1" t="s">
        <v>10580</v>
      </c>
      <c r="C5545" s="9" t="s">
        <v>687</v>
      </c>
      <c r="D5545" s="14" t="s">
        <v>10581</v>
      </c>
      <c r="E5545" s="9" t="s">
        <v>8</v>
      </c>
    </row>
    <row r="5546" spans="1:5" outlineLevel="1" x14ac:dyDescent="0.25">
      <c r="A5546" s="2"/>
      <c r="B5546" s="6" t="s">
        <v>10582</v>
      </c>
      <c r="C5546" s="8"/>
      <c r="D5546" s="8"/>
      <c r="E5546" s="8"/>
    </row>
    <row r="5547" spans="1:5" ht="15" customHeight="1" outlineLevel="2" x14ac:dyDescent="0.25">
      <c r="A5547" s="3" t="str">
        <f>HYPERLINK("http://mystore1.ru/price_items/search?utf8=%E2%9C%93&amp;oem=5614ACL","5614ACL")</f>
        <v>5614ACL</v>
      </c>
      <c r="B5547" s="1" t="s">
        <v>10583</v>
      </c>
      <c r="C5547" s="9" t="s">
        <v>10584</v>
      </c>
      <c r="D5547" s="14" t="s">
        <v>10585</v>
      </c>
      <c r="E5547" s="9" t="s">
        <v>8</v>
      </c>
    </row>
    <row r="5548" spans="1:5" ht="15" customHeight="1" outlineLevel="2" x14ac:dyDescent="0.25">
      <c r="A5548" s="3" t="str">
        <f>HYPERLINK("http://mystore1.ru/price_items/search?utf8=%E2%9C%93&amp;oem=5614ASRV","5614ASRV")</f>
        <v>5614ASRV</v>
      </c>
      <c r="B5548" s="1" t="s">
        <v>10586</v>
      </c>
      <c r="C5548" s="9" t="s">
        <v>25</v>
      </c>
      <c r="D5548" s="14" t="s">
        <v>10587</v>
      </c>
      <c r="E5548" s="9" t="s">
        <v>27</v>
      </c>
    </row>
    <row r="5549" spans="1:5" ht="15" customHeight="1" outlineLevel="2" x14ac:dyDescent="0.25">
      <c r="A5549" s="3" t="str">
        <f>HYPERLINK("http://mystore1.ru/price_items/search?utf8=%E2%9C%93&amp;oem=5614BCLV","5614BCLV")</f>
        <v>5614BCLV</v>
      </c>
      <c r="B5549" s="1" t="s">
        <v>10588</v>
      </c>
      <c r="C5549" s="9" t="s">
        <v>10584</v>
      </c>
      <c r="D5549" s="14" t="s">
        <v>10589</v>
      </c>
      <c r="E5549" s="9" t="s">
        <v>30</v>
      </c>
    </row>
    <row r="5550" spans="1:5" outlineLevel="1" x14ac:dyDescent="0.25">
      <c r="A5550" s="2"/>
      <c r="B5550" s="6" t="s">
        <v>10590</v>
      </c>
      <c r="C5550" s="8"/>
      <c r="D5550" s="8"/>
      <c r="E5550" s="8"/>
    </row>
    <row r="5551" spans="1:5" ht="15" customHeight="1" outlineLevel="2" x14ac:dyDescent="0.25">
      <c r="A5551" s="3" t="str">
        <f>HYPERLINK("http://mystore1.ru/price_items/search?utf8=%E2%9C%93&amp;oem=5629ABL","5629ABL")</f>
        <v>5629ABL</v>
      </c>
      <c r="B5551" s="1" t="s">
        <v>10591</v>
      </c>
      <c r="C5551" s="9" t="s">
        <v>2126</v>
      </c>
      <c r="D5551" s="14" t="s">
        <v>10592</v>
      </c>
      <c r="E5551" s="9" t="s">
        <v>8</v>
      </c>
    </row>
    <row r="5552" spans="1:5" ht="15" customHeight="1" outlineLevel="2" x14ac:dyDescent="0.25">
      <c r="A5552" s="3" t="str">
        <f>HYPERLINK("http://mystore1.ru/price_items/search?utf8=%E2%9C%93&amp;oem=5629ABLBL","5629ABLBL")</f>
        <v>5629ABLBL</v>
      </c>
      <c r="B5552" s="1" t="s">
        <v>10593</v>
      </c>
      <c r="C5552" s="9" t="s">
        <v>2126</v>
      </c>
      <c r="D5552" s="14" t="s">
        <v>10594</v>
      </c>
      <c r="E5552" s="9" t="s">
        <v>8</v>
      </c>
    </row>
    <row r="5553" spans="1:5" ht="15" customHeight="1" outlineLevel="2" x14ac:dyDescent="0.25">
      <c r="A5553" s="3" t="str">
        <f>HYPERLINK("http://mystore1.ru/price_items/search?utf8=%E2%9C%93&amp;oem=5629ABZ","5629ABZ")</f>
        <v>5629ABZ</v>
      </c>
      <c r="B5553" s="1" t="s">
        <v>10595</v>
      </c>
      <c r="C5553" s="9" t="s">
        <v>2126</v>
      </c>
      <c r="D5553" s="14" t="s">
        <v>10596</v>
      </c>
      <c r="E5553" s="9" t="s">
        <v>8</v>
      </c>
    </row>
    <row r="5554" spans="1:5" ht="15" customHeight="1" outlineLevel="2" x14ac:dyDescent="0.25">
      <c r="A5554" s="3" t="str">
        <f>HYPERLINK("http://mystore1.ru/price_items/search?utf8=%E2%9C%93&amp;oem=5629ACL","5629ACL")</f>
        <v>5629ACL</v>
      </c>
      <c r="B5554" s="1" t="s">
        <v>10597</v>
      </c>
      <c r="C5554" s="9" t="s">
        <v>2126</v>
      </c>
      <c r="D5554" s="14" t="s">
        <v>10598</v>
      </c>
      <c r="E5554" s="9" t="s">
        <v>8</v>
      </c>
    </row>
    <row r="5555" spans="1:5" ht="15" customHeight="1" outlineLevel="2" x14ac:dyDescent="0.25">
      <c r="A5555" s="3" t="str">
        <f>HYPERLINK("http://mystore1.ru/price_items/search?utf8=%E2%9C%93&amp;oem=5629AKCV","5629AKCV")</f>
        <v>5629AKCV</v>
      </c>
      <c r="B5555" s="1" t="s">
        <v>10599</v>
      </c>
      <c r="C5555" s="9" t="s">
        <v>25</v>
      </c>
      <c r="D5555" s="14" t="s">
        <v>10600</v>
      </c>
      <c r="E5555" s="9" t="s">
        <v>27</v>
      </c>
    </row>
    <row r="5556" spans="1:5" ht="15" customHeight="1" outlineLevel="2" x14ac:dyDescent="0.25">
      <c r="A5556" s="3" t="str">
        <f>HYPERLINK("http://mystore1.ru/price_items/search?utf8=%E2%9C%93&amp;oem=5629BBLV","5629BBLV")</f>
        <v>5629BBLV</v>
      </c>
      <c r="B5556" s="1" t="s">
        <v>10601</v>
      </c>
      <c r="C5556" s="9" t="s">
        <v>2126</v>
      </c>
      <c r="D5556" s="14" t="s">
        <v>10602</v>
      </c>
      <c r="E5556" s="9" t="s">
        <v>30</v>
      </c>
    </row>
    <row r="5557" spans="1:5" ht="15" customHeight="1" outlineLevel="2" x14ac:dyDescent="0.25">
      <c r="A5557" s="3" t="str">
        <f>HYPERLINK("http://mystore1.ru/price_items/search?utf8=%E2%9C%93&amp;oem=5629BCLV","5629BCLV")</f>
        <v>5629BCLV</v>
      </c>
      <c r="B5557" s="1" t="s">
        <v>10603</v>
      </c>
      <c r="C5557" s="9" t="s">
        <v>2126</v>
      </c>
      <c r="D5557" s="14" t="s">
        <v>10604</v>
      </c>
      <c r="E5557" s="9" t="s">
        <v>30</v>
      </c>
    </row>
    <row r="5558" spans="1:5" ht="15" customHeight="1" outlineLevel="2" x14ac:dyDescent="0.25">
      <c r="A5558" s="3" t="str">
        <f>HYPERLINK("http://mystore1.ru/price_items/search?utf8=%E2%9C%93&amp;oem=5629LBLV2FD","5629LBLV2FD")</f>
        <v>5629LBLV2FD</v>
      </c>
      <c r="B5558" s="1" t="s">
        <v>10605</v>
      </c>
      <c r="C5558" s="9" t="s">
        <v>2126</v>
      </c>
      <c r="D5558" s="14" t="s">
        <v>10606</v>
      </c>
      <c r="E5558" s="9" t="s">
        <v>11</v>
      </c>
    </row>
    <row r="5559" spans="1:5" ht="15" customHeight="1" outlineLevel="2" x14ac:dyDescent="0.25">
      <c r="A5559" s="3" t="str">
        <f>HYPERLINK("http://mystore1.ru/price_items/search?utf8=%E2%9C%93&amp;oem=5629LCLV2FD","5629LCLV2FD")</f>
        <v>5629LCLV2FD</v>
      </c>
      <c r="B5559" s="1" t="s">
        <v>10607</v>
      </c>
      <c r="C5559" s="9" t="s">
        <v>2126</v>
      </c>
      <c r="D5559" s="14" t="s">
        <v>10608</v>
      </c>
      <c r="E5559" s="9" t="s">
        <v>11</v>
      </c>
    </row>
    <row r="5560" spans="1:5" ht="15" customHeight="1" outlineLevel="2" x14ac:dyDescent="0.25">
      <c r="A5560" s="3" t="str">
        <f>HYPERLINK("http://mystore1.ru/price_items/search?utf8=%E2%9C%93&amp;oem=5629RBLV2FD","5629RBLV2FD")</f>
        <v>5629RBLV2FD</v>
      </c>
      <c r="B5560" s="1" t="s">
        <v>10609</v>
      </c>
      <c r="C5560" s="9" t="s">
        <v>2126</v>
      </c>
      <c r="D5560" s="14" t="s">
        <v>10610</v>
      </c>
      <c r="E5560" s="9" t="s">
        <v>11</v>
      </c>
    </row>
    <row r="5561" spans="1:5" ht="15" customHeight="1" outlineLevel="2" x14ac:dyDescent="0.25">
      <c r="A5561" s="3" t="str">
        <f>HYPERLINK("http://mystore1.ru/price_items/search?utf8=%E2%9C%93&amp;oem=5629RCLV2FD","5629RCLV2FD")</f>
        <v>5629RCLV2FD</v>
      </c>
      <c r="B5561" s="1" t="s">
        <v>10611</v>
      </c>
      <c r="C5561" s="9" t="s">
        <v>2126</v>
      </c>
      <c r="D5561" s="14" t="s">
        <v>10612</v>
      </c>
      <c r="E5561" s="9" t="s">
        <v>11</v>
      </c>
    </row>
    <row r="5562" spans="1:5" outlineLevel="1" x14ac:dyDescent="0.25">
      <c r="A5562" s="2"/>
      <c r="B5562" s="6" t="s">
        <v>10613</v>
      </c>
      <c r="C5562" s="8"/>
      <c r="D5562" s="8"/>
      <c r="E5562" s="8"/>
    </row>
    <row r="5563" spans="1:5" ht="15" customHeight="1" outlineLevel="2" x14ac:dyDescent="0.25">
      <c r="A5563" s="3" t="str">
        <f>HYPERLINK("http://mystore1.ru/price_items/search?utf8=%E2%9C%93&amp;oem=5622ABL","5622ABL")</f>
        <v>5622ABL</v>
      </c>
      <c r="B5563" s="1" t="s">
        <v>10614</v>
      </c>
      <c r="C5563" s="9" t="s">
        <v>5824</v>
      </c>
      <c r="D5563" s="14" t="s">
        <v>10615</v>
      </c>
      <c r="E5563" s="9" t="s">
        <v>8</v>
      </c>
    </row>
    <row r="5564" spans="1:5" ht="15" customHeight="1" outlineLevel="2" x14ac:dyDescent="0.25">
      <c r="A5564" s="3" t="str">
        <f>HYPERLINK("http://mystore1.ru/price_items/search?utf8=%E2%9C%93&amp;oem=5622AKMH","5622AKMH")</f>
        <v>5622AKMH</v>
      </c>
      <c r="B5564" s="1" t="s">
        <v>10616</v>
      </c>
      <c r="C5564" s="9" t="s">
        <v>25</v>
      </c>
      <c r="D5564" s="14" t="s">
        <v>10617</v>
      </c>
      <c r="E5564" s="9" t="s">
        <v>27</v>
      </c>
    </row>
    <row r="5565" spans="1:5" ht="15" customHeight="1" outlineLevel="2" x14ac:dyDescent="0.25">
      <c r="A5565" s="3" t="str">
        <f>HYPERLINK("http://mystore1.ru/price_items/search?utf8=%E2%9C%93&amp;oem=5622AKMHC","5622AKMHC")</f>
        <v>5622AKMHC</v>
      </c>
      <c r="B5565" s="1" t="s">
        <v>10618</v>
      </c>
      <c r="C5565" s="9" t="s">
        <v>25</v>
      </c>
      <c r="D5565" s="14" t="s">
        <v>10619</v>
      </c>
      <c r="E5565" s="9" t="s">
        <v>27</v>
      </c>
    </row>
    <row r="5566" spans="1:5" ht="15" customHeight="1" outlineLevel="2" x14ac:dyDescent="0.25">
      <c r="A5566" s="3" t="str">
        <f>HYPERLINK("http://mystore1.ru/price_items/search?utf8=%E2%9C%93&amp;oem=5622BBLH","5622BBLH")</f>
        <v>5622BBLH</v>
      </c>
      <c r="B5566" s="1" t="s">
        <v>10620</v>
      </c>
      <c r="C5566" s="9" t="s">
        <v>5824</v>
      </c>
      <c r="D5566" s="14" t="s">
        <v>10621</v>
      </c>
      <c r="E5566" s="9" t="s">
        <v>30</v>
      </c>
    </row>
    <row r="5567" spans="1:5" ht="15" customHeight="1" outlineLevel="2" x14ac:dyDescent="0.25">
      <c r="A5567" s="3" t="str">
        <f>HYPERLINK("http://mystore1.ru/price_items/search?utf8=%E2%9C%93&amp;oem=5622LBLH5FD","5622LBLH5FD")</f>
        <v>5622LBLH5FD</v>
      </c>
      <c r="B5567" s="1" t="s">
        <v>10622</v>
      </c>
      <c r="C5567" s="9" t="s">
        <v>5824</v>
      </c>
      <c r="D5567" s="14" t="s">
        <v>10623</v>
      </c>
      <c r="E5567" s="9" t="s">
        <v>11</v>
      </c>
    </row>
    <row r="5568" spans="1:5" ht="15" customHeight="1" outlineLevel="2" x14ac:dyDescent="0.25">
      <c r="A5568" s="3" t="str">
        <f>HYPERLINK("http://mystore1.ru/price_items/search?utf8=%E2%9C%93&amp;oem=5622RBLH5FD","5622RBLH5FD")</f>
        <v>5622RBLH5FD</v>
      </c>
      <c r="B5568" s="1" t="s">
        <v>10624</v>
      </c>
      <c r="C5568" s="9" t="s">
        <v>5824</v>
      </c>
      <c r="D5568" s="14" t="s">
        <v>10625</v>
      </c>
      <c r="E5568" s="9" t="s">
        <v>11</v>
      </c>
    </row>
    <row r="5569" spans="1:5" outlineLevel="1" x14ac:dyDescent="0.25">
      <c r="A5569" s="2"/>
      <c r="B5569" s="6" t="s">
        <v>10626</v>
      </c>
      <c r="C5569" s="8"/>
      <c r="D5569" s="8"/>
      <c r="E5569" s="8"/>
    </row>
    <row r="5570" spans="1:5" ht="15" customHeight="1" outlineLevel="2" x14ac:dyDescent="0.25">
      <c r="A5570" s="3" t="str">
        <f>HYPERLINK("http://mystore1.ru/price_items/search?utf8=%E2%9C%93&amp;oem=5633ABL","5633ABL")</f>
        <v>5633ABL</v>
      </c>
      <c r="B5570" s="1" t="s">
        <v>10627</v>
      </c>
      <c r="C5570" s="9" t="s">
        <v>4307</v>
      </c>
      <c r="D5570" s="14" t="s">
        <v>10628</v>
      </c>
      <c r="E5570" s="9" t="s">
        <v>8</v>
      </c>
    </row>
    <row r="5571" spans="1:5" ht="15" customHeight="1" outlineLevel="2" x14ac:dyDescent="0.25">
      <c r="A5571" s="3" t="str">
        <f>HYPERLINK("http://mystore1.ru/price_items/search?utf8=%E2%9C%93&amp;oem=5633ABLBL","5633ABLBL")</f>
        <v>5633ABLBL</v>
      </c>
      <c r="B5571" s="1" t="s">
        <v>10629</v>
      </c>
      <c r="C5571" s="9" t="s">
        <v>4307</v>
      </c>
      <c r="D5571" s="14" t="s">
        <v>10630</v>
      </c>
      <c r="E5571" s="9" t="s">
        <v>8</v>
      </c>
    </row>
    <row r="5572" spans="1:5" ht="15" customHeight="1" outlineLevel="2" x14ac:dyDescent="0.25">
      <c r="A5572" s="3" t="str">
        <f>HYPERLINK("http://mystore1.ru/price_items/search?utf8=%E2%9C%93&amp;oem=5633ASMHT","5633ASMHT")</f>
        <v>5633ASMHT</v>
      </c>
      <c r="B5572" s="1" t="s">
        <v>10631</v>
      </c>
      <c r="C5572" s="9" t="s">
        <v>25</v>
      </c>
      <c r="D5572" s="14" t="s">
        <v>10632</v>
      </c>
      <c r="E5572" s="9" t="s">
        <v>27</v>
      </c>
    </row>
    <row r="5573" spans="1:5" ht="15" customHeight="1" outlineLevel="2" x14ac:dyDescent="0.25">
      <c r="A5573" s="3" t="str">
        <f>HYPERLINK("http://mystore1.ru/price_items/search?utf8=%E2%9C%93&amp;oem=5633ASMHTC","5633ASMHTC")</f>
        <v>5633ASMHTC</v>
      </c>
      <c r="B5573" s="1" t="s">
        <v>10633</v>
      </c>
      <c r="C5573" s="9" t="s">
        <v>25</v>
      </c>
      <c r="D5573" s="14" t="s">
        <v>10634</v>
      </c>
      <c r="E5573" s="9" t="s">
        <v>27</v>
      </c>
    </row>
    <row r="5574" spans="1:5" ht="15" customHeight="1" outlineLevel="2" x14ac:dyDescent="0.25">
      <c r="A5574" s="3" t="str">
        <f>HYPERLINK("http://mystore1.ru/price_items/search?utf8=%E2%9C%93&amp;oem=5633BBLS","5633BBLS")</f>
        <v>5633BBLS</v>
      </c>
      <c r="B5574" s="1" t="s">
        <v>10635</v>
      </c>
      <c r="C5574" s="9" t="s">
        <v>4307</v>
      </c>
      <c r="D5574" s="14" t="s">
        <v>10636</v>
      </c>
      <c r="E5574" s="9" t="s">
        <v>30</v>
      </c>
    </row>
    <row r="5575" spans="1:5" ht="15" customHeight="1" outlineLevel="2" x14ac:dyDescent="0.25">
      <c r="A5575" s="3" t="str">
        <f>HYPERLINK("http://mystore1.ru/price_items/search?utf8=%E2%9C%93&amp;oem=5633BCLS","5633BCLS")</f>
        <v>5633BCLS</v>
      </c>
      <c r="B5575" s="1" t="s">
        <v>10637</v>
      </c>
      <c r="C5575" s="9" t="s">
        <v>4307</v>
      </c>
      <c r="D5575" s="14" t="s">
        <v>10638</v>
      </c>
      <c r="E5575" s="9" t="s">
        <v>30</v>
      </c>
    </row>
    <row r="5576" spans="1:5" ht="15" customHeight="1" outlineLevel="2" x14ac:dyDescent="0.25">
      <c r="A5576" s="3" t="str">
        <f>HYPERLINK("http://mystore1.ru/price_items/search?utf8=%E2%9C%93&amp;oem=5633LBLS4FD","5633LBLS4FD")</f>
        <v>5633LBLS4FD</v>
      </c>
      <c r="B5576" s="1" t="s">
        <v>10639</v>
      </c>
      <c r="C5576" s="9" t="s">
        <v>4307</v>
      </c>
      <c r="D5576" s="14" t="s">
        <v>10640</v>
      </c>
      <c r="E5576" s="9" t="s">
        <v>11</v>
      </c>
    </row>
    <row r="5577" spans="1:5" ht="15" customHeight="1" outlineLevel="2" x14ac:dyDescent="0.25">
      <c r="A5577" s="3" t="str">
        <f>HYPERLINK("http://mystore1.ru/price_items/search?utf8=%E2%9C%93&amp;oem=5633LBLS4RD","5633LBLS4RD")</f>
        <v>5633LBLS4RD</v>
      </c>
      <c r="B5577" s="1" t="s">
        <v>10641</v>
      </c>
      <c r="C5577" s="9" t="s">
        <v>4307</v>
      </c>
      <c r="D5577" s="14" t="s">
        <v>10642</v>
      </c>
      <c r="E5577" s="9" t="s">
        <v>11</v>
      </c>
    </row>
    <row r="5578" spans="1:5" ht="15" customHeight="1" outlineLevel="2" x14ac:dyDescent="0.25">
      <c r="A5578" s="3" t="str">
        <f>HYPERLINK("http://mystore1.ru/price_items/search?utf8=%E2%9C%93&amp;oem=5633LBLS4RV","5633LBLS4RV")</f>
        <v>5633LBLS4RV</v>
      </c>
      <c r="B5578" s="1" t="s">
        <v>10643</v>
      </c>
      <c r="C5578" s="9" t="s">
        <v>4307</v>
      </c>
      <c r="D5578" s="14" t="s">
        <v>10644</v>
      </c>
      <c r="E5578" s="9" t="s">
        <v>11</v>
      </c>
    </row>
    <row r="5579" spans="1:5" ht="15" customHeight="1" outlineLevel="2" x14ac:dyDescent="0.25">
      <c r="A5579" s="3" t="str">
        <f>HYPERLINK("http://mystore1.ru/price_items/search?utf8=%E2%9C%93&amp;oem=5633RBLS4FD","5633RBLS4FD")</f>
        <v>5633RBLS4FD</v>
      </c>
      <c r="B5579" s="1" t="s">
        <v>10645</v>
      </c>
      <c r="C5579" s="9" t="s">
        <v>4307</v>
      </c>
      <c r="D5579" s="14" t="s">
        <v>10646</v>
      </c>
      <c r="E5579" s="9" t="s">
        <v>11</v>
      </c>
    </row>
    <row r="5580" spans="1:5" ht="15" customHeight="1" outlineLevel="2" x14ac:dyDescent="0.25">
      <c r="A5580" s="3" t="str">
        <f>HYPERLINK("http://mystore1.ru/price_items/search?utf8=%E2%9C%93&amp;oem=5633RBLS4RD","5633RBLS4RD")</f>
        <v>5633RBLS4RD</v>
      </c>
      <c r="B5580" s="1" t="s">
        <v>10647</v>
      </c>
      <c r="C5580" s="9" t="s">
        <v>4307</v>
      </c>
      <c r="D5580" s="14" t="s">
        <v>10648</v>
      </c>
      <c r="E5580" s="9" t="s">
        <v>11</v>
      </c>
    </row>
    <row r="5581" spans="1:5" ht="15" customHeight="1" outlineLevel="2" x14ac:dyDescent="0.25">
      <c r="A5581" s="3" t="str">
        <f>HYPERLINK("http://mystore1.ru/price_items/search?utf8=%E2%9C%93&amp;oem=5633RBLS4RV","5633RBLS4RV")</f>
        <v>5633RBLS4RV</v>
      </c>
      <c r="B5581" s="1" t="s">
        <v>10649</v>
      </c>
      <c r="C5581" s="9" t="s">
        <v>4307</v>
      </c>
      <c r="D5581" s="14" t="s">
        <v>10650</v>
      </c>
      <c r="E5581" s="9" t="s">
        <v>11</v>
      </c>
    </row>
    <row r="5582" spans="1:5" outlineLevel="1" x14ac:dyDescent="0.25">
      <c r="A5582" s="2"/>
      <c r="B5582" s="6" t="s">
        <v>10651</v>
      </c>
      <c r="C5582" s="8"/>
      <c r="D5582" s="8"/>
      <c r="E5582" s="8"/>
    </row>
    <row r="5583" spans="1:5" ht="15" customHeight="1" outlineLevel="2" x14ac:dyDescent="0.25">
      <c r="A5583" s="3" t="str">
        <f>HYPERLINK("http://mystore1.ru/price_items/search?utf8=%E2%9C%93&amp;oem=5642ABL","5642ABL")</f>
        <v>5642ABL</v>
      </c>
      <c r="B5583" s="1" t="s">
        <v>10652</v>
      </c>
      <c r="C5583" s="9" t="s">
        <v>3403</v>
      </c>
      <c r="D5583" s="14" t="s">
        <v>10653</v>
      </c>
      <c r="E5583" s="9" t="s">
        <v>8</v>
      </c>
    </row>
    <row r="5584" spans="1:5" ht="15" customHeight="1" outlineLevel="2" x14ac:dyDescent="0.25">
      <c r="A5584" s="3" t="str">
        <f>HYPERLINK("http://mystore1.ru/price_items/search?utf8=%E2%9C%93&amp;oem=5642ABLBL","5642ABLBL")</f>
        <v>5642ABLBL</v>
      </c>
      <c r="B5584" s="1" t="s">
        <v>10654</v>
      </c>
      <c r="C5584" s="9" t="s">
        <v>3403</v>
      </c>
      <c r="D5584" s="14" t="s">
        <v>10655</v>
      </c>
      <c r="E5584" s="9" t="s">
        <v>8</v>
      </c>
    </row>
    <row r="5585" spans="1:5" ht="15" customHeight="1" outlineLevel="2" x14ac:dyDescent="0.25">
      <c r="A5585" s="3" t="str">
        <f>HYPERLINK("http://mystore1.ru/price_items/search?utf8=%E2%9C%93&amp;oem=5642AGN","5642AGN")</f>
        <v>5642AGN</v>
      </c>
      <c r="B5585" s="1" t="s">
        <v>10656</v>
      </c>
      <c r="C5585" s="9" t="s">
        <v>3403</v>
      </c>
      <c r="D5585" s="14" t="s">
        <v>10657</v>
      </c>
      <c r="E5585" s="9" t="s">
        <v>8</v>
      </c>
    </row>
    <row r="5586" spans="1:5" ht="15" customHeight="1" outlineLevel="2" x14ac:dyDescent="0.25">
      <c r="A5586" s="3" t="str">
        <f>HYPERLINK("http://mystore1.ru/price_items/search?utf8=%E2%9C%93&amp;oem=5642ASMHT","5642ASMHT")</f>
        <v>5642ASMHT</v>
      </c>
      <c r="B5586" s="1" t="s">
        <v>10658</v>
      </c>
      <c r="C5586" s="9" t="s">
        <v>25</v>
      </c>
      <c r="D5586" s="14" t="s">
        <v>10659</v>
      </c>
      <c r="E5586" s="9" t="s">
        <v>27</v>
      </c>
    </row>
    <row r="5587" spans="1:5" ht="15" customHeight="1" outlineLevel="2" x14ac:dyDescent="0.25">
      <c r="A5587" s="3" t="str">
        <f>HYPERLINK("http://mystore1.ru/price_items/search?utf8=%E2%9C%93&amp;oem=5642BGNS","5642BGNS")</f>
        <v>5642BGNS</v>
      </c>
      <c r="B5587" s="1" t="s">
        <v>10660</v>
      </c>
      <c r="C5587" s="9" t="s">
        <v>3403</v>
      </c>
      <c r="D5587" s="14" t="s">
        <v>10661</v>
      </c>
      <c r="E5587" s="9" t="s">
        <v>30</v>
      </c>
    </row>
    <row r="5588" spans="1:5" ht="15" customHeight="1" outlineLevel="2" x14ac:dyDescent="0.25">
      <c r="A5588" s="3" t="str">
        <f>HYPERLINK("http://mystore1.ru/price_items/search?utf8=%E2%9C%93&amp;oem=5642LBLS4FD","5642LBLS4FD")</f>
        <v>5642LBLS4FD</v>
      </c>
      <c r="B5588" s="1" t="s">
        <v>10662</v>
      </c>
      <c r="C5588" s="9" t="s">
        <v>3403</v>
      </c>
      <c r="D5588" s="14" t="s">
        <v>10663</v>
      </c>
      <c r="E5588" s="9" t="s">
        <v>11</v>
      </c>
    </row>
    <row r="5589" spans="1:5" ht="15" customHeight="1" outlineLevel="2" x14ac:dyDescent="0.25">
      <c r="A5589" s="3" t="str">
        <f>HYPERLINK("http://mystore1.ru/price_items/search?utf8=%E2%9C%93&amp;oem=5642LBLS4RV","5642LBLS4RV")</f>
        <v>5642LBLS4RV</v>
      </c>
      <c r="B5589" s="1" t="s">
        <v>10664</v>
      </c>
      <c r="C5589" s="9" t="s">
        <v>3403</v>
      </c>
      <c r="D5589" s="14" t="s">
        <v>10665</v>
      </c>
      <c r="E5589" s="9" t="s">
        <v>11</v>
      </c>
    </row>
    <row r="5590" spans="1:5" ht="15" customHeight="1" outlineLevel="2" x14ac:dyDescent="0.25">
      <c r="A5590" s="3" t="str">
        <f>HYPERLINK("http://mystore1.ru/price_items/search?utf8=%E2%9C%93&amp;oem=5642LGNS4FD","5642LGNS4FD")</f>
        <v>5642LGNS4FD</v>
      </c>
      <c r="B5590" s="1" t="s">
        <v>10666</v>
      </c>
      <c r="C5590" s="9" t="s">
        <v>3403</v>
      </c>
      <c r="D5590" s="14" t="s">
        <v>10667</v>
      </c>
      <c r="E5590" s="9" t="s">
        <v>11</v>
      </c>
    </row>
    <row r="5591" spans="1:5" ht="15" customHeight="1" outlineLevel="2" x14ac:dyDescent="0.25">
      <c r="A5591" s="3" t="str">
        <f>HYPERLINK("http://mystore1.ru/price_items/search?utf8=%E2%9C%93&amp;oem=5642LGNS4RD","5642LGNS4RD")</f>
        <v>5642LGNS4RD</v>
      </c>
      <c r="B5591" s="1" t="s">
        <v>10668</v>
      </c>
      <c r="C5591" s="9" t="s">
        <v>3403</v>
      </c>
      <c r="D5591" s="14" t="s">
        <v>10669</v>
      </c>
      <c r="E5591" s="9" t="s">
        <v>11</v>
      </c>
    </row>
    <row r="5592" spans="1:5" ht="15" customHeight="1" outlineLevel="2" x14ac:dyDescent="0.25">
      <c r="A5592" s="3" t="str">
        <f>HYPERLINK("http://mystore1.ru/price_items/search?utf8=%E2%9C%93&amp;oem=5642LGNS4RV","5642LGNS4RV")</f>
        <v>5642LGNS4RV</v>
      </c>
      <c r="B5592" s="1" t="s">
        <v>10670</v>
      </c>
      <c r="C5592" s="9" t="s">
        <v>3403</v>
      </c>
      <c r="D5592" s="14" t="s">
        <v>10671</v>
      </c>
      <c r="E5592" s="9" t="s">
        <v>11</v>
      </c>
    </row>
    <row r="5593" spans="1:5" ht="15" customHeight="1" outlineLevel="2" x14ac:dyDescent="0.25">
      <c r="A5593" s="3" t="str">
        <f>HYPERLINK("http://mystore1.ru/price_items/search?utf8=%E2%9C%93&amp;oem=5642RBLS4FD","5642RBLS4FD")</f>
        <v>5642RBLS4FD</v>
      </c>
      <c r="B5593" s="1" t="s">
        <v>10672</v>
      </c>
      <c r="C5593" s="9" t="s">
        <v>3403</v>
      </c>
      <c r="D5593" s="14" t="s">
        <v>10673</v>
      </c>
      <c r="E5593" s="9" t="s">
        <v>11</v>
      </c>
    </row>
    <row r="5594" spans="1:5" ht="15" customHeight="1" outlineLevel="2" x14ac:dyDescent="0.25">
      <c r="A5594" s="3" t="str">
        <f>HYPERLINK("http://mystore1.ru/price_items/search?utf8=%E2%9C%93&amp;oem=5642RBLS4RV","5642RBLS4RV")</f>
        <v>5642RBLS4RV</v>
      </c>
      <c r="B5594" s="1" t="s">
        <v>10674</v>
      </c>
      <c r="C5594" s="9" t="s">
        <v>3403</v>
      </c>
      <c r="D5594" s="14" t="s">
        <v>10675</v>
      </c>
      <c r="E5594" s="9" t="s">
        <v>11</v>
      </c>
    </row>
    <row r="5595" spans="1:5" ht="15" customHeight="1" outlineLevel="2" x14ac:dyDescent="0.25">
      <c r="A5595" s="3" t="str">
        <f>HYPERLINK("http://mystore1.ru/price_items/search?utf8=%E2%9C%93&amp;oem=5642RGNS4FD","5642RGNS4FD")</f>
        <v>5642RGNS4FD</v>
      </c>
      <c r="B5595" s="1" t="s">
        <v>10676</v>
      </c>
      <c r="C5595" s="9" t="s">
        <v>3403</v>
      </c>
      <c r="D5595" s="14" t="s">
        <v>10677</v>
      </c>
      <c r="E5595" s="9" t="s">
        <v>11</v>
      </c>
    </row>
    <row r="5596" spans="1:5" ht="15" customHeight="1" outlineLevel="2" x14ac:dyDescent="0.25">
      <c r="A5596" s="3" t="str">
        <f>HYPERLINK("http://mystore1.ru/price_items/search?utf8=%E2%9C%93&amp;oem=5642RGNS4RD","5642RGNS4RD")</f>
        <v>5642RGNS4RD</v>
      </c>
      <c r="B5596" s="1" t="s">
        <v>10678</v>
      </c>
      <c r="C5596" s="9" t="s">
        <v>3403</v>
      </c>
      <c r="D5596" s="14" t="s">
        <v>10679</v>
      </c>
      <c r="E5596" s="9" t="s">
        <v>11</v>
      </c>
    </row>
    <row r="5597" spans="1:5" ht="15" customHeight="1" outlineLevel="2" x14ac:dyDescent="0.25">
      <c r="A5597" s="3" t="str">
        <f>HYPERLINK("http://mystore1.ru/price_items/search?utf8=%E2%9C%93&amp;oem=5642RGNS4RV","5642RGNS4RV")</f>
        <v>5642RGNS4RV</v>
      </c>
      <c r="B5597" s="1" t="s">
        <v>10680</v>
      </c>
      <c r="C5597" s="9" t="s">
        <v>3403</v>
      </c>
      <c r="D5597" s="14" t="s">
        <v>10681</v>
      </c>
      <c r="E5597" s="9" t="s">
        <v>11</v>
      </c>
    </row>
    <row r="5598" spans="1:5" outlineLevel="1" x14ac:dyDescent="0.25">
      <c r="A5598" s="2"/>
      <c r="B5598" s="6" t="s">
        <v>10682</v>
      </c>
      <c r="C5598" s="8"/>
      <c r="D5598" s="8"/>
      <c r="E5598" s="8"/>
    </row>
    <row r="5599" spans="1:5" ht="15" customHeight="1" outlineLevel="2" x14ac:dyDescent="0.25">
      <c r="A5599" s="3" t="str">
        <f>HYPERLINK("http://mystore1.ru/price_items/search?utf8=%E2%9C%93&amp;oem=5648AGN","5648AGN")</f>
        <v>5648AGN</v>
      </c>
      <c r="B5599" s="1" t="s">
        <v>10683</v>
      </c>
      <c r="C5599" s="9" t="s">
        <v>420</v>
      </c>
      <c r="D5599" s="14" t="s">
        <v>10684</v>
      </c>
      <c r="E5599" s="9" t="s">
        <v>8</v>
      </c>
    </row>
    <row r="5600" spans="1:5" ht="15" customHeight="1" outlineLevel="2" x14ac:dyDescent="0.25">
      <c r="A5600" s="3" t="str">
        <f>HYPERLINK("http://mystore1.ru/price_items/search?utf8=%E2%9C%93&amp;oem=5648AGNBL","5648AGNBL")</f>
        <v>5648AGNBL</v>
      </c>
      <c r="B5600" s="1" t="s">
        <v>10685</v>
      </c>
      <c r="C5600" s="9" t="s">
        <v>420</v>
      </c>
      <c r="D5600" s="14" t="s">
        <v>10686</v>
      </c>
      <c r="E5600" s="9" t="s">
        <v>8</v>
      </c>
    </row>
    <row r="5601" spans="1:5" ht="15" customHeight="1" outlineLevel="2" x14ac:dyDescent="0.25">
      <c r="A5601" s="3" t="str">
        <f>HYPERLINK("http://mystore1.ru/price_items/search?utf8=%E2%9C%93&amp;oem=5648BGNS","5648BGNS")</f>
        <v>5648BGNS</v>
      </c>
      <c r="B5601" s="1" t="s">
        <v>10687</v>
      </c>
      <c r="C5601" s="9" t="s">
        <v>420</v>
      </c>
      <c r="D5601" s="14" t="s">
        <v>10688</v>
      </c>
      <c r="E5601" s="9" t="s">
        <v>30</v>
      </c>
    </row>
    <row r="5602" spans="1:5" ht="15" customHeight="1" outlineLevel="2" x14ac:dyDescent="0.25">
      <c r="A5602" s="3" t="str">
        <f>HYPERLINK("http://mystore1.ru/price_items/search?utf8=%E2%9C%93&amp;oem=5648LGNS4FD","5648LGNS4FD")</f>
        <v>5648LGNS4FD</v>
      </c>
      <c r="B5602" s="1" t="s">
        <v>10689</v>
      </c>
      <c r="C5602" s="9" t="s">
        <v>420</v>
      </c>
      <c r="D5602" s="14" t="s">
        <v>10690</v>
      </c>
      <c r="E5602" s="9" t="s">
        <v>11</v>
      </c>
    </row>
    <row r="5603" spans="1:5" ht="15" customHeight="1" outlineLevel="2" x14ac:dyDescent="0.25">
      <c r="A5603" s="3" t="str">
        <f>HYPERLINK("http://mystore1.ru/price_items/search?utf8=%E2%9C%93&amp;oem=5648LGNS4RD","5648LGNS4RD")</f>
        <v>5648LGNS4RD</v>
      </c>
      <c r="B5603" s="1" t="s">
        <v>10691</v>
      </c>
      <c r="C5603" s="9" t="s">
        <v>420</v>
      </c>
      <c r="D5603" s="14" t="s">
        <v>10692</v>
      </c>
      <c r="E5603" s="9" t="s">
        <v>11</v>
      </c>
    </row>
    <row r="5604" spans="1:5" ht="15" customHeight="1" outlineLevel="2" x14ac:dyDescent="0.25">
      <c r="A5604" s="3" t="str">
        <f>HYPERLINK("http://mystore1.ru/price_items/search?utf8=%E2%9C%93&amp;oem=5648LGNS4RV","5648LGNS4RV")</f>
        <v>5648LGNS4RV</v>
      </c>
      <c r="B5604" s="1" t="s">
        <v>10693</v>
      </c>
      <c r="C5604" s="9" t="s">
        <v>420</v>
      </c>
      <c r="D5604" s="14" t="s">
        <v>10694</v>
      </c>
      <c r="E5604" s="9" t="s">
        <v>11</v>
      </c>
    </row>
    <row r="5605" spans="1:5" ht="15" customHeight="1" outlineLevel="2" x14ac:dyDescent="0.25">
      <c r="A5605" s="3" t="str">
        <f>HYPERLINK("http://mystore1.ru/price_items/search?utf8=%E2%9C%93&amp;oem=5648RGNS4FD","5648RGNS4FD")</f>
        <v>5648RGNS4FD</v>
      </c>
      <c r="B5605" s="1" t="s">
        <v>10695</v>
      </c>
      <c r="C5605" s="9" t="s">
        <v>420</v>
      </c>
      <c r="D5605" s="14" t="s">
        <v>10696</v>
      </c>
      <c r="E5605" s="9" t="s">
        <v>11</v>
      </c>
    </row>
    <row r="5606" spans="1:5" ht="15" customHeight="1" outlineLevel="2" x14ac:dyDescent="0.25">
      <c r="A5606" s="3" t="str">
        <f>HYPERLINK("http://mystore1.ru/price_items/search?utf8=%E2%9C%93&amp;oem=5648RGNS4RD","5648RGNS4RD")</f>
        <v>5648RGNS4RD</v>
      </c>
      <c r="B5606" s="1" t="s">
        <v>10697</v>
      </c>
      <c r="C5606" s="9" t="s">
        <v>420</v>
      </c>
      <c r="D5606" s="14" t="s">
        <v>10698</v>
      </c>
      <c r="E5606" s="9" t="s">
        <v>11</v>
      </c>
    </row>
    <row r="5607" spans="1:5" ht="15" customHeight="1" outlineLevel="2" x14ac:dyDescent="0.25">
      <c r="A5607" s="3" t="str">
        <f>HYPERLINK("http://mystore1.ru/price_items/search?utf8=%E2%9C%93&amp;oem=5648RGNS4RV","5648RGNS4RV")</f>
        <v>5648RGNS4RV</v>
      </c>
      <c r="B5607" s="1" t="s">
        <v>10699</v>
      </c>
      <c r="C5607" s="9" t="s">
        <v>420</v>
      </c>
      <c r="D5607" s="14" t="s">
        <v>10700</v>
      </c>
      <c r="E5607" s="9" t="s">
        <v>11</v>
      </c>
    </row>
    <row r="5608" spans="1:5" outlineLevel="1" x14ac:dyDescent="0.25">
      <c r="A5608" s="2"/>
      <c r="B5608" s="6" t="s">
        <v>10701</v>
      </c>
      <c r="C5608" s="8"/>
      <c r="D5608" s="8"/>
      <c r="E5608" s="8"/>
    </row>
    <row r="5609" spans="1:5" ht="15" customHeight="1" outlineLevel="2" x14ac:dyDescent="0.25">
      <c r="A5609" s="3" t="str">
        <f>HYPERLINK("http://mystore1.ru/price_items/search?utf8=%E2%9C%93&amp;oem=5670AGN","5670AGN")</f>
        <v>5670AGN</v>
      </c>
      <c r="B5609" s="1" t="s">
        <v>10702</v>
      </c>
      <c r="C5609" s="9" t="s">
        <v>1617</v>
      </c>
      <c r="D5609" s="14" t="s">
        <v>10703</v>
      </c>
      <c r="E5609" s="9" t="s">
        <v>8</v>
      </c>
    </row>
    <row r="5610" spans="1:5" ht="15" customHeight="1" outlineLevel="2" x14ac:dyDescent="0.25">
      <c r="A5610" s="3" t="str">
        <f>HYPERLINK("http://mystore1.ru/price_items/search?utf8=%E2%9C%93&amp;oem=5670AGNBL","5670AGNBL")</f>
        <v>5670AGNBL</v>
      </c>
      <c r="B5610" s="1" t="s">
        <v>10704</v>
      </c>
      <c r="C5610" s="9" t="s">
        <v>1617</v>
      </c>
      <c r="D5610" s="14" t="s">
        <v>10705</v>
      </c>
      <c r="E5610" s="9" t="s">
        <v>8</v>
      </c>
    </row>
    <row r="5611" spans="1:5" ht="15" customHeight="1" outlineLevel="2" x14ac:dyDescent="0.25">
      <c r="A5611" s="3" t="str">
        <f>HYPERLINK("http://mystore1.ru/price_items/search?utf8=%E2%9C%93&amp;oem=5670ASMST","5670ASMST")</f>
        <v>5670ASMST</v>
      </c>
      <c r="B5611" s="1" t="s">
        <v>10706</v>
      </c>
      <c r="C5611" s="9" t="s">
        <v>25</v>
      </c>
      <c r="D5611" s="14" t="s">
        <v>10707</v>
      </c>
      <c r="E5611" s="9" t="s">
        <v>27</v>
      </c>
    </row>
    <row r="5612" spans="1:5" ht="15" customHeight="1" outlineLevel="2" x14ac:dyDescent="0.25">
      <c r="A5612" s="3" t="str">
        <f>HYPERLINK("http://mystore1.ru/price_items/search?utf8=%E2%9C%93&amp;oem=5670LGNE5RDW","5670LGNE5RDW")</f>
        <v>5670LGNE5RDW</v>
      </c>
      <c r="B5612" s="1" t="s">
        <v>10708</v>
      </c>
      <c r="C5612" s="9" t="s">
        <v>1617</v>
      </c>
      <c r="D5612" s="14" t="s">
        <v>10709</v>
      </c>
      <c r="E5612" s="9" t="s">
        <v>11</v>
      </c>
    </row>
    <row r="5613" spans="1:5" ht="15" customHeight="1" outlineLevel="2" x14ac:dyDescent="0.25">
      <c r="A5613" s="3" t="str">
        <f>HYPERLINK("http://mystore1.ru/price_items/search?utf8=%E2%9C%93&amp;oem=5670LGNE5RV","5670LGNE5RV")</f>
        <v>5670LGNE5RV</v>
      </c>
      <c r="B5613" s="1" t="s">
        <v>10710</v>
      </c>
      <c r="C5613" s="9" t="s">
        <v>1617</v>
      </c>
      <c r="D5613" s="14" t="s">
        <v>10711</v>
      </c>
      <c r="E5613" s="9" t="s">
        <v>11</v>
      </c>
    </row>
    <row r="5614" spans="1:5" ht="15" customHeight="1" outlineLevel="2" x14ac:dyDescent="0.25">
      <c r="A5614" s="3" t="str">
        <f>HYPERLINK("http://mystore1.ru/price_items/search?utf8=%E2%9C%93&amp;oem=5670LGNS4FDW","5670LGNS4FDW")</f>
        <v>5670LGNS4FDW</v>
      </c>
      <c r="B5614" s="1" t="s">
        <v>10712</v>
      </c>
      <c r="C5614" s="9" t="s">
        <v>1617</v>
      </c>
      <c r="D5614" s="14" t="s">
        <v>10713</v>
      </c>
      <c r="E5614" s="9" t="s">
        <v>11</v>
      </c>
    </row>
    <row r="5615" spans="1:5" ht="15" customHeight="1" outlineLevel="2" x14ac:dyDescent="0.25">
      <c r="A5615" s="3" t="str">
        <f>HYPERLINK("http://mystore1.ru/price_items/search?utf8=%E2%9C%93&amp;oem=5670LGNS4RDW","5670LGNS4RDW")</f>
        <v>5670LGNS4RDW</v>
      </c>
      <c r="B5615" s="1" t="s">
        <v>10714</v>
      </c>
      <c r="C5615" s="9" t="s">
        <v>1617</v>
      </c>
      <c r="D5615" s="14" t="s">
        <v>10715</v>
      </c>
      <c r="E5615" s="9" t="s">
        <v>11</v>
      </c>
    </row>
    <row r="5616" spans="1:5" ht="15" customHeight="1" outlineLevel="2" x14ac:dyDescent="0.25">
      <c r="A5616" s="3" t="str">
        <f>HYPERLINK("http://mystore1.ru/price_items/search?utf8=%E2%9C%93&amp;oem=5670LGNS4RV","5670LGNS4RV")</f>
        <v>5670LGNS4RV</v>
      </c>
      <c r="B5616" s="1" t="s">
        <v>10716</v>
      </c>
      <c r="C5616" s="9" t="s">
        <v>1617</v>
      </c>
      <c r="D5616" s="14" t="s">
        <v>10717</v>
      </c>
      <c r="E5616" s="9" t="s">
        <v>11</v>
      </c>
    </row>
    <row r="5617" spans="1:5" ht="15" customHeight="1" outlineLevel="2" x14ac:dyDescent="0.25">
      <c r="A5617" s="3" t="str">
        <f>HYPERLINK("http://mystore1.ru/price_items/search?utf8=%E2%9C%93&amp;oem=5670RGNE5RDW","5670RGNE5RDW")</f>
        <v>5670RGNE5RDW</v>
      </c>
      <c r="B5617" s="1" t="s">
        <v>10718</v>
      </c>
      <c r="C5617" s="9" t="s">
        <v>1617</v>
      </c>
      <c r="D5617" s="14" t="s">
        <v>10719</v>
      </c>
      <c r="E5617" s="9" t="s">
        <v>11</v>
      </c>
    </row>
    <row r="5618" spans="1:5" ht="15" customHeight="1" outlineLevel="2" x14ac:dyDescent="0.25">
      <c r="A5618" s="3" t="str">
        <f>HYPERLINK("http://mystore1.ru/price_items/search?utf8=%E2%9C%93&amp;oem=5670RGNE5RV","5670RGNE5RV")</f>
        <v>5670RGNE5RV</v>
      </c>
      <c r="B5618" s="1" t="s">
        <v>10720</v>
      </c>
      <c r="C5618" s="9" t="s">
        <v>1617</v>
      </c>
      <c r="D5618" s="14" t="s">
        <v>10721</v>
      </c>
      <c r="E5618" s="9" t="s">
        <v>11</v>
      </c>
    </row>
    <row r="5619" spans="1:5" ht="15" customHeight="1" outlineLevel="2" x14ac:dyDescent="0.25">
      <c r="A5619" s="3" t="str">
        <f>HYPERLINK("http://mystore1.ru/price_items/search?utf8=%E2%9C%93&amp;oem=5670RGNS4FDW","5670RGNS4FDW")</f>
        <v>5670RGNS4FDW</v>
      </c>
      <c r="B5619" s="1" t="s">
        <v>10722</v>
      </c>
      <c r="C5619" s="9" t="s">
        <v>1617</v>
      </c>
      <c r="D5619" s="14" t="s">
        <v>10723</v>
      </c>
      <c r="E5619" s="9" t="s">
        <v>11</v>
      </c>
    </row>
    <row r="5620" spans="1:5" ht="15" customHeight="1" outlineLevel="2" x14ac:dyDescent="0.25">
      <c r="A5620" s="3" t="str">
        <f>HYPERLINK("http://mystore1.ru/price_items/search?utf8=%E2%9C%93&amp;oem=5670RGNS4RDW","5670RGNS4RDW")</f>
        <v>5670RGNS4RDW</v>
      </c>
      <c r="B5620" s="1" t="s">
        <v>10724</v>
      </c>
      <c r="C5620" s="9" t="s">
        <v>1617</v>
      </c>
      <c r="D5620" s="14" t="s">
        <v>10725</v>
      </c>
      <c r="E5620" s="9" t="s">
        <v>11</v>
      </c>
    </row>
    <row r="5621" spans="1:5" ht="15" customHeight="1" outlineLevel="2" x14ac:dyDescent="0.25">
      <c r="A5621" s="3" t="str">
        <f>HYPERLINK("http://mystore1.ru/price_items/search?utf8=%E2%9C%93&amp;oem=5670RGNS4RV","5670RGNS4RV")</f>
        <v>5670RGNS4RV</v>
      </c>
      <c r="B5621" s="1" t="s">
        <v>10726</v>
      </c>
      <c r="C5621" s="9" t="s">
        <v>1617</v>
      </c>
      <c r="D5621" s="14" t="s">
        <v>10727</v>
      </c>
      <c r="E5621" s="9" t="s">
        <v>11</v>
      </c>
    </row>
    <row r="5622" spans="1:5" outlineLevel="1" x14ac:dyDescent="0.25">
      <c r="A5622" s="2"/>
      <c r="B5622" s="6" t="s">
        <v>10728</v>
      </c>
      <c r="C5622" s="8"/>
      <c r="D5622" s="8"/>
      <c r="E5622" s="8"/>
    </row>
    <row r="5623" spans="1:5" ht="15" customHeight="1" outlineLevel="2" x14ac:dyDescent="0.25">
      <c r="A5623" s="3" t="str">
        <f>HYPERLINK("http://mystore1.ru/price_items/search?utf8=%E2%9C%93&amp;oem=5684AGN","5684AGN")</f>
        <v>5684AGN</v>
      </c>
      <c r="B5623" s="1" t="s">
        <v>10729</v>
      </c>
      <c r="C5623" s="9" t="s">
        <v>511</v>
      </c>
      <c r="D5623" s="14" t="s">
        <v>10730</v>
      </c>
      <c r="E5623" s="9" t="s">
        <v>8</v>
      </c>
    </row>
    <row r="5624" spans="1:5" ht="15" customHeight="1" outlineLevel="2" x14ac:dyDescent="0.25">
      <c r="A5624" s="3" t="str">
        <f>HYPERLINK("http://mystore1.ru/price_items/search?utf8=%E2%9C%93&amp;oem=5684AGNBL","5684AGNBL")</f>
        <v>5684AGNBL</v>
      </c>
      <c r="B5624" s="1" t="s">
        <v>10731</v>
      </c>
      <c r="C5624" s="9" t="s">
        <v>511</v>
      </c>
      <c r="D5624" s="14" t="s">
        <v>10732</v>
      </c>
      <c r="E5624" s="9" t="s">
        <v>8</v>
      </c>
    </row>
    <row r="5625" spans="1:5" ht="15" customHeight="1" outlineLevel="2" x14ac:dyDescent="0.25">
      <c r="A5625" s="3" t="str">
        <f>HYPERLINK("http://mystore1.ru/price_items/search?utf8=%E2%9C%93&amp;oem=5684AGNM1B","5684AGNM1B")</f>
        <v>5684AGNM1B</v>
      </c>
      <c r="B5625" s="1" t="s">
        <v>10733</v>
      </c>
      <c r="C5625" s="9" t="s">
        <v>511</v>
      </c>
      <c r="D5625" s="14" t="s">
        <v>10734</v>
      </c>
      <c r="E5625" s="9" t="s">
        <v>8</v>
      </c>
    </row>
    <row r="5626" spans="1:5" ht="15" customHeight="1" outlineLevel="2" x14ac:dyDescent="0.25">
      <c r="A5626" s="3" t="str">
        <f>HYPERLINK("http://mystore1.ru/price_items/search?utf8=%E2%9C%93&amp;oem=5684ASMS","5684ASMS")</f>
        <v>5684ASMS</v>
      </c>
      <c r="B5626" s="1" t="s">
        <v>10735</v>
      </c>
      <c r="C5626" s="9" t="s">
        <v>25</v>
      </c>
      <c r="D5626" s="14" t="s">
        <v>10736</v>
      </c>
      <c r="E5626" s="9" t="s">
        <v>27</v>
      </c>
    </row>
    <row r="5627" spans="1:5" ht="15" customHeight="1" outlineLevel="2" x14ac:dyDescent="0.25">
      <c r="A5627" s="3" t="str">
        <f>HYPERLINK("http://mystore1.ru/price_items/search?utf8=%E2%9C%93&amp;oem=5684LGNS4RDW","5684LGNS4RDW")</f>
        <v>5684LGNS4RDW</v>
      </c>
      <c r="B5627" s="1" t="s">
        <v>10737</v>
      </c>
      <c r="C5627" s="9" t="s">
        <v>511</v>
      </c>
      <c r="D5627" s="14" t="s">
        <v>10738</v>
      </c>
      <c r="E5627" s="9" t="s">
        <v>11</v>
      </c>
    </row>
    <row r="5628" spans="1:5" ht="15" customHeight="1" outlineLevel="2" x14ac:dyDescent="0.25">
      <c r="A5628" s="3" t="str">
        <f>HYPERLINK("http://mystore1.ru/price_items/search?utf8=%E2%9C%93&amp;oem=5684BGNS","5684BGNS")</f>
        <v>5684BGNS</v>
      </c>
      <c r="B5628" s="1" t="s">
        <v>10739</v>
      </c>
      <c r="C5628" s="9" t="s">
        <v>511</v>
      </c>
      <c r="D5628" s="14" t="s">
        <v>10740</v>
      </c>
      <c r="E5628" s="9" t="s">
        <v>11</v>
      </c>
    </row>
    <row r="5629" spans="1:5" ht="15" customHeight="1" outlineLevel="2" x14ac:dyDescent="0.25">
      <c r="A5629" s="3" t="str">
        <f>HYPERLINK("http://mystore1.ru/price_items/search?utf8=%E2%9C%93&amp;oem=5684RGNS4RDW","5684RGNS4RDW")</f>
        <v>5684RGNS4RDW</v>
      </c>
      <c r="B5629" s="1" t="s">
        <v>10741</v>
      </c>
      <c r="C5629" s="9" t="s">
        <v>511</v>
      </c>
      <c r="D5629" s="14" t="s">
        <v>10742</v>
      </c>
      <c r="E5629" s="9" t="s">
        <v>11</v>
      </c>
    </row>
    <row r="5630" spans="1:5" ht="15" customHeight="1" outlineLevel="2" x14ac:dyDescent="0.25">
      <c r="A5630" s="3" t="str">
        <f>HYPERLINK("http://mystore1.ru/price_items/search?utf8=%E2%9C%93&amp;oem=5684RGNS4FDW","5684RGNS4FDW")</f>
        <v>5684RGNS4FDW</v>
      </c>
      <c r="B5630" s="1" t="s">
        <v>10743</v>
      </c>
      <c r="C5630" s="9" t="s">
        <v>511</v>
      </c>
      <c r="D5630" s="14" t="s">
        <v>10744</v>
      </c>
      <c r="E5630" s="9" t="s">
        <v>11</v>
      </c>
    </row>
    <row r="5631" spans="1:5" ht="15" customHeight="1" outlineLevel="2" x14ac:dyDescent="0.25">
      <c r="A5631" s="3" t="str">
        <f>HYPERLINK("http://mystore1.ru/price_items/search?utf8=%E2%9C%93&amp;oem=5684LGNS4FDW","5684LGNS4FDW")</f>
        <v>5684LGNS4FDW</v>
      </c>
      <c r="B5631" s="1" t="s">
        <v>10745</v>
      </c>
      <c r="C5631" s="9" t="s">
        <v>511</v>
      </c>
      <c r="D5631" s="14" t="s">
        <v>10746</v>
      </c>
      <c r="E5631" s="9" t="s">
        <v>11</v>
      </c>
    </row>
    <row r="5632" spans="1:5" outlineLevel="1" x14ac:dyDescent="0.25">
      <c r="A5632" s="2"/>
      <c r="B5632" s="6" t="s">
        <v>10747</v>
      </c>
      <c r="C5632" s="8"/>
      <c r="D5632" s="8"/>
      <c r="E5632" s="8"/>
    </row>
    <row r="5633" spans="1:5" ht="15" customHeight="1" outlineLevel="2" x14ac:dyDescent="0.25">
      <c r="A5633" s="3" t="str">
        <f>HYPERLINK("http://mystore1.ru/price_items/search?utf8=%E2%9C%93&amp;oem=5668AGN","5668AGN")</f>
        <v>5668AGN</v>
      </c>
      <c r="B5633" s="1" t="s">
        <v>10748</v>
      </c>
      <c r="C5633" s="9" t="s">
        <v>1617</v>
      </c>
      <c r="D5633" s="14" t="s">
        <v>10749</v>
      </c>
      <c r="E5633" s="9" t="s">
        <v>8</v>
      </c>
    </row>
    <row r="5634" spans="1:5" ht="15" customHeight="1" outlineLevel="2" x14ac:dyDescent="0.25">
      <c r="A5634" s="3" t="str">
        <f>HYPERLINK("http://mystore1.ru/price_items/search?utf8=%E2%9C%93&amp;oem=5668AGNH","5668AGNH")</f>
        <v>5668AGNH</v>
      </c>
      <c r="B5634" s="1" t="s">
        <v>10750</v>
      </c>
      <c r="C5634" s="9" t="s">
        <v>1617</v>
      </c>
      <c r="D5634" s="14" t="s">
        <v>10751</v>
      </c>
      <c r="E5634" s="9" t="s">
        <v>8</v>
      </c>
    </row>
    <row r="5635" spans="1:5" ht="15" customHeight="1" outlineLevel="2" x14ac:dyDescent="0.25">
      <c r="A5635" s="3" t="str">
        <f>HYPERLINK("http://mystore1.ru/price_items/search?utf8=%E2%9C%93&amp;oem=5668ASMRT","5668ASMRT")</f>
        <v>5668ASMRT</v>
      </c>
      <c r="B5635" s="1" t="s">
        <v>10752</v>
      </c>
      <c r="C5635" s="9" t="s">
        <v>25</v>
      </c>
      <c r="D5635" s="14" t="s">
        <v>10753</v>
      </c>
      <c r="E5635" s="9" t="s">
        <v>27</v>
      </c>
    </row>
    <row r="5636" spans="1:5" ht="15" customHeight="1" outlineLevel="2" x14ac:dyDescent="0.25">
      <c r="A5636" s="3" t="str">
        <f>HYPERLINK("http://mystore1.ru/price_items/search?utf8=%E2%9C%93&amp;oem=5668LGNR5FDW","5668LGNR5FDW")</f>
        <v>5668LGNR5FDW</v>
      </c>
      <c r="B5636" s="1" t="s">
        <v>10754</v>
      </c>
      <c r="C5636" s="9" t="s">
        <v>1617</v>
      </c>
      <c r="D5636" s="14" t="s">
        <v>10755</v>
      </c>
      <c r="E5636" s="9" t="s">
        <v>11</v>
      </c>
    </row>
    <row r="5637" spans="1:5" ht="15" customHeight="1" outlineLevel="2" x14ac:dyDescent="0.25">
      <c r="A5637" s="3" t="str">
        <f>HYPERLINK("http://mystore1.ru/price_items/search?utf8=%E2%9C%93&amp;oem=5668LGNR5RDW","5668LGNR5RDW")</f>
        <v>5668LGNR5RDW</v>
      </c>
      <c r="B5637" s="1" t="s">
        <v>10756</v>
      </c>
      <c r="C5637" s="9" t="s">
        <v>1617</v>
      </c>
      <c r="D5637" s="14" t="s">
        <v>10757</v>
      </c>
      <c r="E5637" s="9" t="s">
        <v>11</v>
      </c>
    </row>
    <row r="5638" spans="1:5" ht="15" customHeight="1" outlineLevel="2" x14ac:dyDescent="0.25">
      <c r="A5638" s="3" t="str">
        <f>HYPERLINK("http://mystore1.ru/price_items/search?utf8=%E2%9C%93&amp;oem=5668RGNR5FDW","5668RGNR5FDW")</f>
        <v>5668RGNR5FDW</v>
      </c>
      <c r="B5638" s="1" t="s">
        <v>10758</v>
      </c>
      <c r="C5638" s="9" t="s">
        <v>1617</v>
      </c>
      <c r="D5638" s="14" t="s">
        <v>10759</v>
      </c>
      <c r="E5638" s="9" t="s">
        <v>11</v>
      </c>
    </row>
    <row r="5639" spans="1:5" ht="15" customHeight="1" outlineLevel="2" x14ac:dyDescent="0.25">
      <c r="A5639" s="3" t="str">
        <f>HYPERLINK("http://mystore1.ru/price_items/search?utf8=%E2%9C%93&amp;oem=5668RGNR5RDW","5668RGNR5RDW")</f>
        <v>5668RGNR5RDW</v>
      </c>
      <c r="B5639" s="1" t="s">
        <v>10760</v>
      </c>
      <c r="C5639" s="9" t="s">
        <v>1617</v>
      </c>
      <c r="D5639" s="14" t="s">
        <v>10761</v>
      </c>
      <c r="E5639" s="9" t="s">
        <v>11</v>
      </c>
    </row>
    <row r="5640" spans="1:5" outlineLevel="1" x14ac:dyDescent="0.25">
      <c r="A5640" s="2"/>
      <c r="B5640" s="6" t="s">
        <v>10762</v>
      </c>
      <c r="C5640" s="8"/>
      <c r="D5640" s="8"/>
      <c r="E5640" s="8"/>
    </row>
    <row r="5641" spans="1:5" ht="15" customHeight="1" outlineLevel="2" x14ac:dyDescent="0.25">
      <c r="A5641" s="3" t="str">
        <f>HYPERLINK("http://mystore1.ru/price_items/search?utf8=%E2%9C%93&amp;oem=5680AGNHM1B","5680AGNHM1B")</f>
        <v>5680AGNHM1B</v>
      </c>
      <c r="B5641" s="1" t="s">
        <v>10763</v>
      </c>
      <c r="C5641" s="9" t="s">
        <v>511</v>
      </c>
      <c r="D5641" s="14" t="s">
        <v>10764</v>
      </c>
      <c r="E5641" s="9" t="s">
        <v>8</v>
      </c>
    </row>
    <row r="5642" spans="1:5" ht="15" customHeight="1" outlineLevel="2" x14ac:dyDescent="0.25">
      <c r="A5642" s="3" t="str">
        <f>HYPERLINK("http://mystore1.ru/price_items/search?utf8=%E2%9C%93&amp;oem=5680AGN","5680AGN")</f>
        <v>5680AGN</v>
      </c>
      <c r="B5642" s="1" t="s">
        <v>10765</v>
      </c>
      <c r="C5642" s="9" t="s">
        <v>511</v>
      </c>
      <c r="D5642" s="14" t="s">
        <v>10766</v>
      </c>
      <c r="E5642" s="9" t="s">
        <v>8</v>
      </c>
    </row>
    <row r="5643" spans="1:5" ht="15" customHeight="1" outlineLevel="2" x14ac:dyDescent="0.25">
      <c r="A5643" s="3" t="str">
        <f>HYPERLINK("http://mystore1.ru/price_items/search?utf8=%E2%9C%93&amp;oem=5680AGNH","5680AGNH")</f>
        <v>5680AGNH</v>
      </c>
      <c r="B5643" s="1" t="s">
        <v>10767</v>
      </c>
      <c r="C5643" s="9" t="s">
        <v>511</v>
      </c>
      <c r="D5643" s="14" t="s">
        <v>10768</v>
      </c>
      <c r="E5643" s="9" t="s">
        <v>8</v>
      </c>
    </row>
    <row r="5644" spans="1:5" ht="15" customHeight="1" outlineLevel="2" x14ac:dyDescent="0.25">
      <c r="A5644" s="3" t="str">
        <f>HYPERLINK("http://mystore1.ru/price_items/search?utf8=%E2%9C%93&amp;oem=5680ASMRT","5680ASMRT")</f>
        <v>5680ASMRT</v>
      </c>
      <c r="B5644" s="1" t="s">
        <v>10769</v>
      </c>
      <c r="C5644" s="9" t="s">
        <v>25</v>
      </c>
      <c r="D5644" s="14" t="s">
        <v>10770</v>
      </c>
      <c r="E5644" s="9" t="s">
        <v>27</v>
      </c>
    </row>
    <row r="5645" spans="1:5" ht="15" customHeight="1" outlineLevel="2" x14ac:dyDescent="0.25">
      <c r="A5645" s="3" t="str">
        <f>HYPERLINK("http://mystore1.ru/price_items/search?utf8=%E2%9C%93&amp;oem=5680LGNR5FDW","5680LGNR5FDW")</f>
        <v>5680LGNR5FDW</v>
      </c>
      <c r="B5645" s="1" t="s">
        <v>10771</v>
      </c>
      <c r="C5645" s="9" t="s">
        <v>511</v>
      </c>
      <c r="D5645" s="14" t="s">
        <v>10772</v>
      </c>
      <c r="E5645" s="9" t="s">
        <v>11</v>
      </c>
    </row>
    <row r="5646" spans="1:5" ht="15" customHeight="1" outlineLevel="2" x14ac:dyDescent="0.25">
      <c r="A5646" s="3" t="str">
        <f>HYPERLINK("http://mystore1.ru/price_items/search?utf8=%E2%9C%93&amp;oem=5680LGNR5RDW","5680LGNR5RDW")</f>
        <v>5680LGNR5RDW</v>
      </c>
      <c r="B5646" s="1" t="s">
        <v>10773</v>
      </c>
      <c r="C5646" s="9" t="s">
        <v>511</v>
      </c>
      <c r="D5646" s="14" t="s">
        <v>10774</v>
      </c>
      <c r="E5646" s="9" t="s">
        <v>11</v>
      </c>
    </row>
    <row r="5647" spans="1:5" ht="15" customHeight="1" outlineLevel="2" x14ac:dyDescent="0.25">
      <c r="A5647" s="3" t="str">
        <f>HYPERLINK("http://mystore1.ru/price_items/search?utf8=%E2%9C%93&amp;oem=5680RGNR5FDW","5680RGNR5FDW")</f>
        <v>5680RGNR5FDW</v>
      </c>
      <c r="B5647" s="1" t="s">
        <v>10775</v>
      </c>
      <c r="C5647" s="9" t="s">
        <v>511</v>
      </c>
      <c r="D5647" s="14" t="s">
        <v>10776</v>
      </c>
      <c r="E5647" s="9" t="s">
        <v>11</v>
      </c>
    </row>
    <row r="5648" spans="1:5" ht="15" customHeight="1" outlineLevel="2" x14ac:dyDescent="0.25">
      <c r="A5648" s="3" t="str">
        <f>HYPERLINK("http://mystore1.ru/price_items/search?utf8=%E2%9C%93&amp;oem=5680RGNR5RDW","5680RGNR5RDW")</f>
        <v>5680RGNR5RDW</v>
      </c>
      <c r="B5648" s="1" t="s">
        <v>10777</v>
      </c>
      <c r="C5648" s="9" t="s">
        <v>511</v>
      </c>
      <c r="D5648" s="14" t="s">
        <v>10778</v>
      </c>
      <c r="E5648" s="9" t="s">
        <v>11</v>
      </c>
    </row>
    <row r="5649" spans="1:5" ht="15" customHeight="1" outlineLevel="2" x14ac:dyDescent="0.25">
      <c r="A5649" s="3" t="str">
        <f>HYPERLINK("http://mystore1.ru/price_items/search?utf8=%E2%9C%93&amp;oem=5680LYPR5RDW","5680LYPR5RDW")</f>
        <v>5680LYPR5RDW</v>
      </c>
      <c r="B5649" s="1" t="s">
        <v>10779</v>
      </c>
      <c r="C5649" s="9" t="s">
        <v>511</v>
      </c>
      <c r="D5649" s="14" t="s">
        <v>10780</v>
      </c>
      <c r="E5649" s="9" t="s">
        <v>30</v>
      </c>
    </row>
    <row r="5650" spans="1:5" ht="15" customHeight="1" outlineLevel="2" x14ac:dyDescent="0.25">
      <c r="A5650" s="3" t="str">
        <f>HYPERLINK("http://mystore1.ru/price_items/search?utf8=%E2%9C%93&amp;oem=5680RYPR5RDW","5680RYPR5RDW")</f>
        <v>5680RYPR5RDW</v>
      </c>
      <c r="B5650" s="1" t="s">
        <v>10781</v>
      </c>
      <c r="C5650" s="9" t="s">
        <v>511</v>
      </c>
      <c r="D5650" s="14" t="s">
        <v>10782</v>
      </c>
      <c r="E5650" s="9" t="s">
        <v>30</v>
      </c>
    </row>
    <row r="5651" spans="1:5" outlineLevel="1" x14ac:dyDescent="0.25">
      <c r="A5651" s="2"/>
      <c r="B5651" s="6" t="s">
        <v>10783</v>
      </c>
      <c r="C5651" s="8"/>
      <c r="D5651" s="8"/>
      <c r="E5651" s="8"/>
    </row>
    <row r="5652" spans="1:5" ht="15" customHeight="1" outlineLevel="2" x14ac:dyDescent="0.25">
      <c r="A5652" s="3" t="str">
        <f>HYPERLINK("http://mystore1.ru/price_items/search?utf8=%E2%9C%93&amp;oem=5660AGNBL","5660AGNBL")</f>
        <v>5660AGNBL</v>
      </c>
      <c r="B5652" s="1" t="s">
        <v>10784</v>
      </c>
      <c r="C5652" s="9" t="s">
        <v>1499</v>
      </c>
      <c r="D5652" s="14" t="s">
        <v>10785</v>
      </c>
      <c r="E5652" s="9" t="s">
        <v>8</v>
      </c>
    </row>
    <row r="5653" spans="1:5" ht="15" customHeight="1" outlineLevel="2" x14ac:dyDescent="0.25">
      <c r="A5653" s="3" t="str">
        <f>HYPERLINK("http://mystore1.ru/price_items/search?utf8=%E2%9C%93&amp;oem=5660AGNW","5660AGNW")</f>
        <v>5660AGNW</v>
      </c>
      <c r="B5653" s="1" t="s">
        <v>10786</v>
      </c>
      <c r="C5653" s="9" t="s">
        <v>1499</v>
      </c>
      <c r="D5653" s="14" t="s">
        <v>10787</v>
      </c>
      <c r="E5653" s="9" t="s">
        <v>8</v>
      </c>
    </row>
    <row r="5654" spans="1:5" ht="15" customHeight="1" outlineLevel="2" x14ac:dyDescent="0.25">
      <c r="A5654" s="3" t="str">
        <f>HYPERLINK("http://mystore1.ru/price_items/search?utf8=%E2%9C%93&amp;oem=5660ASMRB","5660ASMRB")</f>
        <v>5660ASMRB</v>
      </c>
      <c r="B5654" s="1" t="s">
        <v>10788</v>
      </c>
      <c r="C5654" s="9" t="s">
        <v>25</v>
      </c>
      <c r="D5654" s="14" t="s">
        <v>10789</v>
      </c>
      <c r="E5654" s="9" t="s">
        <v>27</v>
      </c>
    </row>
    <row r="5655" spans="1:5" ht="15" customHeight="1" outlineLevel="2" x14ac:dyDescent="0.25">
      <c r="A5655" s="3" t="str">
        <f>HYPERLINK("http://mystore1.ru/price_items/search?utf8=%E2%9C%93&amp;oem=5660ASMRT","5660ASMRT")</f>
        <v>5660ASMRT</v>
      </c>
      <c r="B5655" s="1" t="s">
        <v>10790</v>
      </c>
      <c r="C5655" s="9" t="s">
        <v>25</v>
      </c>
      <c r="D5655" s="14" t="s">
        <v>10791</v>
      </c>
      <c r="E5655" s="9" t="s">
        <v>27</v>
      </c>
    </row>
    <row r="5656" spans="1:5" ht="15" customHeight="1" outlineLevel="2" x14ac:dyDescent="0.25">
      <c r="A5656" s="3" t="str">
        <f>HYPERLINK("http://mystore1.ru/price_items/search?utf8=%E2%9C%93&amp;oem=5660BGNRZ","5660BGNRZ")</f>
        <v>5660BGNRZ</v>
      </c>
      <c r="B5656" s="1" t="s">
        <v>10792</v>
      </c>
      <c r="C5656" s="9" t="s">
        <v>1499</v>
      </c>
      <c r="D5656" s="14" t="s">
        <v>10793</v>
      </c>
      <c r="E5656" s="9" t="s">
        <v>30</v>
      </c>
    </row>
    <row r="5657" spans="1:5" ht="15" customHeight="1" outlineLevel="2" x14ac:dyDescent="0.25">
      <c r="A5657" s="3" t="str">
        <f>HYPERLINK("http://mystore1.ru/price_items/search?utf8=%E2%9C%93&amp;oem=5660LGNR3FDW","5660LGNR3FDW")</f>
        <v>5660LGNR3FDW</v>
      </c>
      <c r="B5657" s="1" t="s">
        <v>10794</v>
      </c>
      <c r="C5657" s="9" t="s">
        <v>1499</v>
      </c>
      <c r="D5657" s="14" t="s">
        <v>10795</v>
      </c>
      <c r="E5657" s="9" t="s">
        <v>11</v>
      </c>
    </row>
    <row r="5658" spans="1:5" ht="15" customHeight="1" outlineLevel="2" x14ac:dyDescent="0.25">
      <c r="A5658" s="3" t="str">
        <f>HYPERLINK("http://mystore1.ru/price_items/search?utf8=%E2%9C%93&amp;oem=5660LGNR3RQW","5660LGNR3RQW")</f>
        <v>5660LGNR3RQW</v>
      </c>
      <c r="B5658" s="1" t="s">
        <v>10796</v>
      </c>
      <c r="C5658" s="9" t="s">
        <v>1499</v>
      </c>
      <c r="D5658" s="14" t="s">
        <v>10797</v>
      </c>
      <c r="E5658" s="9" t="s">
        <v>11</v>
      </c>
    </row>
    <row r="5659" spans="1:5" ht="15" customHeight="1" outlineLevel="2" x14ac:dyDescent="0.25">
      <c r="A5659" s="3" t="str">
        <f>HYPERLINK("http://mystore1.ru/price_items/search?utf8=%E2%9C%93&amp;oem=5660LGNR5FDW","5660LGNR5FDW")</f>
        <v>5660LGNR5FDW</v>
      </c>
      <c r="B5659" s="1" t="s">
        <v>10798</v>
      </c>
      <c r="C5659" s="9" t="s">
        <v>1499</v>
      </c>
      <c r="D5659" s="14" t="s">
        <v>10799</v>
      </c>
      <c r="E5659" s="9" t="s">
        <v>11</v>
      </c>
    </row>
    <row r="5660" spans="1:5" ht="15" customHeight="1" outlineLevel="2" x14ac:dyDescent="0.25">
      <c r="A5660" s="3" t="str">
        <f>HYPERLINK("http://mystore1.ru/price_items/search?utf8=%E2%9C%93&amp;oem=5660LGNR5RDW","5660LGNR5RDW")</f>
        <v>5660LGNR5RDW</v>
      </c>
      <c r="B5660" s="1" t="s">
        <v>10800</v>
      </c>
      <c r="C5660" s="9" t="s">
        <v>1499</v>
      </c>
      <c r="D5660" s="14" t="s">
        <v>10801</v>
      </c>
      <c r="E5660" s="9" t="s">
        <v>11</v>
      </c>
    </row>
    <row r="5661" spans="1:5" ht="15" customHeight="1" outlineLevel="2" x14ac:dyDescent="0.25">
      <c r="A5661" s="3" t="str">
        <f>HYPERLINK("http://mystore1.ru/price_items/search?utf8=%E2%9C%93&amp;oem=5660LGNR5RQZ","5660LGNR5RQZ")</f>
        <v>5660LGNR5RQZ</v>
      </c>
      <c r="B5661" s="1" t="s">
        <v>10802</v>
      </c>
      <c r="C5661" s="9" t="s">
        <v>1499</v>
      </c>
      <c r="D5661" s="14" t="s">
        <v>10803</v>
      </c>
      <c r="E5661" s="9" t="s">
        <v>11</v>
      </c>
    </row>
    <row r="5662" spans="1:5" ht="15" customHeight="1" outlineLevel="2" x14ac:dyDescent="0.25">
      <c r="A5662" s="3" t="str">
        <f>HYPERLINK("http://mystore1.ru/price_items/search?utf8=%E2%9C%93&amp;oem=5660LGNR5RV","5660LGNR5RV")</f>
        <v>5660LGNR5RV</v>
      </c>
      <c r="B5662" s="1" t="s">
        <v>10804</v>
      </c>
      <c r="C5662" s="9" t="s">
        <v>1499</v>
      </c>
      <c r="D5662" s="14" t="s">
        <v>10805</v>
      </c>
      <c r="E5662" s="9" t="s">
        <v>11</v>
      </c>
    </row>
    <row r="5663" spans="1:5" ht="15" customHeight="1" outlineLevel="2" x14ac:dyDescent="0.25">
      <c r="A5663" s="3" t="str">
        <f>HYPERLINK("http://mystore1.ru/price_items/search?utf8=%E2%9C%93&amp;oem=5660RGNR3FDW","5660RGNR3FDW")</f>
        <v>5660RGNR3FDW</v>
      </c>
      <c r="B5663" s="1" t="s">
        <v>10806</v>
      </c>
      <c r="C5663" s="9" t="s">
        <v>1499</v>
      </c>
      <c r="D5663" s="14" t="s">
        <v>10807</v>
      </c>
      <c r="E5663" s="9" t="s">
        <v>11</v>
      </c>
    </row>
    <row r="5664" spans="1:5" ht="15" customHeight="1" outlineLevel="2" x14ac:dyDescent="0.25">
      <c r="A5664" s="3" t="str">
        <f>HYPERLINK("http://mystore1.ru/price_items/search?utf8=%E2%9C%93&amp;oem=5660RGNR3RQW","5660RGNR3RQW")</f>
        <v>5660RGNR3RQW</v>
      </c>
      <c r="B5664" s="1" t="s">
        <v>10808</v>
      </c>
      <c r="C5664" s="9" t="s">
        <v>1499</v>
      </c>
      <c r="D5664" s="14" t="s">
        <v>10809</v>
      </c>
      <c r="E5664" s="9" t="s">
        <v>11</v>
      </c>
    </row>
    <row r="5665" spans="1:5" ht="15" customHeight="1" outlineLevel="2" x14ac:dyDescent="0.25">
      <c r="A5665" s="3" t="str">
        <f>HYPERLINK("http://mystore1.ru/price_items/search?utf8=%E2%9C%93&amp;oem=5660RGNR5FDW","5660RGNR5FDW")</f>
        <v>5660RGNR5FDW</v>
      </c>
      <c r="B5665" s="1" t="s">
        <v>10810</v>
      </c>
      <c r="C5665" s="9" t="s">
        <v>1499</v>
      </c>
      <c r="D5665" s="14" t="s">
        <v>10811</v>
      </c>
      <c r="E5665" s="9" t="s">
        <v>11</v>
      </c>
    </row>
    <row r="5666" spans="1:5" ht="15" customHeight="1" outlineLevel="2" x14ac:dyDescent="0.25">
      <c r="A5666" s="3" t="str">
        <f>HYPERLINK("http://mystore1.ru/price_items/search?utf8=%E2%9C%93&amp;oem=5660RGNR5RDW","5660RGNR5RDW")</f>
        <v>5660RGNR5RDW</v>
      </c>
      <c r="B5666" s="1" t="s">
        <v>10812</v>
      </c>
      <c r="C5666" s="9" t="s">
        <v>1499</v>
      </c>
      <c r="D5666" s="14" t="s">
        <v>10813</v>
      </c>
      <c r="E5666" s="9" t="s">
        <v>11</v>
      </c>
    </row>
    <row r="5667" spans="1:5" ht="15" customHeight="1" outlineLevel="2" x14ac:dyDescent="0.25">
      <c r="A5667" s="3" t="str">
        <f>HYPERLINK("http://mystore1.ru/price_items/search?utf8=%E2%9C%93&amp;oem=5660RGNR5RQZ","5660RGNR5RQZ")</f>
        <v>5660RGNR5RQZ</v>
      </c>
      <c r="B5667" s="1" t="s">
        <v>10814</v>
      </c>
      <c r="C5667" s="9" t="s">
        <v>1499</v>
      </c>
      <c r="D5667" s="14" t="s">
        <v>10815</v>
      </c>
      <c r="E5667" s="9" t="s">
        <v>11</v>
      </c>
    </row>
    <row r="5668" spans="1:5" ht="15" customHeight="1" outlineLevel="2" x14ac:dyDescent="0.25">
      <c r="A5668" s="3" t="str">
        <f>HYPERLINK("http://mystore1.ru/price_items/search?utf8=%E2%9C%93&amp;oem=5660RGNR5RV","5660RGNR5RV")</f>
        <v>5660RGNR5RV</v>
      </c>
      <c r="B5668" s="1" t="s">
        <v>10816</v>
      </c>
      <c r="C5668" s="9" t="s">
        <v>1499</v>
      </c>
      <c r="D5668" s="14" t="s">
        <v>10817</v>
      </c>
      <c r="E5668" s="9" t="s">
        <v>11</v>
      </c>
    </row>
    <row r="5669" spans="1:5" outlineLevel="1" x14ac:dyDescent="0.25">
      <c r="A5669" s="2"/>
      <c r="B5669" s="6" t="s">
        <v>10818</v>
      </c>
      <c r="C5669" s="8"/>
      <c r="D5669" s="8"/>
      <c r="E5669" s="8"/>
    </row>
    <row r="5670" spans="1:5" ht="15" customHeight="1" outlineLevel="2" x14ac:dyDescent="0.25">
      <c r="A5670" s="3" t="str">
        <f>HYPERLINK("http://mystore1.ru/price_items/search?utf8=%E2%9C%93&amp;oem=5621ABL","5621ABL")</f>
        <v>5621ABL</v>
      </c>
      <c r="B5670" s="1" t="s">
        <v>10819</v>
      </c>
      <c r="C5670" s="9" t="s">
        <v>311</v>
      </c>
      <c r="D5670" s="14" t="s">
        <v>10820</v>
      </c>
      <c r="E5670" s="9" t="s">
        <v>8</v>
      </c>
    </row>
    <row r="5671" spans="1:5" ht="15" customHeight="1" outlineLevel="2" x14ac:dyDescent="0.25">
      <c r="A5671" s="3" t="str">
        <f>HYPERLINK("http://mystore1.ru/price_items/search?utf8=%E2%9C%93&amp;oem=5621ABLBL","5621ABLBL")</f>
        <v>5621ABLBL</v>
      </c>
      <c r="B5671" s="1" t="s">
        <v>10821</v>
      </c>
      <c r="C5671" s="9" t="s">
        <v>311</v>
      </c>
      <c r="D5671" s="14" t="s">
        <v>10822</v>
      </c>
      <c r="E5671" s="9" t="s">
        <v>8</v>
      </c>
    </row>
    <row r="5672" spans="1:5" ht="15" customHeight="1" outlineLevel="2" x14ac:dyDescent="0.25">
      <c r="A5672" s="3" t="str">
        <f>HYPERLINK("http://mystore1.ru/price_items/search?utf8=%E2%9C%93&amp;oem=5621ABZ","5621ABZ")</f>
        <v>5621ABZ</v>
      </c>
      <c r="B5672" s="1" t="s">
        <v>10823</v>
      </c>
      <c r="C5672" s="9" t="s">
        <v>311</v>
      </c>
      <c r="D5672" s="14" t="s">
        <v>10824</v>
      </c>
      <c r="E5672" s="9" t="s">
        <v>8</v>
      </c>
    </row>
    <row r="5673" spans="1:5" ht="15" customHeight="1" outlineLevel="2" x14ac:dyDescent="0.25">
      <c r="A5673" s="3" t="str">
        <f>HYPERLINK("http://mystore1.ru/price_items/search?utf8=%E2%9C%93&amp;oem=5621AGNBL","5621AGNBL")</f>
        <v>5621AGNBL</v>
      </c>
      <c r="B5673" s="1" t="s">
        <v>10825</v>
      </c>
      <c r="C5673" s="9" t="s">
        <v>311</v>
      </c>
      <c r="D5673" s="14" t="s">
        <v>10826</v>
      </c>
      <c r="E5673" s="9" t="s">
        <v>8</v>
      </c>
    </row>
    <row r="5674" spans="1:5" ht="15" customHeight="1" outlineLevel="2" x14ac:dyDescent="0.25">
      <c r="A5674" s="3" t="str">
        <f>HYPERLINK("http://mystore1.ru/price_items/search?utf8=%E2%9C%93&amp;oem=5621ASRR","5621ASRR")</f>
        <v>5621ASRR</v>
      </c>
      <c r="B5674" s="1" t="s">
        <v>10827</v>
      </c>
      <c r="C5674" s="9" t="s">
        <v>25</v>
      </c>
      <c r="D5674" s="14" t="s">
        <v>10828</v>
      </c>
      <c r="E5674" s="9" t="s">
        <v>27</v>
      </c>
    </row>
    <row r="5675" spans="1:5" ht="15" customHeight="1" outlineLevel="2" x14ac:dyDescent="0.25">
      <c r="A5675" s="3" t="str">
        <f>HYPERLINK("http://mystore1.ru/price_items/search?utf8=%E2%9C%93&amp;oem=5621ASRRC","5621ASRRC")</f>
        <v>5621ASRRC</v>
      </c>
      <c r="B5675" s="1" t="s">
        <v>10829</v>
      </c>
      <c r="C5675" s="9" t="s">
        <v>25</v>
      </c>
      <c r="D5675" s="14" t="s">
        <v>10830</v>
      </c>
      <c r="E5675" s="9" t="s">
        <v>27</v>
      </c>
    </row>
    <row r="5676" spans="1:5" ht="15" customHeight="1" outlineLevel="2" x14ac:dyDescent="0.25">
      <c r="A5676" s="3" t="str">
        <f>HYPERLINK("http://mystore1.ru/price_items/search?utf8=%E2%9C%93&amp;oem=5621BBLR","5621BBLR")</f>
        <v>5621BBLR</v>
      </c>
      <c r="B5676" s="1" t="s">
        <v>10831</v>
      </c>
      <c r="C5676" s="9" t="s">
        <v>311</v>
      </c>
      <c r="D5676" s="14" t="s">
        <v>10832</v>
      </c>
      <c r="E5676" s="9" t="s">
        <v>30</v>
      </c>
    </row>
    <row r="5677" spans="1:5" ht="15" customHeight="1" outlineLevel="2" x14ac:dyDescent="0.25">
      <c r="A5677" s="3" t="str">
        <f>HYPERLINK("http://mystore1.ru/price_items/search?utf8=%E2%9C%93&amp;oem=5621LBLR5RD","5621LBLR5RD")</f>
        <v>5621LBLR5RD</v>
      </c>
      <c r="B5677" s="1" t="s">
        <v>10833</v>
      </c>
      <c r="C5677" s="9" t="s">
        <v>311</v>
      </c>
      <c r="D5677" s="14" t="s">
        <v>10834</v>
      </c>
      <c r="E5677" s="9" t="s">
        <v>11</v>
      </c>
    </row>
    <row r="5678" spans="1:5" ht="15" customHeight="1" outlineLevel="2" x14ac:dyDescent="0.25">
      <c r="A5678" s="3" t="str">
        <f>HYPERLINK("http://mystore1.ru/price_items/search?utf8=%E2%9C%93&amp;oem=5621RBLR3FD","5621RBLR3FD")</f>
        <v>5621RBLR3FD</v>
      </c>
      <c r="B5678" s="1" t="s">
        <v>10835</v>
      </c>
      <c r="C5678" s="9" t="s">
        <v>311</v>
      </c>
      <c r="D5678" s="14" t="s">
        <v>10836</v>
      </c>
      <c r="E5678" s="9" t="s">
        <v>11</v>
      </c>
    </row>
    <row r="5679" spans="1:5" ht="15" customHeight="1" outlineLevel="2" x14ac:dyDescent="0.25">
      <c r="A5679" s="3" t="str">
        <f>HYPERLINK("http://mystore1.ru/price_items/search?utf8=%E2%9C%93&amp;oem=5621RBLR5RD","5621RBLR5RD")</f>
        <v>5621RBLR5RD</v>
      </c>
      <c r="B5679" s="1" t="s">
        <v>10837</v>
      </c>
      <c r="C5679" s="9" t="s">
        <v>311</v>
      </c>
      <c r="D5679" s="14" t="s">
        <v>10838</v>
      </c>
      <c r="E5679" s="9" t="s">
        <v>11</v>
      </c>
    </row>
    <row r="5680" spans="1:5" outlineLevel="1" x14ac:dyDescent="0.25">
      <c r="A5680" s="2"/>
      <c r="B5680" s="6" t="s">
        <v>10839</v>
      </c>
      <c r="C5680" s="8"/>
      <c r="D5680" s="8"/>
      <c r="E5680" s="8"/>
    </row>
    <row r="5681" spans="1:5" ht="15" customHeight="1" outlineLevel="2" x14ac:dyDescent="0.25">
      <c r="A5681" s="3" t="str">
        <f>HYPERLINK("http://mystore1.ru/price_items/search?utf8=%E2%9C%93&amp;oem=5637ACL","5637ACL")</f>
        <v>5637ACL</v>
      </c>
      <c r="B5681" s="1" t="s">
        <v>10840</v>
      </c>
      <c r="C5681" s="9" t="s">
        <v>865</v>
      </c>
      <c r="D5681" s="14" t="s">
        <v>10841</v>
      </c>
      <c r="E5681" s="9" t="s">
        <v>8</v>
      </c>
    </row>
    <row r="5682" spans="1:5" ht="15" customHeight="1" outlineLevel="2" x14ac:dyDescent="0.25">
      <c r="A5682" s="3" t="str">
        <f>HYPERLINK("http://mystore1.ru/price_items/search?utf8=%E2%9C%93&amp;oem=5637ABZ","5637ABZ")</f>
        <v>5637ABZ</v>
      </c>
      <c r="B5682" s="1" t="s">
        <v>10842</v>
      </c>
      <c r="C5682" s="9" t="s">
        <v>865</v>
      </c>
      <c r="D5682" s="14" t="s">
        <v>10843</v>
      </c>
      <c r="E5682" s="9" t="s">
        <v>8</v>
      </c>
    </row>
    <row r="5683" spans="1:5" ht="15" customHeight="1" outlineLevel="2" x14ac:dyDescent="0.25">
      <c r="A5683" s="3" t="str">
        <f>HYPERLINK("http://mystore1.ru/price_items/search?utf8=%E2%9C%93&amp;oem=5637ABL","5637ABL")</f>
        <v>5637ABL</v>
      </c>
      <c r="B5683" s="1" t="s">
        <v>10844</v>
      </c>
      <c r="C5683" s="9" t="s">
        <v>865</v>
      </c>
      <c r="D5683" s="14" t="s">
        <v>10845</v>
      </c>
      <c r="E5683" s="9" t="s">
        <v>8</v>
      </c>
    </row>
    <row r="5684" spans="1:5" ht="15" customHeight="1" outlineLevel="2" x14ac:dyDescent="0.25">
      <c r="A5684" s="3" t="str">
        <f>HYPERLINK("http://mystore1.ru/price_items/search?utf8=%E2%9C%93&amp;oem=5637ABLBL","5637ABLBL")</f>
        <v>5637ABLBL</v>
      </c>
      <c r="B5684" s="1" t="s">
        <v>10846</v>
      </c>
      <c r="C5684" s="9" t="s">
        <v>865</v>
      </c>
      <c r="D5684" s="14" t="s">
        <v>10847</v>
      </c>
      <c r="E5684" s="9" t="s">
        <v>8</v>
      </c>
    </row>
    <row r="5685" spans="1:5" ht="15" customHeight="1" outlineLevel="2" x14ac:dyDescent="0.25">
      <c r="A5685" s="3" t="str">
        <f>HYPERLINK("http://mystore1.ru/price_items/search?utf8=%E2%9C%93&amp;oem=5637AGN","5637AGN")</f>
        <v>5637AGN</v>
      </c>
      <c r="B5685" s="1" t="s">
        <v>10848</v>
      </c>
      <c r="C5685" s="9" t="s">
        <v>865</v>
      </c>
      <c r="D5685" s="14" t="s">
        <v>10849</v>
      </c>
      <c r="E5685" s="9" t="s">
        <v>8</v>
      </c>
    </row>
    <row r="5686" spans="1:5" ht="15" customHeight="1" outlineLevel="2" x14ac:dyDescent="0.25">
      <c r="A5686" s="3" t="str">
        <f>HYPERLINK("http://mystore1.ru/price_items/search?utf8=%E2%9C%93&amp;oem=5637AGNBL","5637AGNBL")</f>
        <v>5637AGNBL</v>
      </c>
      <c r="B5686" s="1" t="s">
        <v>10850</v>
      </c>
      <c r="C5686" s="9" t="s">
        <v>865</v>
      </c>
      <c r="D5686" s="14" t="s">
        <v>10851</v>
      </c>
      <c r="E5686" s="9" t="s">
        <v>8</v>
      </c>
    </row>
    <row r="5687" spans="1:5" ht="15" customHeight="1" outlineLevel="2" x14ac:dyDescent="0.25">
      <c r="A5687" s="3" t="str">
        <f>HYPERLINK("http://mystore1.ru/price_items/search?utf8=%E2%9C%93&amp;oem=5637AKCR","5637AKCR")</f>
        <v>5637AKCR</v>
      </c>
      <c r="B5687" s="1" t="s">
        <v>10852</v>
      </c>
      <c r="C5687" s="9" t="s">
        <v>25</v>
      </c>
      <c r="D5687" s="14" t="s">
        <v>10853</v>
      </c>
      <c r="E5687" s="9" t="s">
        <v>27</v>
      </c>
    </row>
    <row r="5688" spans="1:5" ht="15" customHeight="1" outlineLevel="2" x14ac:dyDescent="0.25">
      <c r="A5688" s="3" t="str">
        <f>HYPERLINK("http://mystore1.ru/price_items/search?utf8=%E2%9C%93&amp;oem=5637ASMRB","5637ASMRB")</f>
        <v>5637ASMRB</v>
      </c>
      <c r="B5688" s="1" t="s">
        <v>10854</v>
      </c>
      <c r="C5688" s="9" t="s">
        <v>25</v>
      </c>
      <c r="D5688" s="14" t="s">
        <v>10855</v>
      </c>
      <c r="E5688" s="9" t="s">
        <v>27</v>
      </c>
    </row>
    <row r="5689" spans="1:5" ht="15" customHeight="1" outlineLevel="2" x14ac:dyDescent="0.25">
      <c r="A5689" s="3" t="str">
        <f>HYPERLINK("http://mystore1.ru/price_items/search?utf8=%E2%9C%93&amp;oem=5637ASMRT","5637ASMRT")</f>
        <v>5637ASMRT</v>
      </c>
      <c r="B5689" s="1" t="s">
        <v>10856</v>
      </c>
      <c r="C5689" s="9" t="s">
        <v>25</v>
      </c>
      <c r="D5689" s="14" t="s">
        <v>10857</v>
      </c>
      <c r="E5689" s="9" t="s">
        <v>27</v>
      </c>
    </row>
    <row r="5690" spans="1:5" ht="15" customHeight="1" outlineLevel="2" x14ac:dyDescent="0.25">
      <c r="A5690" s="3" t="str">
        <f>HYPERLINK("http://mystore1.ru/price_items/search?utf8=%E2%9C%93&amp;oem=5637BBLR","5637BBLR")</f>
        <v>5637BBLR</v>
      </c>
      <c r="B5690" s="1" t="s">
        <v>10858</v>
      </c>
      <c r="C5690" s="9" t="s">
        <v>865</v>
      </c>
      <c r="D5690" s="14" t="s">
        <v>10859</v>
      </c>
      <c r="E5690" s="9" t="s">
        <v>30</v>
      </c>
    </row>
    <row r="5691" spans="1:5" ht="15" customHeight="1" outlineLevel="2" x14ac:dyDescent="0.25">
      <c r="A5691" s="3" t="str">
        <f>HYPERLINK("http://mystore1.ru/price_items/search?utf8=%E2%9C%93&amp;oem=5637BGNR","5637BGNR")</f>
        <v>5637BGNR</v>
      </c>
      <c r="B5691" s="1" t="s">
        <v>10860</v>
      </c>
      <c r="C5691" s="9" t="s">
        <v>865</v>
      </c>
      <c r="D5691" s="14" t="s">
        <v>10861</v>
      </c>
      <c r="E5691" s="9" t="s">
        <v>30</v>
      </c>
    </row>
    <row r="5692" spans="1:5" ht="15" customHeight="1" outlineLevel="2" x14ac:dyDescent="0.25">
      <c r="A5692" s="3" t="str">
        <f>HYPERLINK("http://mystore1.ru/price_items/search?utf8=%E2%9C%93&amp;oem=5637BGYR","5637BGYR")</f>
        <v>5637BGYR</v>
      </c>
      <c r="B5692" s="1" t="s">
        <v>10862</v>
      </c>
      <c r="C5692" s="9" t="s">
        <v>865</v>
      </c>
      <c r="D5692" s="14" t="s">
        <v>10863</v>
      </c>
      <c r="E5692" s="9" t="s">
        <v>30</v>
      </c>
    </row>
    <row r="5693" spans="1:5" ht="15" customHeight="1" outlineLevel="2" x14ac:dyDescent="0.25">
      <c r="A5693" s="3" t="str">
        <f>HYPERLINK("http://mystore1.ru/price_items/search?utf8=%E2%9C%93&amp;oem=5637LBLR3FD","5637LBLR3FD")</f>
        <v>5637LBLR3FD</v>
      </c>
      <c r="B5693" s="1" t="s">
        <v>10864</v>
      </c>
      <c r="C5693" s="9" t="s">
        <v>865</v>
      </c>
      <c r="D5693" s="14" t="s">
        <v>10865</v>
      </c>
      <c r="E5693" s="9" t="s">
        <v>11</v>
      </c>
    </row>
    <row r="5694" spans="1:5" ht="15" customHeight="1" outlineLevel="2" x14ac:dyDescent="0.25">
      <c r="A5694" s="3" t="str">
        <f>HYPERLINK("http://mystore1.ru/price_items/search?utf8=%E2%9C%93&amp;oem=5637LBLR5RD","5637LBLR5RD")</f>
        <v>5637LBLR5RD</v>
      </c>
      <c r="B5694" s="1" t="s">
        <v>10866</v>
      </c>
      <c r="C5694" s="9" t="s">
        <v>865</v>
      </c>
      <c r="D5694" s="14" t="s">
        <v>10867</v>
      </c>
      <c r="E5694" s="9" t="s">
        <v>11</v>
      </c>
    </row>
    <row r="5695" spans="1:5" ht="15" customHeight="1" outlineLevel="2" x14ac:dyDescent="0.25">
      <c r="A5695" s="3" t="str">
        <f>HYPERLINK("http://mystore1.ru/price_items/search?utf8=%E2%9C%93&amp;oem=5637LBLR5RV","5637LBLR5RV")</f>
        <v>5637LBLR5RV</v>
      </c>
      <c r="B5695" s="1" t="s">
        <v>10868</v>
      </c>
      <c r="C5695" s="9" t="s">
        <v>865</v>
      </c>
      <c r="D5695" s="14" t="s">
        <v>10869</v>
      </c>
      <c r="E5695" s="9" t="s">
        <v>11</v>
      </c>
    </row>
    <row r="5696" spans="1:5" ht="15" customHeight="1" outlineLevel="2" x14ac:dyDescent="0.25">
      <c r="A5696" s="3" t="str">
        <f>HYPERLINK("http://mystore1.ru/price_items/search?utf8=%E2%9C%93&amp;oem=5637LBZR5RD","5637LBZR5RD")</f>
        <v>5637LBZR5RD</v>
      </c>
      <c r="B5696" s="1" t="s">
        <v>10870</v>
      </c>
      <c r="C5696" s="9" t="s">
        <v>865</v>
      </c>
      <c r="D5696" s="14" t="s">
        <v>10871</v>
      </c>
      <c r="E5696" s="9" t="s">
        <v>11</v>
      </c>
    </row>
    <row r="5697" spans="1:5" ht="15" customHeight="1" outlineLevel="2" x14ac:dyDescent="0.25">
      <c r="A5697" s="3" t="str">
        <f>HYPERLINK("http://mystore1.ru/price_items/search?utf8=%E2%9C%93&amp;oem=5637LGNR3FD","5637LGNR3FD")</f>
        <v>5637LGNR3FD</v>
      </c>
      <c r="B5697" s="1" t="s">
        <v>10872</v>
      </c>
      <c r="C5697" s="9" t="s">
        <v>865</v>
      </c>
      <c r="D5697" s="14" t="s">
        <v>10873</v>
      </c>
      <c r="E5697" s="9" t="s">
        <v>11</v>
      </c>
    </row>
    <row r="5698" spans="1:5" ht="15" customHeight="1" outlineLevel="2" x14ac:dyDescent="0.25">
      <c r="A5698" s="3" t="str">
        <f>HYPERLINK("http://mystore1.ru/price_items/search?utf8=%E2%9C%93&amp;oem=5637LGNR5RV","5637LGNR5RV")</f>
        <v>5637LGNR5RV</v>
      </c>
      <c r="B5698" s="1" t="s">
        <v>10874</v>
      </c>
      <c r="C5698" s="9" t="s">
        <v>865</v>
      </c>
      <c r="D5698" s="14" t="s">
        <v>10875</v>
      </c>
      <c r="E5698" s="9" t="s">
        <v>11</v>
      </c>
    </row>
    <row r="5699" spans="1:5" ht="15" customHeight="1" outlineLevel="2" x14ac:dyDescent="0.25">
      <c r="A5699" s="3" t="str">
        <f>HYPERLINK("http://mystore1.ru/price_items/search?utf8=%E2%9C%93&amp;oem=5637LGYR5RV","5637LGYR5RV")</f>
        <v>5637LGYR5RV</v>
      </c>
      <c r="B5699" s="1" t="s">
        <v>10876</v>
      </c>
      <c r="C5699" s="9" t="s">
        <v>865</v>
      </c>
      <c r="D5699" s="14" t="s">
        <v>10877</v>
      </c>
      <c r="E5699" s="9" t="s">
        <v>11</v>
      </c>
    </row>
    <row r="5700" spans="1:5" ht="15" customHeight="1" outlineLevel="2" x14ac:dyDescent="0.25">
      <c r="A5700" s="3" t="str">
        <f>HYPERLINK("http://mystore1.ru/price_items/search?utf8=%E2%9C%93&amp;oem=5637RBLR3FD","5637RBLR3FD")</f>
        <v>5637RBLR3FD</v>
      </c>
      <c r="B5700" s="1" t="s">
        <v>10878</v>
      </c>
      <c r="C5700" s="9" t="s">
        <v>865</v>
      </c>
      <c r="D5700" s="14" t="s">
        <v>10879</v>
      </c>
      <c r="E5700" s="9" t="s">
        <v>11</v>
      </c>
    </row>
    <row r="5701" spans="1:5" ht="15" customHeight="1" outlineLevel="2" x14ac:dyDescent="0.25">
      <c r="A5701" s="3" t="str">
        <f>HYPERLINK("http://mystore1.ru/price_items/search?utf8=%E2%9C%93&amp;oem=5637RBLR5RD","5637RBLR5RD")</f>
        <v>5637RBLR5RD</v>
      </c>
      <c r="B5701" s="1" t="s">
        <v>10880</v>
      </c>
      <c r="C5701" s="9" t="s">
        <v>865</v>
      </c>
      <c r="D5701" s="14" t="s">
        <v>10881</v>
      </c>
      <c r="E5701" s="9" t="s">
        <v>11</v>
      </c>
    </row>
    <row r="5702" spans="1:5" ht="15" customHeight="1" outlineLevel="2" x14ac:dyDescent="0.25">
      <c r="A5702" s="3" t="str">
        <f>HYPERLINK("http://mystore1.ru/price_items/search?utf8=%E2%9C%93&amp;oem=5637RBZR5RD","5637RBZR5RD")</f>
        <v>5637RBZR5RD</v>
      </c>
      <c r="B5702" s="1" t="s">
        <v>10882</v>
      </c>
      <c r="C5702" s="9" t="s">
        <v>865</v>
      </c>
      <c r="D5702" s="14" t="s">
        <v>10883</v>
      </c>
      <c r="E5702" s="9" t="s">
        <v>11</v>
      </c>
    </row>
    <row r="5703" spans="1:5" ht="15" customHeight="1" outlineLevel="2" x14ac:dyDescent="0.25">
      <c r="A5703" s="3" t="str">
        <f>HYPERLINK("http://mystore1.ru/price_items/search?utf8=%E2%9C%93&amp;oem=5637RGNR3FD","5637RGNR3FD")</f>
        <v>5637RGNR3FD</v>
      </c>
      <c r="B5703" s="1" t="s">
        <v>10884</v>
      </c>
      <c r="C5703" s="9" t="s">
        <v>865</v>
      </c>
      <c r="D5703" s="14" t="s">
        <v>10885</v>
      </c>
      <c r="E5703" s="9" t="s">
        <v>11</v>
      </c>
    </row>
    <row r="5704" spans="1:5" ht="15" customHeight="1" outlineLevel="2" x14ac:dyDescent="0.25">
      <c r="A5704" s="3" t="str">
        <f>HYPERLINK("http://mystore1.ru/price_items/search?utf8=%E2%9C%93&amp;oem=5637RGNR5RV","5637RGNR5RV")</f>
        <v>5637RGNR5RV</v>
      </c>
      <c r="B5704" s="1" t="s">
        <v>10886</v>
      </c>
      <c r="C5704" s="9" t="s">
        <v>865</v>
      </c>
      <c r="D5704" s="14" t="s">
        <v>10887</v>
      </c>
      <c r="E5704" s="9" t="s">
        <v>11</v>
      </c>
    </row>
    <row r="5705" spans="1:5" outlineLevel="1" x14ac:dyDescent="0.25">
      <c r="A5705" s="2"/>
      <c r="B5705" s="6" t="s">
        <v>10888</v>
      </c>
      <c r="C5705" s="8"/>
      <c r="D5705" s="8"/>
      <c r="E5705" s="8"/>
    </row>
    <row r="5706" spans="1:5" ht="15" customHeight="1" outlineLevel="2" x14ac:dyDescent="0.25">
      <c r="A5706" s="3" t="str">
        <f>HYPERLINK("http://mystore1.ru/price_items/search?utf8=%E2%9C%93&amp;oem=5661AGN","5661AGN")</f>
        <v>5661AGN</v>
      </c>
      <c r="B5706" s="1" t="s">
        <v>10889</v>
      </c>
      <c r="C5706" s="9" t="s">
        <v>1499</v>
      </c>
      <c r="D5706" s="14" t="s">
        <v>10890</v>
      </c>
      <c r="E5706" s="9" t="s">
        <v>8</v>
      </c>
    </row>
    <row r="5707" spans="1:5" ht="15" customHeight="1" outlineLevel="2" x14ac:dyDescent="0.25">
      <c r="A5707" s="3" t="str">
        <f>HYPERLINK("http://mystore1.ru/price_items/search?utf8=%E2%9C%93&amp;oem=5661AGNBL","5661AGNBL")</f>
        <v>5661AGNBL</v>
      </c>
      <c r="B5707" s="1" t="s">
        <v>10891</v>
      </c>
      <c r="C5707" s="9" t="s">
        <v>9574</v>
      </c>
      <c r="D5707" s="14" t="s">
        <v>10892</v>
      </c>
      <c r="E5707" s="9" t="s">
        <v>8</v>
      </c>
    </row>
    <row r="5708" spans="1:5" ht="15" customHeight="1" outlineLevel="2" x14ac:dyDescent="0.25">
      <c r="A5708" s="3" t="str">
        <f>HYPERLINK("http://mystore1.ru/price_items/search?utf8=%E2%9C%93&amp;oem=5661AGNBL1C","5661AGNBL1C")</f>
        <v>5661AGNBL1C</v>
      </c>
      <c r="B5708" s="1" t="s">
        <v>10893</v>
      </c>
      <c r="C5708" s="9" t="s">
        <v>1880</v>
      </c>
      <c r="D5708" s="14" t="s">
        <v>10894</v>
      </c>
      <c r="E5708" s="9" t="s">
        <v>8</v>
      </c>
    </row>
    <row r="5709" spans="1:5" ht="15" customHeight="1" outlineLevel="2" x14ac:dyDescent="0.25">
      <c r="A5709" s="3" t="str">
        <f>HYPERLINK("http://mystore1.ru/price_items/search?utf8=%E2%9C%93&amp;oem=5661AGNBLH","5661AGNBLH")</f>
        <v>5661AGNBLH</v>
      </c>
      <c r="B5709" s="1" t="s">
        <v>10895</v>
      </c>
      <c r="C5709" s="9" t="s">
        <v>1499</v>
      </c>
      <c r="D5709" s="14" t="s">
        <v>10896</v>
      </c>
      <c r="E5709" s="9" t="s">
        <v>8</v>
      </c>
    </row>
    <row r="5710" spans="1:5" ht="15" customHeight="1" outlineLevel="2" x14ac:dyDescent="0.25">
      <c r="A5710" s="3" t="str">
        <f>HYPERLINK("http://mystore1.ru/price_items/search?utf8=%E2%9C%93&amp;oem=5661AGNBLH1C","5661AGNBLH1C")</f>
        <v>5661AGNBLH1C</v>
      </c>
      <c r="B5710" s="1" t="s">
        <v>10897</v>
      </c>
      <c r="C5710" s="9" t="s">
        <v>1880</v>
      </c>
      <c r="D5710" s="14" t="s">
        <v>10898</v>
      </c>
      <c r="E5710" s="9" t="s">
        <v>8</v>
      </c>
    </row>
    <row r="5711" spans="1:5" ht="15" customHeight="1" outlineLevel="2" x14ac:dyDescent="0.25">
      <c r="A5711" s="3" t="str">
        <f>HYPERLINK("http://mystore1.ru/price_items/search?utf8=%E2%9C%93&amp;oem=5661AGNH","5661AGNH")</f>
        <v>5661AGNH</v>
      </c>
      <c r="B5711" s="1" t="s">
        <v>10899</v>
      </c>
      <c r="C5711" s="9" t="s">
        <v>1499</v>
      </c>
      <c r="D5711" s="14" t="s">
        <v>10900</v>
      </c>
      <c r="E5711" s="9" t="s">
        <v>8</v>
      </c>
    </row>
    <row r="5712" spans="1:5" ht="15" customHeight="1" outlineLevel="2" x14ac:dyDescent="0.25">
      <c r="A5712" s="3" t="str">
        <f>HYPERLINK("http://mystore1.ru/price_items/search?utf8=%E2%9C%93&amp;oem=5661AGABLHM1P","5661AGABLHM1P")</f>
        <v>5661AGABLHM1P</v>
      </c>
      <c r="B5712" s="1" t="s">
        <v>10901</v>
      </c>
      <c r="C5712" s="9" t="s">
        <v>1499</v>
      </c>
      <c r="D5712" s="14" t="s">
        <v>10902</v>
      </c>
      <c r="E5712" s="9" t="s">
        <v>8</v>
      </c>
    </row>
    <row r="5713" spans="1:5" ht="15" customHeight="1" outlineLevel="2" x14ac:dyDescent="0.25">
      <c r="A5713" s="3" t="str">
        <f>HYPERLINK("http://mystore1.ru/price_items/search?utf8=%E2%9C%93&amp;oem=5661ASMR","5661ASMR")</f>
        <v>5661ASMR</v>
      </c>
      <c r="B5713" s="1" t="s">
        <v>10903</v>
      </c>
      <c r="C5713" s="9" t="s">
        <v>25</v>
      </c>
      <c r="D5713" s="14" t="s">
        <v>10904</v>
      </c>
      <c r="E5713" s="9" t="s">
        <v>27</v>
      </c>
    </row>
    <row r="5714" spans="1:5" ht="15" customHeight="1" outlineLevel="2" x14ac:dyDescent="0.25">
      <c r="A5714" s="3" t="str">
        <f>HYPERLINK("http://mystore1.ru/price_items/search?utf8=%E2%9C%93&amp;oem=5661BGNR","5661BGNR")</f>
        <v>5661BGNR</v>
      </c>
      <c r="B5714" s="1" t="s">
        <v>10905</v>
      </c>
      <c r="C5714" s="9" t="s">
        <v>1499</v>
      </c>
      <c r="D5714" s="14" t="s">
        <v>10906</v>
      </c>
      <c r="E5714" s="9" t="s">
        <v>30</v>
      </c>
    </row>
    <row r="5715" spans="1:5" ht="15" customHeight="1" outlineLevel="2" x14ac:dyDescent="0.25">
      <c r="A5715" s="3" t="str">
        <f>HYPERLINK("http://mystore1.ru/price_items/search?utf8=%E2%9C%93&amp;oem=5661LGNR3FD","5661LGNR3FD")</f>
        <v>5661LGNR3FD</v>
      </c>
      <c r="B5715" s="1" t="s">
        <v>10907</v>
      </c>
      <c r="C5715" s="9" t="s">
        <v>1499</v>
      </c>
      <c r="D5715" s="14" t="s">
        <v>10908</v>
      </c>
      <c r="E5715" s="9" t="s">
        <v>11</v>
      </c>
    </row>
    <row r="5716" spans="1:5" ht="15" customHeight="1" outlineLevel="2" x14ac:dyDescent="0.25">
      <c r="A5716" s="3" t="str">
        <f>HYPERLINK("http://mystore1.ru/price_items/search?utf8=%E2%9C%93&amp;oem=5661LGNR5FD","5661LGNR5FD")</f>
        <v>5661LGNR5FD</v>
      </c>
      <c r="B5716" s="1" t="s">
        <v>10909</v>
      </c>
      <c r="C5716" s="9" t="s">
        <v>1499</v>
      </c>
      <c r="D5716" s="14" t="s">
        <v>10910</v>
      </c>
      <c r="E5716" s="9" t="s">
        <v>11</v>
      </c>
    </row>
    <row r="5717" spans="1:5" ht="15" customHeight="1" outlineLevel="2" x14ac:dyDescent="0.25">
      <c r="A5717" s="3" t="str">
        <f>HYPERLINK("http://mystore1.ru/price_items/search?utf8=%E2%9C%93&amp;oem=5661LGNR5RD","5661LGNR5RD")</f>
        <v>5661LGNR5RD</v>
      </c>
      <c r="B5717" s="1" t="s">
        <v>10911</v>
      </c>
      <c r="C5717" s="9" t="s">
        <v>1499</v>
      </c>
      <c r="D5717" s="14" t="s">
        <v>10912</v>
      </c>
      <c r="E5717" s="9" t="s">
        <v>11</v>
      </c>
    </row>
    <row r="5718" spans="1:5" ht="15" customHeight="1" outlineLevel="2" x14ac:dyDescent="0.25">
      <c r="A5718" s="3" t="str">
        <f>HYPERLINK("http://mystore1.ru/price_items/search?utf8=%E2%9C%93&amp;oem=5661LGNR5RV","5661LGNR5RV")</f>
        <v>5661LGNR5RV</v>
      </c>
      <c r="B5718" s="1" t="s">
        <v>10913</v>
      </c>
      <c r="C5718" s="9" t="s">
        <v>1499</v>
      </c>
      <c r="D5718" s="14" t="s">
        <v>10914</v>
      </c>
      <c r="E5718" s="9" t="s">
        <v>11</v>
      </c>
    </row>
    <row r="5719" spans="1:5" ht="15" customHeight="1" outlineLevel="2" x14ac:dyDescent="0.25">
      <c r="A5719" s="3" t="str">
        <f>HYPERLINK("http://mystore1.ru/price_items/search?utf8=%E2%9C%93&amp;oem=5661RGNR3FD","5661RGNR3FD")</f>
        <v>5661RGNR3FD</v>
      </c>
      <c r="B5719" s="1" t="s">
        <v>10915</v>
      </c>
      <c r="C5719" s="9" t="s">
        <v>1499</v>
      </c>
      <c r="D5719" s="14" t="s">
        <v>10916</v>
      </c>
      <c r="E5719" s="9" t="s">
        <v>11</v>
      </c>
    </row>
    <row r="5720" spans="1:5" ht="15" customHeight="1" outlineLevel="2" x14ac:dyDescent="0.25">
      <c r="A5720" s="3" t="str">
        <f>HYPERLINK("http://mystore1.ru/price_items/search?utf8=%E2%9C%93&amp;oem=5661RGNR5FD","5661RGNR5FD")</f>
        <v>5661RGNR5FD</v>
      </c>
      <c r="B5720" s="1" t="s">
        <v>10917</v>
      </c>
      <c r="C5720" s="9" t="s">
        <v>1499</v>
      </c>
      <c r="D5720" s="14" t="s">
        <v>10916</v>
      </c>
      <c r="E5720" s="9" t="s">
        <v>11</v>
      </c>
    </row>
    <row r="5721" spans="1:5" ht="15" customHeight="1" outlineLevel="2" x14ac:dyDescent="0.25">
      <c r="A5721" s="3" t="str">
        <f>HYPERLINK("http://mystore1.ru/price_items/search?utf8=%E2%9C%93&amp;oem=5661RGNR5RD","5661RGNR5RD")</f>
        <v>5661RGNR5RD</v>
      </c>
      <c r="B5721" s="1" t="s">
        <v>10918</v>
      </c>
      <c r="C5721" s="9" t="s">
        <v>1499</v>
      </c>
      <c r="D5721" s="14" t="s">
        <v>10919</v>
      </c>
      <c r="E5721" s="9" t="s">
        <v>11</v>
      </c>
    </row>
    <row r="5722" spans="1:5" ht="15" customHeight="1" outlineLevel="2" x14ac:dyDescent="0.25">
      <c r="A5722" s="3" t="str">
        <f>HYPERLINK("http://mystore1.ru/price_items/search?utf8=%E2%9C%93&amp;oem=5661RGNR5RV","5661RGNR5RV")</f>
        <v>5661RGNR5RV</v>
      </c>
      <c r="B5722" s="1" t="s">
        <v>10920</v>
      </c>
      <c r="C5722" s="9" t="s">
        <v>1499</v>
      </c>
      <c r="D5722" s="14" t="s">
        <v>10921</v>
      </c>
      <c r="E5722" s="9" t="s">
        <v>11</v>
      </c>
    </row>
    <row r="5723" spans="1:5" outlineLevel="1" x14ac:dyDescent="0.25">
      <c r="A5723" s="2"/>
      <c r="B5723" s="6" t="s">
        <v>10922</v>
      </c>
      <c r="C5723" s="8"/>
      <c r="D5723" s="8"/>
      <c r="E5723" s="8"/>
    </row>
    <row r="5724" spans="1:5" ht="15" customHeight="1" outlineLevel="2" x14ac:dyDescent="0.25">
      <c r="A5724" s="3" t="str">
        <f>HYPERLINK("http://mystore1.ru/price_items/search?utf8=%E2%9C%93&amp;oem=5636ABLBL","5636ABLBL")</f>
        <v>5636ABLBL</v>
      </c>
      <c r="B5724" s="1" t="s">
        <v>10923</v>
      </c>
      <c r="C5724" s="9" t="s">
        <v>307</v>
      </c>
      <c r="D5724" s="14" t="s">
        <v>10924</v>
      </c>
      <c r="E5724" s="9" t="s">
        <v>8</v>
      </c>
    </row>
    <row r="5725" spans="1:5" outlineLevel="1" x14ac:dyDescent="0.25">
      <c r="A5725" s="2"/>
      <c r="B5725" s="6" t="s">
        <v>10925</v>
      </c>
      <c r="C5725" s="47"/>
      <c r="D5725" s="8"/>
      <c r="E5725" s="8"/>
    </row>
    <row r="5726" spans="1:5" ht="15" customHeight="1" outlineLevel="2" x14ac:dyDescent="0.25">
      <c r="A5726" s="3" t="str">
        <f>HYPERLINK("http://mystore1.ru/price_items/search?utf8=%E2%9C%93&amp;oem=5645ABL","5645ABL")</f>
        <v>5645ABL</v>
      </c>
      <c r="B5726" s="1" t="s">
        <v>10926</v>
      </c>
      <c r="C5726" s="9" t="s">
        <v>3218</v>
      </c>
      <c r="D5726" s="14" t="s">
        <v>10927</v>
      </c>
      <c r="E5726" s="9" t="s">
        <v>8</v>
      </c>
    </row>
    <row r="5727" spans="1:5" ht="15" customHeight="1" outlineLevel="2" x14ac:dyDescent="0.25">
      <c r="A5727" s="3" t="str">
        <f>HYPERLINK("http://mystore1.ru/price_items/search?utf8=%E2%9C%93&amp;oem=5645AGN","5645AGN")</f>
        <v>5645AGN</v>
      </c>
      <c r="B5727" s="1" t="s">
        <v>10928</v>
      </c>
      <c r="C5727" s="9" t="s">
        <v>3218</v>
      </c>
      <c r="D5727" s="14" t="s">
        <v>10929</v>
      </c>
      <c r="E5727" s="9" t="s">
        <v>8</v>
      </c>
    </row>
    <row r="5728" spans="1:5" ht="15" customHeight="1" outlineLevel="2" x14ac:dyDescent="0.25">
      <c r="A5728" s="3" t="str">
        <f>HYPERLINK("http://mystore1.ru/price_items/search?utf8=%E2%9C%93&amp;oem=5645AGNBL","5645AGNBL")</f>
        <v>5645AGNBL</v>
      </c>
      <c r="B5728" s="1" t="s">
        <v>10930</v>
      </c>
      <c r="C5728" s="9" t="s">
        <v>3218</v>
      </c>
      <c r="D5728" s="14" t="s">
        <v>10931</v>
      </c>
      <c r="E5728" s="9" t="s">
        <v>8</v>
      </c>
    </row>
    <row r="5729" spans="1:5" ht="15" customHeight="1" outlineLevel="2" x14ac:dyDescent="0.25">
      <c r="A5729" s="3" t="str">
        <f>HYPERLINK("http://mystore1.ru/price_items/search?utf8=%E2%9C%93&amp;oem=5645ASMV","5645ASMV")</f>
        <v>5645ASMV</v>
      </c>
      <c r="B5729" s="1" t="s">
        <v>10932</v>
      </c>
      <c r="C5729" s="9" t="s">
        <v>25</v>
      </c>
      <c r="D5729" s="14" t="s">
        <v>10933</v>
      </c>
      <c r="E5729" s="9" t="s">
        <v>27</v>
      </c>
    </row>
    <row r="5730" spans="1:5" ht="15" customHeight="1" outlineLevel="2" x14ac:dyDescent="0.25">
      <c r="A5730" s="3" t="str">
        <f>HYPERLINK("http://mystore1.ru/price_items/search?utf8=%E2%9C%93&amp;oem=5645BGNV","5645BGNV")</f>
        <v>5645BGNV</v>
      </c>
      <c r="B5730" s="1" t="s">
        <v>10934</v>
      </c>
      <c r="C5730" s="9" t="s">
        <v>3218</v>
      </c>
      <c r="D5730" s="14" t="s">
        <v>10935</v>
      </c>
      <c r="E5730" s="9" t="s">
        <v>30</v>
      </c>
    </row>
    <row r="5731" spans="1:5" ht="15" customHeight="1" outlineLevel="2" x14ac:dyDescent="0.25">
      <c r="A5731" s="3" t="str">
        <f>HYPERLINK("http://mystore1.ru/price_items/search?utf8=%E2%9C%93&amp;oem=5645LBLV5FD","5645LBLV5FD")</f>
        <v>5645LBLV5FD</v>
      </c>
      <c r="B5731" s="1" t="s">
        <v>10936</v>
      </c>
      <c r="C5731" s="9" t="s">
        <v>3218</v>
      </c>
      <c r="D5731" s="14" t="s">
        <v>10937</v>
      </c>
      <c r="E5731" s="9" t="s">
        <v>11</v>
      </c>
    </row>
    <row r="5732" spans="1:5" ht="15" customHeight="1" outlineLevel="2" x14ac:dyDescent="0.25">
      <c r="A5732" s="3" t="str">
        <f>HYPERLINK("http://mystore1.ru/price_items/search?utf8=%E2%9C%93&amp;oem=5645LGNV5FD","5645LGNV5FD")</f>
        <v>5645LGNV5FD</v>
      </c>
      <c r="B5732" s="1" t="s">
        <v>10938</v>
      </c>
      <c r="C5732" s="9" t="s">
        <v>3218</v>
      </c>
      <c r="D5732" s="14" t="s">
        <v>10939</v>
      </c>
      <c r="E5732" s="9" t="s">
        <v>11</v>
      </c>
    </row>
    <row r="5733" spans="1:5" ht="15" customHeight="1" outlineLevel="2" x14ac:dyDescent="0.25">
      <c r="A5733" s="3" t="str">
        <f>HYPERLINK("http://mystore1.ru/price_items/search?utf8=%E2%9C%93&amp;oem=5645RGNV5FD","5645RGNV5FD")</f>
        <v>5645RGNV5FD</v>
      </c>
      <c r="B5733" s="1" t="s">
        <v>10940</v>
      </c>
      <c r="C5733" s="9" t="s">
        <v>3218</v>
      </c>
      <c r="D5733" s="14" t="s">
        <v>10941</v>
      </c>
      <c r="E5733" s="9" t="s">
        <v>11</v>
      </c>
    </row>
    <row r="5734" spans="1:5" ht="15" customHeight="1" outlineLevel="2" x14ac:dyDescent="0.25">
      <c r="A5734" s="3" t="str">
        <f>HYPERLINK("http://mystore1.ru/price_items/search?utf8=%E2%9C%93&amp;oem=5645RBLV5FD","5645RBLV5FD")</f>
        <v>5645RBLV5FD</v>
      </c>
      <c r="B5734" s="1" t="s">
        <v>10942</v>
      </c>
      <c r="C5734" s="9" t="s">
        <v>3218</v>
      </c>
      <c r="D5734" s="14" t="s">
        <v>10943</v>
      </c>
      <c r="E5734" s="9" t="s">
        <v>11</v>
      </c>
    </row>
    <row r="5735" spans="1:5" outlineLevel="1" x14ac:dyDescent="0.25">
      <c r="A5735" s="2"/>
      <c r="B5735" s="6" t="s">
        <v>10944</v>
      </c>
      <c r="C5735" s="8"/>
      <c r="D5735" s="8"/>
      <c r="E5735" s="8"/>
    </row>
    <row r="5736" spans="1:5" ht="15" customHeight="1" outlineLevel="2" x14ac:dyDescent="0.25">
      <c r="A5736" s="3" t="str">
        <f>HYPERLINK("http://mystore1.ru/price_items/search?utf8=%E2%9C%93&amp;oem=5638ABL","5638ABL")</f>
        <v>5638ABL</v>
      </c>
      <c r="B5736" s="1" t="s">
        <v>10945</v>
      </c>
      <c r="C5736" s="9" t="s">
        <v>865</v>
      </c>
      <c r="D5736" s="14" t="s">
        <v>10946</v>
      </c>
      <c r="E5736" s="9" t="s">
        <v>8</v>
      </c>
    </row>
    <row r="5737" spans="1:5" ht="15" customHeight="1" outlineLevel="2" x14ac:dyDescent="0.25">
      <c r="A5737" s="3" t="str">
        <f>HYPERLINK("http://mystore1.ru/price_items/search?utf8=%E2%9C%93&amp;oem=5638AGN","5638AGN")</f>
        <v>5638AGN</v>
      </c>
      <c r="B5737" s="1" t="s">
        <v>10947</v>
      </c>
      <c r="C5737" s="9" t="s">
        <v>865</v>
      </c>
      <c r="D5737" s="14" t="s">
        <v>10948</v>
      </c>
      <c r="E5737" s="9" t="s">
        <v>8</v>
      </c>
    </row>
    <row r="5738" spans="1:5" ht="15" customHeight="1" outlineLevel="2" x14ac:dyDescent="0.25">
      <c r="A5738" s="3" t="str">
        <f>HYPERLINK("http://mystore1.ru/price_items/search?utf8=%E2%9C%93&amp;oem=5638ASMV","5638ASMV")</f>
        <v>5638ASMV</v>
      </c>
      <c r="B5738" s="1" t="s">
        <v>10949</v>
      </c>
      <c r="C5738" s="9" t="s">
        <v>25</v>
      </c>
      <c r="D5738" s="14" t="s">
        <v>10950</v>
      </c>
      <c r="E5738" s="9" t="s">
        <v>27</v>
      </c>
    </row>
    <row r="5739" spans="1:5" outlineLevel="1" x14ac:dyDescent="0.25">
      <c r="A5739" s="2"/>
      <c r="B5739" s="6" t="s">
        <v>10951</v>
      </c>
      <c r="C5739" s="8"/>
      <c r="D5739" s="8"/>
      <c r="E5739" s="8"/>
    </row>
    <row r="5740" spans="1:5" ht="15" customHeight="1" outlineLevel="2" x14ac:dyDescent="0.25">
      <c r="A5740" s="3" t="str">
        <f>HYPERLINK("http://mystore1.ru/price_items/search?utf8=%E2%9C%93&amp;oem=5662AGN","5662AGN")</f>
        <v>5662AGN</v>
      </c>
      <c r="B5740" s="1" t="s">
        <v>10952</v>
      </c>
      <c r="C5740" s="9" t="s">
        <v>4714</v>
      </c>
      <c r="D5740" s="14" t="s">
        <v>10953</v>
      </c>
      <c r="E5740" s="9" t="s">
        <v>8</v>
      </c>
    </row>
    <row r="5741" spans="1:5" outlineLevel="1" x14ac:dyDescent="0.25">
      <c r="A5741" s="2"/>
      <c r="B5741" s="6" t="s">
        <v>10954</v>
      </c>
      <c r="C5741" s="8"/>
      <c r="D5741" s="8"/>
      <c r="E5741" s="8"/>
    </row>
    <row r="5742" spans="1:5" ht="15" customHeight="1" outlineLevel="2" x14ac:dyDescent="0.25">
      <c r="A5742" s="3" t="str">
        <f>HYPERLINK("http://mystore1.ru/price_items/search?utf8=%E2%9C%93&amp;oem=5655AGN","5655AGN")</f>
        <v>5655AGN</v>
      </c>
      <c r="B5742" s="1" t="s">
        <v>10955</v>
      </c>
      <c r="C5742" s="9" t="s">
        <v>981</v>
      </c>
      <c r="D5742" s="14" t="s">
        <v>10956</v>
      </c>
      <c r="E5742" s="9" t="s">
        <v>8</v>
      </c>
    </row>
    <row r="5743" spans="1:5" ht="15" customHeight="1" outlineLevel="2" x14ac:dyDescent="0.25">
      <c r="A5743" s="3" t="str">
        <f>HYPERLINK("http://mystore1.ru/price_items/search?utf8=%E2%9C%93&amp;oem=5655AGNGN","5655AGNGN")</f>
        <v>5655AGNGN</v>
      </c>
      <c r="B5743" s="1" t="s">
        <v>10957</v>
      </c>
      <c r="C5743" s="9" t="s">
        <v>981</v>
      </c>
      <c r="D5743" s="14" t="s">
        <v>10958</v>
      </c>
      <c r="E5743" s="9" t="s">
        <v>8</v>
      </c>
    </row>
    <row r="5744" spans="1:5" ht="15" customHeight="1" outlineLevel="2" x14ac:dyDescent="0.25">
      <c r="A5744" s="3" t="str">
        <f>HYPERLINK("http://mystore1.ru/price_items/search?utf8=%E2%9C%93&amp;oem=5655ASMVT","5655ASMVT")</f>
        <v>5655ASMVT</v>
      </c>
      <c r="B5744" s="1" t="s">
        <v>10959</v>
      </c>
      <c r="C5744" s="9" t="s">
        <v>25</v>
      </c>
      <c r="D5744" s="14" t="s">
        <v>10960</v>
      </c>
      <c r="E5744" s="9" t="s">
        <v>27</v>
      </c>
    </row>
    <row r="5745" spans="1:5" ht="15" customHeight="1" outlineLevel="2" x14ac:dyDescent="0.25">
      <c r="A5745" s="3" t="str">
        <f>HYPERLINK("http://mystore1.ru/price_items/search?utf8=%E2%9C%93&amp;oem=5655BGNV","5655BGNV")</f>
        <v>5655BGNV</v>
      </c>
      <c r="B5745" s="1" t="s">
        <v>10961</v>
      </c>
      <c r="C5745" s="9" t="s">
        <v>981</v>
      </c>
      <c r="D5745" s="14" t="s">
        <v>10962</v>
      </c>
      <c r="E5745" s="9" t="s">
        <v>30</v>
      </c>
    </row>
    <row r="5746" spans="1:5" ht="15" customHeight="1" outlineLevel="2" x14ac:dyDescent="0.25">
      <c r="A5746" s="3" t="str">
        <f>HYPERLINK("http://mystore1.ru/price_items/search?utf8=%E2%9C%93&amp;oem=5655LGNV5FD","5655LGNV5FD")</f>
        <v>5655LGNV5FD</v>
      </c>
      <c r="B5746" s="1" t="s">
        <v>10963</v>
      </c>
      <c r="C5746" s="9" t="s">
        <v>981</v>
      </c>
      <c r="D5746" s="14" t="s">
        <v>10964</v>
      </c>
      <c r="E5746" s="9" t="s">
        <v>11</v>
      </c>
    </row>
    <row r="5747" spans="1:5" ht="15" customHeight="1" outlineLevel="2" x14ac:dyDescent="0.25">
      <c r="A5747" s="3" t="str">
        <f>HYPERLINK("http://mystore1.ru/price_items/search?utf8=%E2%9C%93&amp;oem=5655LGNV5RD","5655LGNV5RD")</f>
        <v>5655LGNV5RD</v>
      </c>
      <c r="B5747" s="1" t="s">
        <v>10965</v>
      </c>
      <c r="C5747" s="9" t="s">
        <v>981</v>
      </c>
      <c r="D5747" s="14" t="s">
        <v>10966</v>
      </c>
      <c r="E5747" s="9" t="s">
        <v>11</v>
      </c>
    </row>
    <row r="5748" spans="1:5" ht="15" customHeight="1" outlineLevel="2" x14ac:dyDescent="0.25">
      <c r="A5748" s="3" t="str">
        <f>HYPERLINK("http://mystore1.ru/price_items/search?utf8=%E2%9C%93&amp;oem=5655LGNV5RQZ","5655LGNV5RQZ")</f>
        <v>5655LGNV5RQZ</v>
      </c>
      <c r="B5748" s="1" t="s">
        <v>10967</v>
      </c>
      <c r="C5748" s="9" t="s">
        <v>981</v>
      </c>
      <c r="D5748" s="14" t="s">
        <v>10968</v>
      </c>
      <c r="E5748" s="9" t="s">
        <v>11</v>
      </c>
    </row>
    <row r="5749" spans="1:5" ht="15" customHeight="1" outlineLevel="2" x14ac:dyDescent="0.25">
      <c r="A5749" s="3" t="str">
        <f>HYPERLINK("http://mystore1.ru/price_items/search?utf8=%E2%9C%93&amp;oem=5655RGNV5FD","5655RGNV5FD")</f>
        <v>5655RGNV5FD</v>
      </c>
      <c r="B5749" s="1" t="s">
        <v>10969</v>
      </c>
      <c r="C5749" s="9" t="s">
        <v>981</v>
      </c>
      <c r="D5749" s="14" t="s">
        <v>10970</v>
      </c>
      <c r="E5749" s="9" t="s">
        <v>11</v>
      </c>
    </row>
    <row r="5750" spans="1:5" ht="15" customHeight="1" outlineLevel="2" x14ac:dyDescent="0.25">
      <c r="A5750" s="3" t="str">
        <f>HYPERLINK("http://mystore1.ru/price_items/search?utf8=%E2%9C%93&amp;oem=5655RGNV5RD","5655RGNV5RD")</f>
        <v>5655RGNV5RD</v>
      </c>
      <c r="B5750" s="1" t="s">
        <v>10971</v>
      </c>
      <c r="C5750" s="9" t="s">
        <v>981</v>
      </c>
      <c r="D5750" s="14" t="s">
        <v>10972</v>
      </c>
      <c r="E5750" s="9" t="s">
        <v>11</v>
      </c>
    </row>
    <row r="5751" spans="1:5" ht="15" customHeight="1" outlineLevel="2" x14ac:dyDescent="0.25">
      <c r="A5751" s="3" t="str">
        <f>HYPERLINK("http://mystore1.ru/price_items/search?utf8=%E2%9C%93&amp;oem=5655RGNV5RQZ","5655RGNV5RQZ")</f>
        <v>5655RGNV5RQZ</v>
      </c>
      <c r="B5751" s="1" t="s">
        <v>10973</v>
      </c>
      <c r="C5751" s="9" t="s">
        <v>981</v>
      </c>
      <c r="D5751" s="14" t="s">
        <v>10974</v>
      </c>
      <c r="E5751" s="9" t="s">
        <v>11</v>
      </c>
    </row>
    <row r="5752" spans="1:5" outlineLevel="1" x14ac:dyDescent="0.25">
      <c r="A5752" s="2"/>
      <c r="B5752" s="6" t="s">
        <v>10975</v>
      </c>
      <c r="C5752" s="8"/>
      <c r="D5752" s="8"/>
      <c r="E5752" s="8"/>
    </row>
    <row r="5753" spans="1:5" ht="15" customHeight="1" outlineLevel="2" x14ac:dyDescent="0.25">
      <c r="A5753" s="3" t="str">
        <f>HYPERLINK("http://mystore1.ru/price_items/search?utf8=%E2%9C%93&amp;oem=5623ABL","5623ABL")</f>
        <v>5623ABL</v>
      </c>
      <c r="B5753" s="1" t="s">
        <v>10976</v>
      </c>
      <c r="C5753" s="9" t="s">
        <v>5688</v>
      </c>
      <c r="D5753" s="14" t="s">
        <v>10977</v>
      </c>
      <c r="E5753" s="9" t="s">
        <v>8</v>
      </c>
    </row>
    <row r="5754" spans="1:5" ht="15" customHeight="1" outlineLevel="2" x14ac:dyDescent="0.25">
      <c r="A5754" s="3" t="str">
        <f>HYPERLINK("http://mystore1.ru/price_items/search?utf8=%E2%9C%93&amp;oem=5623AKMV","5623AKMV")</f>
        <v>5623AKMV</v>
      </c>
      <c r="B5754" s="1" t="s">
        <v>10978</v>
      </c>
      <c r="C5754" s="9" t="s">
        <v>25</v>
      </c>
      <c r="D5754" s="14" t="s">
        <v>10979</v>
      </c>
      <c r="E5754" s="9" t="s">
        <v>27</v>
      </c>
    </row>
    <row r="5755" spans="1:5" outlineLevel="1" x14ac:dyDescent="0.25">
      <c r="A5755" s="2"/>
      <c r="B5755" s="6" t="s">
        <v>10980</v>
      </c>
      <c r="C5755" s="8"/>
      <c r="D5755" s="8"/>
      <c r="E5755" s="8"/>
    </row>
    <row r="5756" spans="1:5" outlineLevel="2" x14ac:dyDescent="0.25">
      <c r="A5756" s="3" t="str">
        <f>HYPERLINK("http://mystore1.ru/price_items/search?utf8=%E2%9C%93&amp;oem=5639ABL","5639ABL")</f>
        <v>5639ABL</v>
      </c>
      <c r="B5756" s="1" t="s">
        <v>10981</v>
      </c>
      <c r="C5756" s="9" t="s">
        <v>865</v>
      </c>
      <c r="D5756" s="14" t="s">
        <v>10982</v>
      </c>
      <c r="E5756" s="9" t="s">
        <v>8</v>
      </c>
    </row>
    <row r="5757" spans="1:5" outlineLevel="2" x14ac:dyDescent="0.25">
      <c r="A5757" s="3" t="str">
        <f>HYPERLINK("http://mystore1.ru/price_items/search?utf8=%E2%9C%93&amp;oem=5639AGN","5639AGN")</f>
        <v>5639AGN</v>
      </c>
      <c r="B5757" s="1" t="s">
        <v>10983</v>
      </c>
      <c r="C5757" s="9" t="s">
        <v>865</v>
      </c>
      <c r="D5757" s="14" t="s">
        <v>10984</v>
      </c>
      <c r="E5757" s="9" t="s">
        <v>8</v>
      </c>
    </row>
    <row r="5758" spans="1:5" outlineLevel="2" x14ac:dyDescent="0.25">
      <c r="A5758" s="3" t="str">
        <f>HYPERLINK("http://mystore1.ru/price_items/search?utf8=%E2%9C%93&amp;oem=5639BBLV","5639BBLV")</f>
        <v>5639BBLV</v>
      </c>
      <c r="B5758" s="1" t="s">
        <v>10985</v>
      </c>
      <c r="C5758" s="9" t="s">
        <v>865</v>
      </c>
      <c r="D5758" s="14" t="s">
        <v>10986</v>
      </c>
      <c r="E5758" s="9" t="s">
        <v>30</v>
      </c>
    </row>
    <row r="5759" spans="1:5" outlineLevel="2" x14ac:dyDescent="0.25">
      <c r="A5759" s="3" t="str">
        <f>HYPERLINK("http://mystore1.ru/price_items/search?utf8=%E2%9C%93&amp;oem=5639LBLV5FD","5639LBLV5FD")</f>
        <v>5639LBLV5FD</v>
      </c>
      <c r="B5759" s="1" t="s">
        <v>10987</v>
      </c>
      <c r="C5759" s="9" t="s">
        <v>865</v>
      </c>
      <c r="D5759" s="14" t="s">
        <v>10988</v>
      </c>
      <c r="E5759" s="9" t="s">
        <v>11</v>
      </c>
    </row>
    <row r="5760" spans="1:5" outlineLevel="2" x14ac:dyDescent="0.25">
      <c r="A5760" s="3" t="str">
        <f>HYPERLINK("http://mystore1.ru/price_items/search?utf8=%E2%9C%93&amp;oem=5639LGNV5FD","5639LGNV5FD")</f>
        <v>5639LGNV5FD</v>
      </c>
      <c r="B5760" s="1" t="s">
        <v>10989</v>
      </c>
      <c r="C5760" s="9" t="s">
        <v>865</v>
      </c>
      <c r="D5760" s="14" t="s">
        <v>10990</v>
      </c>
      <c r="E5760" s="9" t="s">
        <v>11</v>
      </c>
    </row>
    <row r="5761" spans="1:5" outlineLevel="2" x14ac:dyDescent="0.25">
      <c r="A5761" s="3" t="str">
        <f>HYPERLINK("http://mystore1.ru/price_items/search?utf8=%E2%9C%93&amp;oem=5639RBLV5FD","5639RBLV5FD")</f>
        <v>5639RBLV5FD</v>
      </c>
      <c r="B5761" s="1" t="s">
        <v>10991</v>
      </c>
      <c r="C5761" s="9" t="s">
        <v>865</v>
      </c>
      <c r="D5761" s="14" t="s">
        <v>10992</v>
      </c>
      <c r="E5761" s="9" t="s">
        <v>11</v>
      </c>
    </row>
    <row r="5762" spans="1:5" outlineLevel="2" x14ac:dyDescent="0.25">
      <c r="A5762" s="3" t="str">
        <f>HYPERLINK("http://mystore1.ru/price_items/search?utf8=%E2%9C%93&amp;oem=5639RGNV5FD","5639RGNV5FD")</f>
        <v>5639RGNV5FD</v>
      </c>
      <c r="B5762" s="1" t="s">
        <v>10993</v>
      </c>
      <c r="C5762" s="9" t="s">
        <v>865</v>
      </c>
      <c r="D5762" s="14" t="s">
        <v>10994</v>
      </c>
      <c r="E5762" s="9" t="s">
        <v>11</v>
      </c>
    </row>
    <row r="5763" spans="1:5" outlineLevel="1" x14ac:dyDescent="0.25">
      <c r="A5763" s="2"/>
      <c r="B5763" s="6" t="s">
        <v>10995</v>
      </c>
      <c r="C5763" s="50"/>
      <c r="D5763" s="50"/>
      <c r="E5763" s="50"/>
    </row>
    <row r="5764" spans="1:5" outlineLevel="2" x14ac:dyDescent="0.25">
      <c r="A5764" s="3" t="str">
        <f>HYPERLINK("http://mystore1.ru/price_items/search?utf8=%E2%9C%93&amp;oem=5658AGN","5658AGN")</f>
        <v>5658AGN</v>
      </c>
      <c r="B5764" s="1" t="s">
        <v>10996</v>
      </c>
      <c r="C5764" s="9" t="s">
        <v>1154</v>
      </c>
      <c r="D5764" s="14" t="s">
        <v>10997</v>
      </c>
      <c r="E5764" s="9" t="s">
        <v>8</v>
      </c>
    </row>
    <row r="5765" spans="1:5" outlineLevel="2" x14ac:dyDescent="0.25">
      <c r="A5765" s="3" t="str">
        <f>HYPERLINK("http://mystore1.ru/price_items/search?utf8=%E2%9C%93&amp;oem=5658AGNBL","5658AGNBL")</f>
        <v>5658AGNBL</v>
      </c>
      <c r="B5765" s="1" t="s">
        <v>10998</v>
      </c>
      <c r="C5765" s="9" t="s">
        <v>1154</v>
      </c>
      <c r="D5765" s="14" t="s">
        <v>10999</v>
      </c>
      <c r="E5765" s="9" t="s">
        <v>8</v>
      </c>
    </row>
    <row r="5766" spans="1:5" outlineLevel="2" x14ac:dyDescent="0.25">
      <c r="A5766" s="3" t="str">
        <f>HYPERLINK("http://mystore1.ru/price_items/search?utf8=%E2%9C%93&amp;oem=5658ASMVT","5658ASMVT")</f>
        <v>5658ASMVT</v>
      </c>
      <c r="B5766" s="1" t="s">
        <v>11000</v>
      </c>
      <c r="C5766" s="9" t="s">
        <v>25</v>
      </c>
      <c r="D5766" s="14" t="s">
        <v>11001</v>
      </c>
      <c r="E5766" s="9" t="s">
        <v>27</v>
      </c>
    </row>
    <row r="5767" spans="1:5" outlineLevel="2" x14ac:dyDescent="0.25">
      <c r="A5767" s="3" t="str">
        <f>HYPERLINK("http://mystore1.ru/price_items/search?utf8=%E2%9C%93&amp;oem=5658LGNV5FD","5658LGNV5FD")</f>
        <v>5658LGNV5FD</v>
      </c>
      <c r="B5767" s="1" t="s">
        <v>11002</v>
      </c>
      <c r="C5767" s="9" t="s">
        <v>1154</v>
      </c>
      <c r="D5767" s="14" t="s">
        <v>11003</v>
      </c>
      <c r="E5767" s="9" t="s">
        <v>11</v>
      </c>
    </row>
    <row r="5768" spans="1:5" outlineLevel="2" x14ac:dyDescent="0.25">
      <c r="A5768" s="3" t="str">
        <f>HYPERLINK("http://mystore1.ru/price_items/search?utf8=%E2%9C%93&amp;oem=5658RGNV5FD","5658RGNV5FD")</f>
        <v>5658RGNV5FD</v>
      </c>
      <c r="B5768" s="1" t="s">
        <v>11004</v>
      </c>
      <c r="C5768" s="9" t="s">
        <v>1154</v>
      </c>
      <c r="D5768" s="14" t="s">
        <v>11005</v>
      </c>
      <c r="E5768" s="9" t="s">
        <v>11</v>
      </c>
    </row>
    <row r="5769" spans="1:5" outlineLevel="2" x14ac:dyDescent="0.25">
      <c r="A5769" s="3" t="str">
        <f>HYPERLINK("http://mystore1.ru/price_items/search?utf8=%E2%9C%93&amp;oem=5658RGNV5RD","5658RGNV5RD")</f>
        <v>5658RGNV5RD</v>
      </c>
      <c r="B5769" s="1" t="s">
        <v>11006</v>
      </c>
      <c r="C5769" s="9" t="s">
        <v>1154</v>
      </c>
      <c r="D5769" s="14" t="s">
        <v>11007</v>
      </c>
      <c r="E5769" s="9" t="s">
        <v>11</v>
      </c>
    </row>
    <row r="5770" spans="1:5" x14ac:dyDescent="0.25">
      <c r="A5770" s="61" t="s">
        <v>6960</v>
      </c>
      <c r="B5770" s="61"/>
      <c r="C5770" s="61"/>
      <c r="D5770" s="61"/>
      <c r="E5770" s="61"/>
    </row>
    <row r="5771" spans="1:5" outlineLevel="1" x14ac:dyDescent="0.25">
      <c r="A5771" s="2"/>
      <c r="B5771" s="6" t="s">
        <v>11008</v>
      </c>
      <c r="C5771" s="8"/>
      <c r="D5771" s="8"/>
      <c r="E5771" s="8"/>
    </row>
    <row r="5772" spans="1:5" ht="15" customHeight="1" outlineLevel="2" x14ac:dyDescent="0.25">
      <c r="A5772" s="3" t="str">
        <f>HYPERLINK("http://mystore1.ru/price_items/search?utf8=%E2%9C%93&amp;oem=2300AGN","2300AGN")</f>
        <v>2300AGN</v>
      </c>
      <c r="B5772" s="1" t="s">
        <v>11009</v>
      </c>
      <c r="C5772" s="9" t="s">
        <v>1362</v>
      </c>
      <c r="D5772" s="14" t="s">
        <v>11010</v>
      </c>
      <c r="E5772" s="9" t="s">
        <v>8</v>
      </c>
    </row>
    <row r="5773" spans="1:5" outlineLevel="1" x14ac:dyDescent="0.25">
      <c r="A5773" s="2"/>
      <c r="B5773" s="6" t="s">
        <v>11011</v>
      </c>
      <c r="C5773" s="8"/>
      <c r="D5773" s="8"/>
      <c r="E5773" s="8"/>
    </row>
    <row r="5774" spans="1:5" outlineLevel="2" x14ac:dyDescent="0.25">
      <c r="A5774" s="3" t="str">
        <f>HYPERLINK("http://mystore1.ru/price_items/search?utf8=%E2%9C%93&amp;oem=59A9AGSBLVW","59A9AGSBLVW")</f>
        <v>59A9AGSBLVW</v>
      </c>
      <c r="B5774" s="1" t="s">
        <v>11012</v>
      </c>
      <c r="C5774" s="9" t="s">
        <v>1722</v>
      </c>
      <c r="D5774" s="14" t="s">
        <v>11013</v>
      </c>
      <c r="E5774" s="9" t="s">
        <v>8</v>
      </c>
    </row>
    <row r="5775" spans="1:5" x14ac:dyDescent="0.25">
      <c r="A5775" s="61" t="s">
        <v>11014</v>
      </c>
      <c r="B5775" s="61"/>
      <c r="C5775" s="61"/>
      <c r="D5775" s="61"/>
      <c r="E5775" s="61"/>
    </row>
    <row r="5776" spans="1:5" outlineLevel="1" x14ac:dyDescent="0.25">
      <c r="A5776" s="2"/>
      <c r="B5776" s="6" t="s">
        <v>11015</v>
      </c>
      <c r="C5776" s="8"/>
      <c r="D5776" s="8"/>
      <c r="E5776" s="8"/>
    </row>
    <row r="5777" spans="1:5" ht="15" customHeight="1" outlineLevel="2" x14ac:dyDescent="0.25">
      <c r="A5777" s="3" t="str">
        <f>HYPERLINK("http://mystore1.ru/price_items/search?utf8=%E2%9C%93&amp;oem=5985ABL","5985ABL")</f>
        <v>5985ABL</v>
      </c>
      <c r="B5777" s="1" t="s">
        <v>11016</v>
      </c>
      <c r="C5777" s="9" t="s">
        <v>1985</v>
      </c>
      <c r="D5777" s="14" t="s">
        <v>11017</v>
      </c>
      <c r="E5777" s="9" t="s">
        <v>8</v>
      </c>
    </row>
    <row r="5778" spans="1:5" ht="15" customHeight="1" outlineLevel="2" x14ac:dyDescent="0.25">
      <c r="A5778" s="3" t="str">
        <f>HYPERLINK("http://mystore1.ru/price_items/search?utf8=%E2%9C%93&amp;oem=5985ASMCT","5985ASMCT")</f>
        <v>5985ASMCT</v>
      </c>
      <c r="B5778" s="1" t="s">
        <v>11018</v>
      </c>
      <c r="C5778" s="9" t="s">
        <v>25</v>
      </c>
      <c r="D5778" s="14" t="s">
        <v>11019</v>
      </c>
      <c r="E5778" s="9" t="s">
        <v>27</v>
      </c>
    </row>
    <row r="5779" spans="1:5" outlineLevel="1" x14ac:dyDescent="0.25">
      <c r="A5779" s="2"/>
      <c r="B5779" s="6" t="s">
        <v>11020</v>
      </c>
      <c r="C5779" s="8"/>
      <c r="D5779" s="8"/>
      <c r="E5779" s="8"/>
    </row>
    <row r="5780" spans="1:5" ht="15" customHeight="1" outlineLevel="2" x14ac:dyDescent="0.25">
      <c r="A5780" s="3" t="str">
        <f>HYPERLINK("http://mystore1.ru/price_items/search?utf8=%E2%9C%93&amp;oem=5963ABL","5963ABL")</f>
        <v>5963ABL</v>
      </c>
      <c r="B5780" s="1" t="s">
        <v>11021</v>
      </c>
      <c r="C5780" s="9" t="s">
        <v>6976</v>
      </c>
      <c r="D5780" s="14" t="s">
        <v>11022</v>
      </c>
      <c r="E5780" s="9" t="s">
        <v>8</v>
      </c>
    </row>
    <row r="5781" spans="1:5" outlineLevel="1" x14ac:dyDescent="0.25">
      <c r="A5781" s="2"/>
      <c r="B5781" s="6" t="s">
        <v>11023</v>
      </c>
      <c r="C5781" s="8"/>
      <c r="D5781" s="8"/>
      <c r="E5781" s="8"/>
    </row>
    <row r="5782" spans="1:5" ht="15" customHeight="1" outlineLevel="2" x14ac:dyDescent="0.25">
      <c r="A5782" s="3" t="str">
        <f>HYPERLINK("http://mystore1.ru/price_items/search?utf8=%E2%9C%93&amp;oem=5977ABL","5977ABL")</f>
        <v>5977ABL</v>
      </c>
      <c r="B5782" s="1" t="s">
        <v>11024</v>
      </c>
      <c r="C5782" s="9" t="s">
        <v>2042</v>
      </c>
      <c r="D5782" s="14" t="s">
        <v>11025</v>
      </c>
      <c r="E5782" s="9" t="s">
        <v>8</v>
      </c>
    </row>
    <row r="5783" spans="1:5" outlineLevel="1" x14ac:dyDescent="0.25">
      <c r="A5783" s="2"/>
      <c r="B5783" s="6" t="s">
        <v>11026</v>
      </c>
      <c r="C5783" s="8"/>
      <c r="D5783" s="8"/>
      <c r="E5783" s="8"/>
    </row>
    <row r="5784" spans="1:5" ht="15" customHeight="1" outlineLevel="2" x14ac:dyDescent="0.25">
      <c r="A5784" s="3" t="str">
        <f>HYPERLINK("http://mystore1.ru/price_items/search?utf8=%E2%9C%93&amp;oem=6001ALG","6001ALG")</f>
        <v>6001ALG</v>
      </c>
      <c r="B5784" s="1" t="s">
        <v>11027</v>
      </c>
      <c r="C5784" s="9" t="s">
        <v>7065</v>
      </c>
      <c r="D5784" s="14" t="s">
        <v>11028</v>
      </c>
      <c r="E5784" s="9" t="s">
        <v>8</v>
      </c>
    </row>
    <row r="5785" spans="1:5" ht="15" customHeight="1" outlineLevel="2" x14ac:dyDescent="0.25">
      <c r="A5785" s="3" t="str">
        <f>HYPERLINK("http://mystore1.ru/price_items/search?utf8=%E2%9C%93&amp;oem=6001ALGBL","6001ALGBL")</f>
        <v>6001ALGBL</v>
      </c>
      <c r="B5785" s="1" t="s">
        <v>11029</v>
      </c>
      <c r="C5785" s="9" t="s">
        <v>7065</v>
      </c>
      <c r="D5785" s="14" t="s">
        <v>11030</v>
      </c>
      <c r="E5785" s="9" t="s">
        <v>8</v>
      </c>
    </row>
    <row r="5786" spans="1:5" ht="15" customHeight="1" outlineLevel="2" x14ac:dyDescent="0.25">
      <c r="A5786" s="3" t="str">
        <f>HYPERLINK("http://mystore1.ru/price_items/search?utf8=%E2%9C%93&amp;oem=6001ALGGY","6001ALGGY")</f>
        <v>6001ALGGY</v>
      </c>
      <c r="B5786" s="1" t="s">
        <v>11031</v>
      </c>
      <c r="C5786" s="9" t="s">
        <v>7065</v>
      </c>
      <c r="D5786" s="14" t="s">
        <v>11032</v>
      </c>
      <c r="E5786" s="9" t="s">
        <v>8</v>
      </c>
    </row>
    <row r="5787" spans="1:5" ht="15" customHeight="1" outlineLevel="2" x14ac:dyDescent="0.25">
      <c r="A5787" s="3" t="str">
        <f>HYPERLINK("http://mystore1.ru/price_items/search?utf8=%E2%9C%93&amp;oem=6001AKMH","6001AKMH")</f>
        <v>6001AKMH</v>
      </c>
      <c r="B5787" s="1" t="s">
        <v>11033</v>
      </c>
      <c r="C5787" s="9" t="s">
        <v>25</v>
      </c>
      <c r="D5787" s="14" t="s">
        <v>11034</v>
      </c>
      <c r="E5787" s="9" t="s">
        <v>27</v>
      </c>
    </row>
    <row r="5788" spans="1:5" ht="15" customHeight="1" outlineLevel="2" x14ac:dyDescent="0.25">
      <c r="A5788" s="3" t="str">
        <f>HYPERLINK("http://mystore1.ru/price_items/search?utf8=%E2%9C%93&amp;oem=6001ASMHT","6001ASMHT")</f>
        <v>6001ASMHT</v>
      </c>
      <c r="B5788" s="1" t="s">
        <v>11035</v>
      </c>
      <c r="C5788" s="9" t="s">
        <v>25</v>
      </c>
      <c r="D5788" s="14" t="s">
        <v>11036</v>
      </c>
      <c r="E5788" s="9" t="s">
        <v>27</v>
      </c>
    </row>
    <row r="5789" spans="1:5" ht="15" customHeight="1" outlineLevel="2" x14ac:dyDescent="0.25">
      <c r="A5789" s="3" t="str">
        <f>HYPERLINK("http://mystore1.ru/price_items/search?utf8=%E2%9C%93&amp;oem=6001BLGH","6001BLGH")</f>
        <v>6001BLGH</v>
      </c>
      <c r="B5789" s="1" t="s">
        <v>11037</v>
      </c>
      <c r="C5789" s="9" t="s">
        <v>7065</v>
      </c>
      <c r="D5789" s="14" t="s">
        <v>11038</v>
      </c>
      <c r="E5789" s="9" t="s">
        <v>30</v>
      </c>
    </row>
    <row r="5790" spans="1:5" ht="15" customHeight="1" outlineLevel="2" x14ac:dyDescent="0.25">
      <c r="A5790" s="3" t="str">
        <f>HYPERLINK("http://mystore1.ru/price_items/search?utf8=%E2%9C%93&amp;oem=6001BLGS","6001BLGS")</f>
        <v>6001BLGS</v>
      </c>
      <c r="B5790" s="1" t="s">
        <v>11039</v>
      </c>
      <c r="C5790" s="9" t="s">
        <v>7065</v>
      </c>
      <c r="D5790" s="14" t="s">
        <v>11040</v>
      </c>
      <c r="E5790" s="9" t="s">
        <v>30</v>
      </c>
    </row>
    <row r="5791" spans="1:5" ht="15" customHeight="1" outlineLevel="2" x14ac:dyDescent="0.25">
      <c r="A5791" s="3" t="str">
        <f>HYPERLINK("http://mystore1.ru/price_items/search?utf8=%E2%9C%93&amp;oem=6001LLGH3FDW","6001LLGH3FDW")</f>
        <v>6001LLGH3FDW</v>
      </c>
      <c r="B5791" s="1" t="s">
        <v>11041</v>
      </c>
      <c r="C5791" s="9" t="s">
        <v>7065</v>
      </c>
      <c r="D5791" s="14" t="s">
        <v>11042</v>
      </c>
      <c r="E5791" s="9" t="s">
        <v>11</v>
      </c>
    </row>
    <row r="5792" spans="1:5" ht="15" customHeight="1" outlineLevel="2" x14ac:dyDescent="0.25">
      <c r="A5792" s="3" t="str">
        <f>HYPERLINK("http://mystore1.ru/price_items/search?utf8=%E2%9C%93&amp;oem=6001LLGH5FD","6001LLGH5FD")</f>
        <v>6001LLGH5FD</v>
      </c>
      <c r="B5792" s="1" t="s">
        <v>11043</v>
      </c>
      <c r="C5792" s="9" t="s">
        <v>7065</v>
      </c>
      <c r="D5792" s="14" t="s">
        <v>11044</v>
      </c>
      <c r="E5792" s="9" t="s">
        <v>11</v>
      </c>
    </row>
    <row r="5793" spans="1:5" ht="15" customHeight="1" outlineLevel="2" x14ac:dyDescent="0.25">
      <c r="A5793" s="3" t="str">
        <f>HYPERLINK("http://mystore1.ru/price_items/search?utf8=%E2%9C%93&amp;oem=6001LLGH5FDW","6001LLGH5FDW")</f>
        <v>6001LLGH5FDW</v>
      </c>
      <c r="B5793" s="1" t="s">
        <v>11045</v>
      </c>
      <c r="C5793" s="9" t="s">
        <v>7065</v>
      </c>
      <c r="D5793" s="14" t="s">
        <v>11046</v>
      </c>
      <c r="E5793" s="9" t="s">
        <v>11</v>
      </c>
    </row>
    <row r="5794" spans="1:5" ht="15" customHeight="1" outlineLevel="2" x14ac:dyDescent="0.25">
      <c r="A5794" s="3" t="str">
        <f>HYPERLINK("http://mystore1.ru/price_items/search?utf8=%E2%9C%93&amp;oem=6001LLGH5RV","6001LLGH5RV")</f>
        <v>6001LLGH5RV</v>
      </c>
      <c r="B5794" s="1" t="s">
        <v>11047</v>
      </c>
      <c r="C5794" s="9" t="s">
        <v>7065</v>
      </c>
      <c r="D5794" s="14" t="s">
        <v>11048</v>
      </c>
      <c r="E5794" s="9" t="s">
        <v>11</v>
      </c>
    </row>
    <row r="5795" spans="1:5" ht="15" customHeight="1" outlineLevel="2" x14ac:dyDescent="0.25">
      <c r="A5795" s="3" t="str">
        <f>HYPERLINK("http://mystore1.ru/price_items/search?utf8=%E2%9C%93&amp;oem=6001RLGH3FDW","6001RLGH3FDW")</f>
        <v>6001RLGH3FDW</v>
      </c>
      <c r="B5795" s="1" t="s">
        <v>11049</v>
      </c>
      <c r="C5795" s="9" t="s">
        <v>7065</v>
      </c>
      <c r="D5795" s="14" t="s">
        <v>11050</v>
      </c>
      <c r="E5795" s="9" t="s">
        <v>11</v>
      </c>
    </row>
    <row r="5796" spans="1:5" ht="15" customHeight="1" outlineLevel="2" x14ac:dyDescent="0.25">
      <c r="A5796" s="3" t="str">
        <f>HYPERLINK("http://mystore1.ru/price_items/search?utf8=%E2%9C%93&amp;oem=6001RLGH5FDW","6001RLGH5FDW")</f>
        <v>6001RLGH5FDW</v>
      </c>
      <c r="B5796" s="1" t="s">
        <v>11051</v>
      </c>
      <c r="C5796" s="9" t="s">
        <v>7065</v>
      </c>
      <c r="D5796" s="14" t="s">
        <v>11052</v>
      </c>
      <c r="E5796" s="9" t="s">
        <v>11</v>
      </c>
    </row>
    <row r="5797" spans="1:5" ht="15" customHeight="1" outlineLevel="2" x14ac:dyDescent="0.25">
      <c r="A5797" s="3" t="str">
        <f>HYPERLINK("http://mystore1.ru/price_items/search?utf8=%E2%9C%93&amp;oem=6001RLGH5RD","6001RLGH5RD")</f>
        <v>6001RLGH5RD</v>
      </c>
      <c r="B5797" s="1" t="s">
        <v>11053</v>
      </c>
      <c r="C5797" s="9" t="s">
        <v>7065</v>
      </c>
      <c r="D5797" s="14" t="s">
        <v>11054</v>
      </c>
      <c r="E5797" s="9" t="s">
        <v>11</v>
      </c>
    </row>
    <row r="5798" spans="1:5" ht="15" customHeight="1" outlineLevel="2" x14ac:dyDescent="0.25">
      <c r="A5798" s="3" t="str">
        <f>HYPERLINK("http://mystore1.ru/price_items/search?utf8=%E2%9C%93&amp;oem=6001RLGH5RV","6001RLGH5RV")</f>
        <v>6001RLGH5RV</v>
      </c>
      <c r="B5798" s="1" t="s">
        <v>11055</v>
      </c>
      <c r="C5798" s="9" t="s">
        <v>7065</v>
      </c>
      <c r="D5798" s="14" t="s">
        <v>11056</v>
      </c>
      <c r="E5798" s="9" t="s">
        <v>11</v>
      </c>
    </row>
    <row r="5799" spans="1:5" outlineLevel="1" x14ac:dyDescent="0.25">
      <c r="A5799" s="2"/>
      <c r="B5799" s="6" t="s">
        <v>11057</v>
      </c>
      <c r="C5799" s="7"/>
      <c r="D5799" s="8"/>
      <c r="E5799" s="8"/>
    </row>
    <row r="5800" spans="1:5" ht="15" customHeight="1" outlineLevel="2" x14ac:dyDescent="0.25">
      <c r="A5800" s="3" t="str">
        <f>HYPERLINK("http://mystore1.ru/price_items/search?utf8=%E2%9C%93&amp;oem=6016AGN","6016AGN")</f>
        <v>6016AGN</v>
      </c>
      <c r="B5800" s="1" t="s">
        <v>11058</v>
      </c>
      <c r="C5800" s="9" t="s">
        <v>1499</v>
      </c>
      <c r="D5800" s="14" t="s">
        <v>11059</v>
      </c>
      <c r="E5800" s="9" t="s">
        <v>8</v>
      </c>
    </row>
    <row r="5801" spans="1:5" ht="15" customHeight="1" outlineLevel="2" x14ac:dyDescent="0.25">
      <c r="A5801" s="3" t="str">
        <f>HYPERLINK("http://mystore1.ru/price_items/search?utf8=%E2%9C%93&amp;oem=6016AGN1C","6016AGN1C")</f>
        <v>6016AGN1C</v>
      </c>
      <c r="B5801" s="1" t="s">
        <v>11060</v>
      </c>
      <c r="C5801" s="9" t="s">
        <v>1499</v>
      </c>
      <c r="D5801" s="14" t="s">
        <v>11061</v>
      </c>
      <c r="E5801" s="9" t="s">
        <v>8</v>
      </c>
    </row>
    <row r="5802" spans="1:5" ht="15" customHeight="1" outlineLevel="2" x14ac:dyDescent="0.25">
      <c r="A5802" s="3" t="str">
        <f>HYPERLINK("http://mystore1.ru/price_items/search?utf8=%E2%9C%93&amp;oem=6016ASMST","6016ASMST")</f>
        <v>6016ASMST</v>
      </c>
      <c r="B5802" s="1" t="s">
        <v>11062</v>
      </c>
      <c r="C5802" s="9" t="s">
        <v>25</v>
      </c>
      <c r="D5802" s="14" t="s">
        <v>11063</v>
      </c>
      <c r="E5802" s="9" t="s">
        <v>27</v>
      </c>
    </row>
    <row r="5803" spans="1:5" ht="15" customHeight="1" outlineLevel="2" x14ac:dyDescent="0.25">
      <c r="A5803" s="3" t="str">
        <f>HYPERLINK("http://mystore1.ru/price_items/search?utf8=%E2%9C%93&amp;oem=6016BGNSB","6016BGNSB")</f>
        <v>6016BGNSB</v>
      </c>
      <c r="B5803" s="1" t="s">
        <v>11064</v>
      </c>
      <c r="C5803" s="9" t="s">
        <v>1499</v>
      </c>
      <c r="D5803" s="14" t="s">
        <v>11065</v>
      </c>
      <c r="E5803" s="9" t="s">
        <v>30</v>
      </c>
    </row>
    <row r="5804" spans="1:5" ht="15" customHeight="1" outlineLevel="2" x14ac:dyDescent="0.25">
      <c r="A5804" s="3" t="str">
        <f>HYPERLINK("http://mystore1.ru/price_items/search?utf8=%E2%9C%93&amp;oem=6016LGNS4FDW","6016LGNS4FDW")</f>
        <v>6016LGNS4FDW</v>
      </c>
      <c r="B5804" s="1" t="s">
        <v>11066</v>
      </c>
      <c r="C5804" s="9" t="s">
        <v>1499</v>
      </c>
      <c r="D5804" s="14" t="s">
        <v>11067</v>
      </c>
      <c r="E5804" s="9" t="s">
        <v>11</v>
      </c>
    </row>
    <row r="5805" spans="1:5" ht="15" customHeight="1" outlineLevel="2" x14ac:dyDescent="0.25">
      <c r="A5805" s="3" t="str">
        <f>HYPERLINK("http://mystore1.ru/price_items/search?utf8=%E2%9C%93&amp;oem=6016LGNS4RDW","6016LGNS4RDW")</f>
        <v>6016LGNS4RDW</v>
      </c>
      <c r="B5805" s="1" t="s">
        <v>11068</v>
      </c>
      <c r="C5805" s="9" t="s">
        <v>1499</v>
      </c>
      <c r="D5805" s="14" t="s">
        <v>11069</v>
      </c>
      <c r="E5805" s="9" t="s">
        <v>11</v>
      </c>
    </row>
    <row r="5806" spans="1:5" ht="15" customHeight="1" outlineLevel="2" x14ac:dyDescent="0.25">
      <c r="A5806" s="3" t="str">
        <f>HYPERLINK("http://mystore1.ru/price_items/search?utf8=%E2%9C%93&amp;oem=6016LGNS4RV","6016LGNS4RV")</f>
        <v>6016LGNS4RV</v>
      </c>
      <c r="B5806" s="1" t="s">
        <v>11070</v>
      </c>
      <c r="C5806" s="9" t="s">
        <v>1499</v>
      </c>
      <c r="D5806" s="14" t="s">
        <v>11071</v>
      </c>
      <c r="E5806" s="9" t="s">
        <v>11</v>
      </c>
    </row>
    <row r="5807" spans="1:5" ht="15" customHeight="1" outlineLevel="2" x14ac:dyDescent="0.25">
      <c r="A5807" s="3" t="str">
        <f>HYPERLINK("http://mystore1.ru/price_items/search?utf8=%E2%9C%93&amp;oem=6016RGNS4RDW","6016RGNS4RDW")</f>
        <v>6016RGNS4RDW</v>
      </c>
      <c r="B5807" s="1" t="s">
        <v>11072</v>
      </c>
      <c r="C5807" s="9" t="s">
        <v>1499</v>
      </c>
      <c r="D5807" s="14" t="s">
        <v>11073</v>
      </c>
      <c r="E5807" s="9" t="s">
        <v>11</v>
      </c>
    </row>
    <row r="5808" spans="1:5" ht="15" customHeight="1" outlineLevel="2" x14ac:dyDescent="0.25">
      <c r="A5808" s="3" t="str">
        <f>HYPERLINK("http://mystore1.ru/price_items/search?utf8=%E2%9C%93&amp;oem=6016RGNS4RV","6016RGNS4RV")</f>
        <v>6016RGNS4RV</v>
      </c>
      <c r="B5808" s="1" t="s">
        <v>11074</v>
      </c>
      <c r="C5808" s="9" t="s">
        <v>1499</v>
      </c>
      <c r="D5808" s="14" t="s">
        <v>11075</v>
      </c>
      <c r="E5808" s="9" t="s">
        <v>11</v>
      </c>
    </row>
    <row r="5809" spans="1:5" outlineLevel="1" x14ac:dyDescent="0.25">
      <c r="A5809" s="2"/>
      <c r="B5809" s="6" t="s">
        <v>11076</v>
      </c>
      <c r="C5809" s="7"/>
      <c r="D5809" s="8"/>
      <c r="E5809" s="8"/>
    </row>
    <row r="5810" spans="1:5" ht="15" customHeight="1" outlineLevel="2" x14ac:dyDescent="0.25">
      <c r="A5810" s="3" t="str">
        <f>HYPERLINK("http://mystore1.ru/price_items/search?utf8=%E2%9C%93&amp;oem=6007AGSBLH1C","6007AGSBLH1C")</f>
        <v>6007AGSBLH1C</v>
      </c>
      <c r="B5810" s="1" t="s">
        <v>11077</v>
      </c>
      <c r="C5810" s="9" t="s">
        <v>1403</v>
      </c>
      <c r="D5810" s="14" t="s">
        <v>11078</v>
      </c>
      <c r="E5810" s="9" t="s">
        <v>8</v>
      </c>
    </row>
    <row r="5811" spans="1:5" ht="15" customHeight="1" outlineLevel="2" x14ac:dyDescent="0.25">
      <c r="A5811" s="3" t="str">
        <f>HYPERLINK("http://mystore1.ru/price_items/search?utf8=%E2%9C%93&amp;oem=6007AGS","6007AGS")</f>
        <v>6007AGS</v>
      </c>
      <c r="B5811" s="1" t="s">
        <v>11079</v>
      </c>
      <c r="C5811" s="9" t="s">
        <v>1499</v>
      </c>
      <c r="D5811" s="14" t="s">
        <v>11080</v>
      </c>
      <c r="E5811" s="9" t="s">
        <v>8</v>
      </c>
    </row>
    <row r="5812" spans="1:5" ht="15" customHeight="1" outlineLevel="2" x14ac:dyDescent="0.25">
      <c r="A5812" s="3" t="str">
        <f>HYPERLINK("http://mystore1.ru/price_items/search?utf8=%E2%9C%93&amp;oem=6007AGSBL","6007AGSBL")</f>
        <v>6007AGSBL</v>
      </c>
      <c r="B5812" s="1" t="s">
        <v>11081</v>
      </c>
      <c r="C5812" s="9" t="s">
        <v>1499</v>
      </c>
      <c r="D5812" s="14" t="s">
        <v>11082</v>
      </c>
      <c r="E5812" s="9" t="s">
        <v>8</v>
      </c>
    </row>
    <row r="5813" spans="1:5" ht="15" customHeight="1" outlineLevel="2" x14ac:dyDescent="0.25">
      <c r="A5813" s="3" t="str">
        <f>HYPERLINK("http://mystore1.ru/price_items/search?utf8=%E2%9C%93&amp;oem=6007ASMHT","6007ASMHT")</f>
        <v>6007ASMHT</v>
      </c>
      <c r="B5813" s="1" t="s">
        <v>11083</v>
      </c>
      <c r="C5813" s="9" t="s">
        <v>25</v>
      </c>
      <c r="D5813" s="14" t="s">
        <v>11084</v>
      </c>
      <c r="E5813" s="9" t="s">
        <v>27</v>
      </c>
    </row>
    <row r="5814" spans="1:5" ht="15" customHeight="1" outlineLevel="2" x14ac:dyDescent="0.25">
      <c r="A5814" s="3" t="str">
        <f>HYPERLINK("http://mystore1.ru/price_items/search?utf8=%E2%9C%93&amp;oem=6007BGSH","6007BGSH")</f>
        <v>6007BGSH</v>
      </c>
      <c r="B5814" s="1" t="s">
        <v>11085</v>
      </c>
      <c r="C5814" s="9" t="s">
        <v>1499</v>
      </c>
      <c r="D5814" s="14" t="s">
        <v>11086</v>
      </c>
      <c r="E5814" s="9" t="s">
        <v>30</v>
      </c>
    </row>
    <row r="5815" spans="1:5" ht="15" customHeight="1" outlineLevel="2" x14ac:dyDescent="0.25">
      <c r="A5815" s="3" t="str">
        <f>HYPERLINK("http://mystore1.ru/price_items/search?utf8=%E2%9C%93&amp;oem=6007RGSH5FDW","6007RGSH5FDW")</f>
        <v>6007RGSH5FDW</v>
      </c>
      <c r="B5815" s="1" t="s">
        <v>11087</v>
      </c>
      <c r="C5815" s="9" t="s">
        <v>1499</v>
      </c>
      <c r="D5815" s="14" t="s">
        <v>11088</v>
      </c>
      <c r="E5815" s="9" t="s">
        <v>11</v>
      </c>
    </row>
    <row r="5816" spans="1:5" ht="15" customHeight="1" outlineLevel="2" x14ac:dyDescent="0.25">
      <c r="A5816" s="3" t="str">
        <f>HYPERLINK("http://mystore1.ru/price_items/search?utf8=%E2%9C%93&amp;oem=6007RGSH5RDW","6007RGSH5RDW")</f>
        <v>6007RGSH5RDW</v>
      </c>
      <c r="B5816" s="1" t="s">
        <v>11089</v>
      </c>
      <c r="C5816" s="9" t="s">
        <v>1499</v>
      </c>
      <c r="D5816" s="14" t="s">
        <v>11090</v>
      </c>
      <c r="E5816" s="9" t="s">
        <v>11</v>
      </c>
    </row>
    <row r="5817" spans="1:5" ht="15" customHeight="1" outlineLevel="2" x14ac:dyDescent="0.25">
      <c r="A5817" s="3" t="str">
        <f>HYPERLINK("http://mystore1.ru/price_items/search?utf8=%E2%9C%93&amp;oem=6007LGSH5FDW","6007LGSH5FDW")</f>
        <v>6007LGSH5FDW</v>
      </c>
      <c r="B5817" s="1" t="s">
        <v>11091</v>
      </c>
      <c r="C5817" s="9" t="s">
        <v>1499</v>
      </c>
      <c r="D5817" s="14" t="s">
        <v>11092</v>
      </c>
      <c r="E5817" s="9" t="s">
        <v>11</v>
      </c>
    </row>
    <row r="5818" spans="1:5" ht="15" customHeight="1" outlineLevel="2" x14ac:dyDescent="0.25">
      <c r="A5818" s="3" t="str">
        <f>HYPERLINK("http://mystore1.ru/price_items/search?utf8=%E2%9C%93&amp;oem=6007LGSH5RDW","6007LGSH5RDW")</f>
        <v>6007LGSH5RDW</v>
      </c>
      <c r="B5818" s="1" t="s">
        <v>11093</v>
      </c>
      <c r="C5818" s="9" t="s">
        <v>1499</v>
      </c>
      <c r="D5818" s="14" t="s">
        <v>11094</v>
      </c>
      <c r="E5818" s="9" t="s">
        <v>11</v>
      </c>
    </row>
    <row r="5819" spans="1:5" ht="15" customHeight="1" outlineLevel="2" x14ac:dyDescent="0.25">
      <c r="A5819" s="3" t="str">
        <f>HYPERLINK("http://mystore1.ru/price_items/search?utf8=%E2%9C%93&amp;oem=6007LGSH5RV","6007LGSH5RV")</f>
        <v>6007LGSH5RV</v>
      </c>
      <c r="B5819" s="1" t="s">
        <v>11095</v>
      </c>
      <c r="C5819" s="9" t="s">
        <v>1499</v>
      </c>
      <c r="D5819" s="14" t="s">
        <v>11096</v>
      </c>
      <c r="E5819" s="9" t="s">
        <v>11</v>
      </c>
    </row>
    <row r="5820" spans="1:5" ht="15" customHeight="1" outlineLevel="2" x14ac:dyDescent="0.25">
      <c r="A5820" s="3" t="str">
        <f>HYPERLINK("http://mystore1.ru/price_items/search?utf8=%E2%9C%93&amp;oem=6007RGSH5FDW","6007RGSH5FDW")</f>
        <v>6007RGSH5FDW</v>
      </c>
      <c r="B5820" s="1" t="s">
        <v>11087</v>
      </c>
      <c r="C5820" s="9" t="s">
        <v>1499</v>
      </c>
      <c r="D5820" s="14" t="s">
        <v>11088</v>
      </c>
      <c r="E5820" s="9" t="s">
        <v>11</v>
      </c>
    </row>
    <row r="5821" spans="1:5" ht="15" customHeight="1" outlineLevel="2" x14ac:dyDescent="0.25">
      <c r="A5821" s="3" t="str">
        <f>HYPERLINK("http://mystore1.ru/price_items/search?utf8=%E2%9C%93&amp;oem=6007RGSH5RDW","6007RGSH5RDW")</f>
        <v>6007RGSH5RDW</v>
      </c>
      <c r="B5821" s="1" t="s">
        <v>11089</v>
      </c>
      <c r="C5821" s="9" t="s">
        <v>1499</v>
      </c>
      <c r="D5821" s="14" t="s">
        <v>11090</v>
      </c>
      <c r="E5821" s="9" t="s">
        <v>11</v>
      </c>
    </row>
    <row r="5822" spans="1:5" ht="15" customHeight="1" outlineLevel="2" x14ac:dyDescent="0.25">
      <c r="A5822" s="3" t="str">
        <f>HYPERLINK("http://mystore1.ru/price_items/search?utf8=%E2%9C%93&amp;oem=6007RGSH5RV","6007RGSH5RV")</f>
        <v>6007RGSH5RV</v>
      </c>
      <c r="B5822" s="1" t="s">
        <v>11097</v>
      </c>
      <c r="C5822" s="9" t="s">
        <v>1499</v>
      </c>
      <c r="D5822" s="14" t="s">
        <v>11098</v>
      </c>
      <c r="E5822" s="9" t="s">
        <v>11</v>
      </c>
    </row>
    <row r="5823" spans="1:5" outlineLevel="1" x14ac:dyDescent="0.25">
      <c r="A5823" s="2"/>
      <c r="B5823" s="6" t="s">
        <v>11099</v>
      </c>
      <c r="C5823" s="8"/>
      <c r="D5823" s="8"/>
      <c r="E5823" s="8"/>
    </row>
    <row r="5824" spans="1:5" ht="15" customHeight="1" outlineLevel="2" x14ac:dyDescent="0.25">
      <c r="A5824" s="3" t="str">
        <f>HYPERLINK("http://mystore1.ru/price_items/search?utf8=%E2%9C%93&amp;oem=6014AGS","6014AGS")</f>
        <v>6014AGS</v>
      </c>
      <c r="B5824" s="1" t="s">
        <v>11100</v>
      </c>
      <c r="C5824" s="9" t="s">
        <v>1499</v>
      </c>
      <c r="D5824" s="14" t="s">
        <v>11101</v>
      </c>
      <c r="E5824" s="9" t="s">
        <v>8</v>
      </c>
    </row>
    <row r="5825" spans="1:5" ht="15" customHeight="1" outlineLevel="2" x14ac:dyDescent="0.25">
      <c r="A5825" s="3" t="str">
        <f>HYPERLINK("http://mystore1.ru/price_items/search?utf8=%E2%9C%93&amp;oem=6014ASMHT","6014ASMHT")</f>
        <v>6014ASMHT</v>
      </c>
      <c r="B5825" s="1" t="s">
        <v>11102</v>
      </c>
      <c r="C5825" s="9" t="s">
        <v>25</v>
      </c>
      <c r="D5825" s="14" t="s">
        <v>11103</v>
      </c>
      <c r="E5825" s="9" t="s">
        <v>27</v>
      </c>
    </row>
    <row r="5826" spans="1:5" ht="15" customHeight="1" outlineLevel="2" x14ac:dyDescent="0.25">
      <c r="A5826" s="3" t="str">
        <f>HYPERLINK("http://mystore1.ru/price_items/search?utf8=%E2%9C%93&amp;oem=6014BGSHBZ","6014BGSHBZ")</f>
        <v>6014BGSHBZ</v>
      </c>
      <c r="B5826" s="1" t="s">
        <v>11104</v>
      </c>
      <c r="C5826" s="9" t="s">
        <v>1499</v>
      </c>
      <c r="D5826" s="14" t="s">
        <v>11105</v>
      </c>
      <c r="E5826" s="9" t="s">
        <v>30</v>
      </c>
    </row>
    <row r="5827" spans="1:5" ht="15" customHeight="1" outlineLevel="2" x14ac:dyDescent="0.25">
      <c r="A5827" s="3" t="str">
        <f>HYPERLINK("http://mystore1.ru/price_items/search?utf8=%E2%9C%93&amp;oem=6014LGSH5FDW","6014LGSH5FDW")</f>
        <v>6014LGSH5FDW</v>
      </c>
      <c r="B5827" s="1" t="s">
        <v>11106</v>
      </c>
      <c r="C5827" s="9" t="s">
        <v>1499</v>
      </c>
      <c r="D5827" s="14" t="s">
        <v>11107</v>
      </c>
      <c r="E5827" s="9" t="s">
        <v>11</v>
      </c>
    </row>
    <row r="5828" spans="1:5" ht="15" customHeight="1" outlineLevel="2" x14ac:dyDescent="0.25">
      <c r="A5828" s="3" t="str">
        <f>HYPERLINK("http://mystore1.ru/price_items/search?utf8=%E2%9C%93&amp;oem=6014LGSH5RDW","6014LGSH5RDW")</f>
        <v>6014LGSH5RDW</v>
      </c>
      <c r="B5828" s="1" t="s">
        <v>11108</v>
      </c>
      <c r="C5828" s="9" t="s">
        <v>1499</v>
      </c>
      <c r="D5828" s="14" t="s">
        <v>11109</v>
      </c>
      <c r="E5828" s="9" t="s">
        <v>11</v>
      </c>
    </row>
    <row r="5829" spans="1:5" ht="15" customHeight="1" outlineLevel="2" x14ac:dyDescent="0.25">
      <c r="A5829" s="3" t="str">
        <f>HYPERLINK("http://mystore1.ru/price_items/search?utf8=%E2%9C%93&amp;oem=6014RGSH5FDW","6014RGSH5FDW")</f>
        <v>6014RGSH5FDW</v>
      </c>
      <c r="B5829" s="1" t="s">
        <v>11110</v>
      </c>
      <c r="C5829" s="9" t="s">
        <v>1499</v>
      </c>
      <c r="D5829" s="14" t="s">
        <v>11111</v>
      </c>
      <c r="E5829" s="9" t="s">
        <v>11</v>
      </c>
    </row>
    <row r="5830" spans="1:5" ht="15" customHeight="1" outlineLevel="2" x14ac:dyDescent="0.25">
      <c r="A5830" s="3" t="str">
        <f>HYPERLINK("http://mystore1.ru/price_items/search?utf8=%E2%9C%93&amp;oem=6014RGSH5RDW","6014RGSH5RDW")</f>
        <v>6014RGSH5RDW</v>
      </c>
      <c r="B5830" s="1" t="s">
        <v>11112</v>
      </c>
      <c r="C5830" s="9" t="s">
        <v>1499</v>
      </c>
      <c r="D5830" s="14" t="s">
        <v>11113</v>
      </c>
      <c r="E5830" s="9" t="s">
        <v>11</v>
      </c>
    </row>
    <row r="5831" spans="1:5" outlineLevel="1" x14ac:dyDescent="0.25">
      <c r="A5831" s="2"/>
      <c r="B5831" s="6" t="s">
        <v>11114</v>
      </c>
      <c r="C5831" s="8"/>
      <c r="D5831" s="8"/>
      <c r="E5831" s="8"/>
    </row>
    <row r="5832" spans="1:5" ht="15" customHeight="1" outlineLevel="2" x14ac:dyDescent="0.25">
      <c r="A5832" s="3" t="str">
        <f>HYPERLINK("http://mystore1.ru/price_items/search?utf8=%E2%9C%93&amp;oem=5969ABL","5969ABL")</f>
        <v>5969ABL</v>
      </c>
      <c r="B5832" s="1" t="s">
        <v>11115</v>
      </c>
      <c r="C5832" s="9" t="s">
        <v>5672</v>
      </c>
      <c r="D5832" s="14" t="s">
        <v>11116</v>
      </c>
      <c r="E5832" s="9" t="s">
        <v>8</v>
      </c>
    </row>
    <row r="5833" spans="1:5" ht="15" customHeight="1" outlineLevel="2" x14ac:dyDescent="0.25">
      <c r="A5833" s="3" t="str">
        <f>HYPERLINK("http://mystore1.ru/price_items/search?utf8=%E2%9C%93&amp;oem=5969ABZ","5969ABZ")</f>
        <v>5969ABZ</v>
      </c>
      <c r="B5833" s="1" t="s">
        <v>11117</v>
      </c>
      <c r="C5833" s="9" t="s">
        <v>5672</v>
      </c>
      <c r="D5833" s="14" t="s">
        <v>11118</v>
      </c>
      <c r="E5833" s="9" t="s">
        <v>8</v>
      </c>
    </row>
    <row r="5834" spans="1:5" ht="15" customHeight="1" outlineLevel="2" x14ac:dyDescent="0.25">
      <c r="A5834" s="3" t="str">
        <f>HYPERLINK("http://mystore1.ru/price_items/search?utf8=%E2%9C%93&amp;oem=5969ABZ1C","5969ABZ1C")</f>
        <v>5969ABZ1C</v>
      </c>
      <c r="B5834" s="1" t="s">
        <v>11119</v>
      </c>
      <c r="C5834" s="9" t="s">
        <v>5672</v>
      </c>
      <c r="D5834" s="14" t="s">
        <v>11118</v>
      </c>
      <c r="E5834" s="9" t="s">
        <v>8</v>
      </c>
    </row>
    <row r="5835" spans="1:5" ht="15" customHeight="1" outlineLevel="2" x14ac:dyDescent="0.25">
      <c r="A5835" s="3" t="str">
        <f>HYPERLINK("http://mystore1.ru/price_items/search?utf8=%E2%9C%93&amp;oem=5969AKMHC","5969AKMHC")</f>
        <v>5969AKMHC</v>
      </c>
      <c r="B5835" s="1" t="s">
        <v>11120</v>
      </c>
      <c r="C5835" s="9" t="s">
        <v>25</v>
      </c>
      <c r="D5835" s="14" t="s">
        <v>11121</v>
      </c>
      <c r="E5835" s="9" t="s">
        <v>27</v>
      </c>
    </row>
    <row r="5836" spans="1:5" ht="15" customHeight="1" outlineLevel="2" x14ac:dyDescent="0.25">
      <c r="A5836" s="3" t="str">
        <f>HYPERLINK("http://mystore1.ru/price_items/search?utf8=%E2%9C%93&amp;oem=5969LBLH5FDW","5969LBLH5FDW")</f>
        <v>5969LBLH5FDW</v>
      </c>
      <c r="B5836" s="1" t="s">
        <v>11122</v>
      </c>
      <c r="C5836" s="9" t="s">
        <v>5672</v>
      </c>
      <c r="D5836" s="14" t="s">
        <v>11123</v>
      </c>
      <c r="E5836" s="9" t="s">
        <v>11</v>
      </c>
    </row>
    <row r="5837" spans="1:5" ht="15" customHeight="1" outlineLevel="2" x14ac:dyDescent="0.25">
      <c r="A5837" s="3" t="str">
        <f>HYPERLINK("http://mystore1.ru/price_items/search?utf8=%E2%9C%93&amp;oem=5969RBLH5FDW","5969RBLH5FDW")</f>
        <v>5969RBLH5FDW</v>
      </c>
      <c r="B5837" s="1" t="s">
        <v>11124</v>
      </c>
      <c r="C5837" s="9" t="s">
        <v>5672</v>
      </c>
      <c r="D5837" s="14" t="s">
        <v>11125</v>
      </c>
      <c r="E5837" s="9" t="s">
        <v>11</v>
      </c>
    </row>
    <row r="5838" spans="1:5" ht="15" customHeight="1" outlineLevel="2" x14ac:dyDescent="0.25">
      <c r="A5838" s="3" t="str">
        <f>HYPERLINK("http://mystore1.ru/price_items/search?utf8=%E2%9C%93&amp;oem=5969RBLH5RDW","5969RBLH5RDW")</f>
        <v>5969RBLH5RDW</v>
      </c>
      <c r="B5838" s="1" t="s">
        <v>11126</v>
      </c>
      <c r="C5838" s="9" t="s">
        <v>5672</v>
      </c>
      <c r="D5838" s="14" t="s">
        <v>11127</v>
      </c>
      <c r="E5838" s="9" t="s">
        <v>11</v>
      </c>
    </row>
    <row r="5839" spans="1:5" outlineLevel="1" x14ac:dyDescent="0.25">
      <c r="A5839" s="2"/>
      <c r="B5839" s="6" t="s">
        <v>11128</v>
      </c>
      <c r="C5839" s="7"/>
      <c r="D5839" s="8"/>
      <c r="E5839" s="8"/>
    </row>
    <row r="5840" spans="1:5" ht="15" customHeight="1" outlineLevel="2" x14ac:dyDescent="0.25">
      <c r="A5840" s="3" t="str">
        <f>HYPERLINK("http://mystore1.ru/price_items/search?utf8=%E2%9C%93&amp;oem=5942ABL","5942ABL")</f>
        <v>5942ABL</v>
      </c>
      <c r="B5840" s="1" t="s">
        <v>11129</v>
      </c>
      <c r="C5840" s="9" t="s">
        <v>11130</v>
      </c>
      <c r="D5840" s="14" t="s">
        <v>11131</v>
      </c>
      <c r="E5840" s="9" t="s">
        <v>8</v>
      </c>
    </row>
    <row r="5841" spans="1:5" outlineLevel="1" x14ac:dyDescent="0.25">
      <c r="A5841" s="2"/>
      <c r="B5841" s="6" t="s">
        <v>11132</v>
      </c>
      <c r="C5841" s="8"/>
      <c r="D5841" s="8"/>
      <c r="E5841" s="8"/>
    </row>
    <row r="5842" spans="1:5" ht="15" customHeight="1" outlineLevel="2" x14ac:dyDescent="0.25">
      <c r="A5842" s="3" t="str">
        <f>HYPERLINK("http://mystore1.ru/price_items/search?utf8=%E2%9C%93&amp;oem=5960ABL","5960ABL")</f>
        <v>5960ABL</v>
      </c>
      <c r="B5842" s="1" t="s">
        <v>11133</v>
      </c>
      <c r="C5842" s="9" t="s">
        <v>11134</v>
      </c>
      <c r="D5842" s="14" t="s">
        <v>11135</v>
      </c>
      <c r="E5842" s="9" t="s">
        <v>8</v>
      </c>
    </row>
    <row r="5843" spans="1:5" outlineLevel="1" x14ac:dyDescent="0.25">
      <c r="A5843" s="2"/>
      <c r="B5843" s="6" t="s">
        <v>11136</v>
      </c>
      <c r="C5843" s="8"/>
      <c r="D5843" s="8"/>
      <c r="E5843" s="8"/>
    </row>
    <row r="5844" spans="1:5" ht="15" customHeight="1" outlineLevel="2" x14ac:dyDescent="0.25">
      <c r="A5844" s="3" t="str">
        <f>HYPERLINK("http://mystore1.ru/price_items/search?utf8=%E2%9C%93&amp;oem=5955ABL","5955ABL")</f>
        <v>5955ABL</v>
      </c>
      <c r="B5844" s="1" t="s">
        <v>11137</v>
      </c>
      <c r="C5844" s="9" t="s">
        <v>5442</v>
      </c>
      <c r="D5844" s="14" t="s">
        <v>11138</v>
      </c>
      <c r="E5844" s="9" t="s">
        <v>8</v>
      </c>
    </row>
    <row r="5845" spans="1:5" outlineLevel="1" x14ac:dyDescent="0.25">
      <c r="A5845" s="2"/>
      <c r="B5845" s="6" t="s">
        <v>11139</v>
      </c>
      <c r="C5845" s="8"/>
      <c r="D5845" s="8"/>
      <c r="E5845" s="8"/>
    </row>
    <row r="5846" spans="1:5" ht="15" customHeight="1" outlineLevel="2" x14ac:dyDescent="0.25">
      <c r="A5846" s="3" t="str">
        <f>HYPERLINK("http://mystore1.ru/price_items/search?utf8=%E2%9C%93&amp;oem=5966AGN2B","5966AGN2B")</f>
        <v>5966AGN2B</v>
      </c>
      <c r="B5846" s="1" t="s">
        <v>11140</v>
      </c>
      <c r="C5846" s="9" t="s">
        <v>642</v>
      </c>
      <c r="D5846" s="14" t="s">
        <v>11141</v>
      </c>
      <c r="E5846" s="9" t="s">
        <v>8</v>
      </c>
    </row>
    <row r="5847" spans="1:5" outlineLevel="1" x14ac:dyDescent="0.25">
      <c r="A5847" s="2"/>
      <c r="B5847" s="6" t="s">
        <v>11142</v>
      </c>
      <c r="C5847" s="8"/>
      <c r="D5847" s="8"/>
      <c r="E5847" s="8"/>
    </row>
    <row r="5848" spans="1:5" ht="15" customHeight="1" outlineLevel="2" x14ac:dyDescent="0.25">
      <c r="A5848" s="3" t="str">
        <f>HYPERLINK("http://mystore1.ru/price_items/search?utf8=%E2%9C%93&amp;oem=6023ACC","6023ACC")</f>
        <v>6023ACC</v>
      </c>
      <c r="B5848" s="1" t="s">
        <v>11143</v>
      </c>
      <c r="C5848" s="9" t="s">
        <v>1408</v>
      </c>
      <c r="D5848" s="14" t="s">
        <v>11144</v>
      </c>
      <c r="E5848" s="9" t="s">
        <v>8</v>
      </c>
    </row>
    <row r="5849" spans="1:5" ht="15" customHeight="1" outlineLevel="2" x14ac:dyDescent="0.25">
      <c r="A5849" s="3" t="str">
        <f>HYPERLINK("http://mystore1.ru/price_items/search?utf8=%E2%9C%93&amp;oem=6023AGN","6023AGN")</f>
        <v>6023AGN</v>
      </c>
      <c r="B5849" s="1" t="s">
        <v>11145</v>
      </c>
      <c r="C5849" s="9" t="s">
        <v>1408</v>
      </c>
      <c r="D5849" s="14" t="s">
        <v>11146</v>
      </c>
      <c r="E5849" s="9" t="s">
        <v>8</v>
      </c>
    </row>
    <row r="5850" spans="1:5" ht="15" customHeight="1" outlineLevel="2" x14ac:dyDescent="0.25">
      <c r="A5850" s="3" t="str">
        <f>HYPERLINK("http://mystore1.ru/price_items/search?utf8=%E2%9C%93&amp;oem=6023AGNH","6023AGNH")</f>
        <v>6023AGNH</v>
      </c>
      <c r="B5850" s="1" t="s">
        <v>11147</v>
      </c>
      <c r="C5850" s="9" t="s">
        <v>1408</v>
      </c>
      <c r="D5850" s="14" t="s">
        <v>11148</v>
      </c>
      <c r="E5850" s="9" t="s">
        <v>8</v>
      </c>
    </row>
    <row r="5851" spans="1:5" ht="15" customHeight="1" outlineLevel="2" x14ac:dyDescent="0.25">
      <c r="A5851" s="3" t="str">
        <f>HYPERLINK("http://mystore1.ru/price_items/search?utf8=%E2%9C%93&amp;oem=6023BGNVL1J","6023BGNVL1J")</f>
        <v>6023BGNVL1J</v>
      </c>
      <c r="B5851" s="1" t="s">
        <v>11149</v>
      </c>
      <c r="C5851" s="9" t="s">
        <v>1408</v>
      </c>
      <c r="D5851" s="14" t="s">
        <v>11150</v>
      </c>
      <c r="E5851" s="9" t="s">
        <v>30</v>
      </c>
    </row>
    <row r="5852" spans="1:5" ht="15" customHeight="1" outlineLevel="2" x14ac:dyDescent="0.25">
      <c r="A5852" s="3" t="str">
        <f>HYPERLINK("http://mystore1.ru/price_items/search?utf8=%E2%9C%93&amp;oem=6023BGNVLU1J","6023BGNVLU1J")</f>
        <v>6023BGNVLU1J</v>
      </c>
      <c r="B5852" s="1" t="s">
        <v>11151</v>
      </c>
      <c r="C5852" s="9" t="s">
        <v>1408</v>
      </c>
      <c r="D5852" s="14" t="s">
        <v>11152</v>
      </c>
      <c r="E5852" s="9" t="s">
        <v>30</v>
      </c>
    </row>
    <row r="5853" spans="1:5" ht="15" customHeight="1" outlineLevel="2" x14ac:dyDescent="0.25">
      <c r="A5853" s="3" t="str">
        <f>HYPERLINK("http://mystore1.ru/price_items/search?utf8=%E2%9C%93&amp;oem=6023BGNVR1J","6023BGNVR1J")</f>
        <v>6023BGNVR1J</v>
      </c>
      <c r="B5853" s="1" t="s">
        <v>11153</v>
      </c>
      <c r="C5853" s="9" t="s">
        <v>1408</v>
      </c>
      <c r="D5853" s="14" t="s">
        <v>11154</v>
      </c>
      <c r="E5853" s="9" t="s">
        <v>30</v>
      </c>
    </row>
    <row r="5854" spans="1:5" ht="15" customHeight="1" outlineLevel="2" x14ac:dyDescent="0.25">
      <c r="A5854" s="3" t="str">
        <f>HYPERLINK("http://mystore1.ru/price_items/search?utf8=%E2%9C%93&amp;oem=6023BGNVRU1J","6023BGNVRU1J")</f>
        <v>6023BGNVRU1J</v>
      </c>
      <c r="B5854" s="1" t="s">
        <v>11155</v>
      </c>
      <c r="C5854" s="9" t="s">
        <v>1408</v>
      </c>
      <c r="D5854" s="14" t="s">
        <v>11156</v>
      </c>
      <c r="E5854" s="9" t="s">
        <v>30</v>
      </c>
    </row>
    <row r="5855" spans="1:5" outlineLevel="1" x14ac:dyDescent="0.25">
      <c r="A5855" s="2"/>
      <c r="B5855" s="6" t="s">
        <v>11157</v>
      </c>
      <c r="C5855" s="8"/>
      <c r="D5855" s="8"/>
      <c r="E5855" s="8"/>
    </row>
    <row r="5856" spans="1:5" ht="15" customHeight="1" outlineLevel="2" x14ac:dyDescent="0.25">
      <c r="A5856" s="3" t="str">
        <f>HYPERLINK("http://mystore1.ru/price_items/search?utf8=%E2%9C%93&amp;oem=6069AGSVW","6069AGSVW")</f>
        <v>6069AGSVW</v>
      </c>
      <c r="B5856" s="1" t="s">
        <v>11158</v>
      </c>
      <c r="C5856" s="9" t="s">
        <v>601</v>
      </c>
      <c r="D5856" s="14" t="s">
        <v>11159</v>
      </c>
      <c r="E5856" s="9" t="s">
        <v>8</v>
      </c>
    </row>
    <row r="5857" spans="1:5" ht="15" customHeight="1" outlineLevel="2" x14ac:dyDescent="0.25">
      <c r="A5857" s="3" t="str">
        <f>HYPERLINK("http://mystore1.ru/price_items/search?utf8=%E2%9C%93&amp;oem=6069AGSMVW1P","6069AGSMVW1P")</f>
        <v>6069AGSMVW1P</v>
      </c>
      <c r="B5857" s="1" t="s">
        <v>11160</v>
      </c>
      <c r="C5857" s="9" t="s">
        <v>601</v>
      </c>
      <c r="D5857" s="14" t="s">
        <v>11161</v>
      </c>
      <c r="E5857" s="9" t="s">
        <v>8</v>
      </c>
    </row>
    <row r="5858" spans="1:5" ht="15" customHeight="1" outlineLevel="2" x14ac:dyDescent="0.25">
      <c r="A5858" s="3" t="str">
        <f>HYPERLINK("http://mystore1.ru/price_items/search?utf8=%E2%9C%93&amp;oem=6069AGAMVW1P","6069AGAMVW1P")</f>
        <v>6069AGAMVW1P</v>
      </c>
      <c r="B5858" s="1" t="s">
        <v>11162</v>
      </c>
      <c r="C5858" s="9" t="s">
        <v>601</v>
      </c>
      <c r="D5858" s="14" t="s">
        <v>11163</v>
      </c>
      <c r="E5858" s="9" t="s">
        <v>8</v>
      </c>
    </row>
    <row r="5859" spans="1:5" ht="15" customHeight="1" outlineLevel="2" x14ac:dyDescent="0.25">
      <c r="A5859" s="3" t="str">
        <f>HYPERLINK("http://mystore1.ru/price_items/search?utf8=%E2%9C%93&amp;oem=6069AGAVW","6069AGAVW")</f>
        <v>6069AGAVW</v>
      </c>
      <c r="B5859" s="1" t="s">
        <v>11164</v>
      </c>
      <c r="C5859" s="9" t="s">
        <v>601</v>
      </c>
      <c r="D5859" s="14" t="s">
        <v>11165</v>
      </c>
      <c r="E5859" s="9" t="s">
        <v>8</v>
      </c>
    </row>
    <row r="5860" spans="1:5" ht="15" customHeight="1" outlineLevel="2" x14ac:dyDescent="0.25">
      <c r="A5860" s="3" t="str">
        <f>HYPERLINK("http://mystore1.ru/price_items/search?utf8=%E2%9C%93&amp;oem=6069RGSR5RDW","6069RGSR5RDW")</f>
        <v>6069RGSR5RDW</v>
      </c>
      <c r="B5860" s="1" t="s">
        <v>11166</v>
      </c>
      <c r="C5860" s="9" t="s">
        <v>601</v>
      </c>
      <c r="D5860" s="14" t="s">
        <v>11167</v>
      </c>
      <c r="E5860" s="9" t="s">
        <v>11</v>
      </c>
    </row>
    <row r="5861" spans="1:5" ht="15" customHeight="1" outlineLevel="2" x14ac:dyDescent="0.25">
      <c r="A5861" s="3" t="str">
        <f>HYPERLINK("http://mystore1.ru/price_items/search?utf8=%E2%9C%93&amp;oem=6069LGSR5RDW","6069LGSR5RDW")</f>
        <v>6069LGSR5RDW</v>
      </c>
      <c r="B5861" s="1" t="s">
        <v>11168</v>
      </c>
      <c r="C5861" s="9" t="s">
        <v>601</v>
      </c>
      <c r="D5861" s="14" t="s">
        <v>11169</v>
      </c>
      <c r="E5861" s="9" t="s">
        <v>11</v>
      </c>
    </row>
    <row r="5862" spans="1:5" ht="15" customHeight="1" outlineLevel="2" x14ac:dyDescent="0.25">
      <c r="A5862" s="3" t="str">
        <f>HYPERLINK("http://mystore1.ru/price_items/search?utf8=%E2%9C%93&amp;oem=6069LGSR5FDW","6069LGSR5FDW")</f>
        <v>6069LGSR5FDW</v>
      </c>
      <c r="B5862" s="1" t="s">
        <v>11170</v>
      </c>
      <c r="C5862" s="9" t="s">
        <v>601</v>
      </c>
      <c r="D5862" s="14" t="s">
        <v>11171</v>
      </c>
      <c r="E5862" s="9" t="s">
        <v>11</v>
      </c>
    </row>
    <row r="5863" spans="1:5" outlineLevel="1" x14ac:dyDescent="0.25">
      <c r="A5863" s="2"/>
      <c r="B5863" s="6" t="s">
        <v>11172</v>
      </c>
      <c r="C5863" s="8"/>
      <c r="D5863" s="8"/>
      <c r="E5863" s="8"/>
    </row>
    <row r="5864" spans="1:5" ht="15" customHeight="1" outlineLevel="2" x14ac:dyDescent="0.25">
      <c r="A5864" s="3" t="str">
        <f>HYPERLINK("http://mystore1.ru/price_items/search?utf8=%E2%9C%93&amp;oem=6030ACC","6030ACC")</f>
        <v>6030ACC</v>
      </c>
      <c r="B5864" s="1" t="s">
        <v>11173</v>
      </c>
      <c r="C5864" s="9" t="s">
        <v>1408</v>
      </c>
      <c r="D5864" s="14" t="s">
        <v>11174</v>
      </c>
      <c r="E5864" s="9" t="s">
        <v>8</v>
      </c>
    </row>
    <row r="5865" spans="1:5" ht="15" customHeight="1" outlineLevel="2" x14ac:dyDescent="0.25">
      <c r="A5865" s="3" t="str">
        <f>HYPERLINK("http://mystore1.ru/price_items/search?utf8=%E2%9C%93&amp;oem=6030AGS","6030AGS")</f>
        <v>6030AGS</v>
      </c>
      <c r="B5865" s="1" t="s">
        <v>11175</v>
      </c>
      <c r="C5865" s="9" t="s">
        <v>1408</v>
      </c>
      <c r="D5865" s="14" t="s">
        <v>11176</v>
      </c>
      <c r="E5865" s="9" t="s">
        <v>8</v>
      </c>
    </row>
    <row r="5866" spans="1:5" ht="15" customHeight="1" outlineLevel="2" x14ac:dyDescent="0.25">
      <c r="A5866" s="3" t="str">
        <f>HYPERLINK("http://mystore1.ru/price_items/search?utf8=%E2%9C%93&amp;oem=6030BGSV","6030BGSV")</f>
        <v>6030BGSV</v>
      </c>
      <c r="B5866" s="1" t="s">
        <v>11177</v>
      </c>
      <c r="C5866" s="9" t="s">
        <v>1408</v>
      </c>
      <c r="D5866" s="14" t="s">
        <v>11178</v>
      </c>
      <c r="E5866" s="9" t="s">
        <v>30</v>
      </c>
    </row>
    <row r="5867" spans="1:5" ht="15" customHeight="1" outlineLevel="2" x14ac:dyDescent="0.25">
      <c r="A5867" s="3" t="str">
        <f>HYPERLINK("http://mystore1.ru/price_items/search?utf8=%E2%9C%93&amp;oem=6030BGSVL","6030BGSVL")</f>
        <v>6030BGSVL</v>
      </c>
      <c r="B5867" s="1" t="s">
        <v>11179</v>
      </c>
      <c r="C5867" s="9" t="s">
        <v>1408</v>
      </c>
      <c r="D5867" s="14" t="s">
        <v>11180</v>
      </c>
      <c r="E5867" s="9" t="s">
        <v>30</v>
      </c>
    </row>
    <row r="5868" spans="1:5" ht="15" customHeight="1" outlineLevel="2" x14ac:dyDescent="0.25">
      <c r="A5868" s="3" t="str">
        <f>HYPERLINK("http://mystore1.ru/price_items/search?utf8=%E2%9C%93&amp;oem=6030BGSVRU","6030BGSVRU")</f>
        <v>6030BGSVRU</v>
      </c>
      <c r="B5868" s="1" t="s">
        <v>11181</v>
      </c>
      <c r="C5868" s="9" t="s">
        <v>1408</v>
      </c>
      <c r="D5868" s="14" t="s">
        <v>11182</v>
      </c>
      <c r="E5868" s="9" t="s">
        <v>30</v>
      </c>
    </row>
    <row r="5869" spans="1:5" ht="15" customHeight="1" outlineLevel="2" x14ac:dyDescent="0.25">
      <c r="A5869" s="3" t="str">
        <f>HYPERLINK("http://mystore1.ru/price_items/search?utf8=%E2%9C%93&amp;oem=6030LGSV3FD","6030LGSV3FD")</f>
        <v>6030LGSV3FD</v>
      </c>
      <c r="B5869" s="1" t="s">
        <v>11183</v>
      </c>
      <c r="C5869" s="9" t="s">
        <v>1408</v>
      </c>
      <c r="D5869" s="14" t="s">
        <v>11184</v>
      </c>
      <c r="E5869" s="9" t="s">
        <v>11</v>
      </c>
    </row>
    <row r="5870" spans="1:5" ht="15" customHeight="1" outlineLevel="2" x14ac:dyDescent="0.25">
      <c r="A5870" s="3" t="str">
        <f>HYPERLINK("http://mystore1.ru/price_items/search?utf8=%E2%9C%93&amp;oem=6030RGSV3FD","6030RGSV3FD")</f>
        <v>6030RGSV3FD</v>
      </c>
      <c r="B5870" s="1" t="s">
        <v>11185</v>
      </c>
      <c r="C5870" s="9" t="s">
        <v>1408</v>
      </c>
      <c r="D5870" s="14" t="s">
        <v>11186</v>
      </c>
      <c r="E5870" s="9" t="s">
        <v>11</v>
      </c>
    </row>
    <row r="5871" spans="1:5" ht="15" customHeight="1" outlineLevel="2" x14ac:dyDescent="0.25">
      <c r="A5871" s="3" t="str">
        <f>HYPERLINK("http://mystore1.ru/price_items/search?utf8=%E2%9C%93&amp;oem=6030RGSV3RD","6030RGSV3RD")</f>
        <v>6030RGSV3RD</v>
      </c>
      <c r="B5871" s="1" t="s">
        <v>11187</v>
      </c>
      <c r="C5871" s="9" t="s">
        <v>1408</v>
      </c>
      <c r="D5871" s="14" t="s">
        <v>11188</v>
      </c>
      <c r="E5871" s="9" t="s">
        <v>11</v>
      </c>
    </row>
    <row r="5872" spans="1:5" ht="15" customHeight="1" outlineLevel="2" x14ac:dyDescent="0.25">
      <c r="A5872" s="3" t="str">
        <f>HYPERLINK("http://mystore1.ru/price_items/search?utf8=%E2%9C%93&amp;oem=6030RGSV3RQ","6030RGSV3RQ")</f>
        <v>6030RGSV3RQ</v>
      </c>
      <c r="B5872" s="1" t="s">
        <v>11189</v>
      </c>
      <c r="C5872" s="9" t="s">
        <v>1408</v>
      </c>
      <c r="D5872" s="14" t="s">
        <v>11190</v>
      </c>
      <c r="E5872" s="9" t="s">
        <v>11</v>
      </c>
    </row>
    <row r="5873" spans="1:5" outlineLevel="1" x14ac:dyDescent="0.25">
      <c r="A5873" s="2"/>
      <c r="B5873" s="6" t="s">
        <v>11191</v>
      </c>
      <c r="C5873" s="8"/>
      <c r="D5873" s="8"/>
      <c r="E5873" s="8"/>
    </row>
    <row r="5874" spans="1:5" ht="15" customHeight="1" outlineLevel="2" x14ac:dyDescent="0.25">
      <c r="A5874" s="3" t="str">
        <f>HYPERLINK("http://mystore1.ru/price_items/search?utf8=%E2%9C%93&amp;oem=5964ABL","5964ABL")</f>
        <v>5964ABL</v>
      </c>
      <c r="B5874" s="1" t="s">
        <v>11192</v>
      </c>
      <c r="C5874" s="9" t="s">
        <v>6976</v>
      </c>
      <c r="D5874" s="14" t="s">
        <v>11193</v>
      </c>
      <c r="E5874" s="9" t="s">
        <v>8</v>
      </c>
    </row>
    <row r="5875" spans="1:5" outlineLevel="1" x14ac:dyDescent="0.25">
      <c r="A5875" s="2"/>
      <c r="B5875" s="6" t="s">
        <v>11194</v>
      </c>
      <c r="C5875" s="8"/>
      <c r="D5875" s="8"/>
      <c r="E5875" s="8"/>
    </row>
    <row r="5876" spans="1:5" ht="15" customHeight="1" outlineLevel="2" x14ac:dyDescent="0.25">
      <c r="A5876" s="3" t="str">
        <f>HYPERLINK("http://mystore1.ru/price_items/search?utf8=%E2%9C%93&amp;oem=5979ABL","5979ABL")</f>
        <v>5979ABL</v>
      </c>
      <c r="B5876" s="1" t="s">
        <v>11195</v>
      </c>
      <c r="C5876" s="9" t="s">
        <v>4646</v>
      </c>
      <c r="D5876" s="14" t="s">
        <v>11196</v>
      </c>
      <c r="E5876" s="9" t="s">
        <v>8</v>
      </c>
    </row>
    <row r="5877" spans="1:5" ht="15" customHeight="1" outlineLevel="2" x14ac:dyDescent="0.25">
      <c r="A5877" s="3" t="str">
        <f>HYPERLINK("http://mystore1.ru/price_items/search?utf8=%E2%9C%93&amp;oem=5979ABLBL","5979ABLBL")</f>
        <v>5979ABLBL</v>
      </c>
      <c r="B5877" s="1" t="s">
        <v>11197</v>
      </c>
      <c r="C5877" s="9" t="s">
        <v>4646</v>
      </c>
      <c r="D5877" s="14" t="s">
        <v>11198</v>
      </c>
      <c r="E5877" s="9" t="s">
        <v>8</v>
      </c>
    </row>
    <row r="5878" spans="1:5" ht="15" customHeight="1" outlineLevel="2" x14ac:dyDescent="0.25">
      <c r="A5878" s="3" t="str">
        <f>HYPERLINK("http://mystore1.ru/price_items/search?utf8=%E2%9C%93&amp;oem=5979AKMS","5979AKMS")</f>
        <v>5979AKMS</v>
      </c>
      <c r="B5878" s="1" t="s">
        <v>11199</v>
      </c>
      <c r="C5878" s="9" t="s">
        <v>25</v>
      </c>
      <c r="D5878" s="14" t="s">
        <v>11200</v>
      </c>
      <c r="E5878" s="9" t="s">
        <v>27</v>
      </c>
    </row>
    <row r="5879" spans="1:5" ht="15" customHeight="1" outlineLevel="2" x14ac:dyDescent="0.25">
      <c r="A5879" s="3" t="str">
        <f>HYPERLINK("http://mystore1.ru/price_items/search?utf8=%E2%9C%93&amp;oem=5979BBLSA","5979BBLSA")</f>
        <v>5979BBLSA</v>
      </c>
      <c r="B5879" s="1" t="s">
        <v>11201</v>
      </c>
      <c r="C5879" s="9" t="s">
        <v>4646</v>
      </c>
      <c r="D5879" s="14" t="s">
        <v>11202</v>
      </c>
      <c r="E5879" s="9" t="s">
        <v>30</v>
      </c>
    </row>
    <row r="5880" spans="1:5" ht="15" customHeight="1" outlineLevel="2" x14ac:dyDescent="0.25">
      <c r="A5880" s="3" t="str">
        <f>HYPERLINK("http://mystore1.ru/price_items/search?utf8=%E2%9C%93&amp;oem=5979LBLS4FDW","5979LBLS4FDW")</f>
        <v>5979LBLS4FDW</v>
      </c>
      <c r="B5880" s="1" t="s">
        <v>11203</v>
      </c>
      <c r="C5880" s="9" t="s">
        <v>4646</v>
      </c>
      <c r="D5880" s="14" t="s">
        <v>11204</v>
      </c>
      <c r="E5880" s="9" t="s">
        <v>11</v>
      </c>
    </row>
    <row r="5881" spans="1:5" ht="15" customHeight="1" outlineLevel="2" x14ac:dyDescent="0.25">
      <c r="A5881" s="3" t="str">
        <f>HYPERLINK("http://mystore1.ru/price_items/search?utf8=%E2%9C%93&amp;oem=5979RBLS4FDW","5979RBLS4FDW")</f>
        <v>5979RBLS4FDW</v>
      </c>
      <c r="B5881" s="1" t="s">
        <v>11205</v>
      </c>
      <c r="C5881" s="9" t="s">
        <v>4646</v>
      </c>
      <c r="D5881" s="14" t="s">
        <v>11206</v>
      </c>
      <c r="E5881" s="9" t="s">
        <v>11</v>
      </c>
    </row>
    <row r="5882" spans="1:5" outlineLevel="1" x14ac:dyDescent="0.25">
      <c r="A5882" s="2"/>
      <c r="B5882" s="6" t="s">
        <v>11207</v>
      </c>
      <c r="C5882" s="8"/>
      <c r="D5882" s="8"/>
      <c r="E5882" s="8"/>
    </row>
    <row r="5883" spans="1:5" ht="15" customHeight="1" outlineLevel="2" x14ac:dyDescent="0.25">
      <c r="A5883" s="3" t="str">
        <f>HYPERLINK("http://mystore1.ru/price_items/search?utf8=%E2%9C%93&amp;oem=5996AGN","5996AGN")</f>
        <v>5996AGN</v>
      </c>
      <c r="B5883" s="1" t="s">
        <v>11208</v>
      </c>
      <c r="C5883" s="9" t="s">
        <v>7065</v>
      </c>
      <c r="D5883" s="14" t="s">
        <v>11209</v>
      </c>
      <c r="E5883" s="9" t="s">
        <v>8</v>
      </c>
    </row>
    <row r="5884" spans="1:5" ht="15" customHeight="1" outlineLevel="2" x14ac:dyDescent="0.25">
      <c r="A5884" s="3" t="str">
        <f>HYPERLINK("http://mystore1.ru/price_items/search?utf8=%E2%9C%93&amp;oem=5996AGNBL","5996AGNBL")</f>
        <v>5996AGNBL</v>
      </c>
      <c r="B5884" s="1" t="s">
        <v>11210</v>
      </c>
      <c r="C5884" s="9" t="s">
        <v>7065</v>
      </c>
      <c r="D5884" s="14" t="s">
        <v>11211</v>
      </c>
      <c r="E5884" s="9" t="s">
        <v>8</v>
      </c>
    </row>
    <row r="5885" spans="1:5" ht="15" customHeight="1" outlineLevel="2" x14ac:dyDescent="0.25">
      <c r="A5885" s="3" t="str">
        <f>HYPERLINK("http://mystore1.ru/price_items/search?utf8=%E2%9C%93&amp;oem=5996AGNGY","5996AGNGY")</f>
        <v>5996AGNGY</v>
      </c>
      <c r="B5885" s="1" t="s">
        <v>11212</v>
      </c>
      <c r="C5885" s="9" t="s">
        <v>7065</v>
      </c>
      <c r="D5885" s="14" t="s">
        <v>11213</v>
      </c>
      <c r="E5885" s="9" t="s">
        <v>8</v>
      </c>
    </row>
    <row r="5886" spans="1:5" ht="15" customHeight="1" outlineLevel="2" x14ac:dyDescent="0.25">
      <c r="A5886" s="3" t="str">
        <f>HYPERLINK("http://mystore1.ru/price_items/search?utf8=%E2%9C%93&amp;oem=5996ASMST","5996ASMST")</f>
        <v>5996ASMST</v>
      </c>
      <c r="B5886" s="1" t="s">
        <v>11214</v>
      </c>
      <c r="C5886" s="9" t="s">
        <v>25</v>
      </c>
      <c r="D5886" s="14" t="s">
        <v>11215</v>
      </c>
      <c r="E5886" s="9" t="s">
        <v>27</v>
      </c>
    </row>
    <row r="5887" spans="1:5" ht="15" customHeight="1" outlineLevel="2" x14ac:dyDescent="0.25">
      <c r="A5887" s="3" t="str">
        <f>HYPERLINK("http://mystore1.ru/price_items/search?utf8=%E2%9C%93&amp;oem=5996BGNSA","5996BGNSA")</f>
        <v>5996BGNSA</v>
      </c>
      <c r="B5887" s="1" t="s">
        <v>11216</v>
      </c>
      <c r="C5887" s="9" t="s">
        <v>7065</v>
      </c>
      <c r="D5887" s="14" t="s">
        <v>11217</v>
      </c>
      <c r="E5887" s="9" t="s">
        <v>30</v>
      </c>
    </row>
    <row r="5888" spans="1:5" ht="15" customHeight="1" outlineLevel="2" x14ac:dyDescent="0.25">
      <c r="A5888" s="3" t="str">
        <f>HYPERLINK("http://mystore1.ru/price_items/search?utf8=%E2%9C%93&amp;oem=5996LGNS4FDW","5996LGNS4FDW")</f>
        <v>5996LGNS4FDW</v>
      </c>
      <c r="B5888" s="1" t="s">
        <v>11218</v>
      </c>
      <c r="C5888" s="9" t="s">
        <v>7065</v>
      </c>
      <c r="D5888" s="14" t="s">
        <v>11219</v>
      </c>
      <c r="E5888" s="9" t="s">
        <v>11</v>
      </c>
    </row>
    <row r="5889" spans="1:5" ht="15" customHeight="1" outlineLevel="2" x14ac:dyDescent="0.25">
      <c r="A5889" s="3" t="str">
        <f>HYPERLINK("http://mystore1.ru/price_items/search?utf8=%E2%9C%93&amp;oem=5996LGNS4RV","5996LGNS4RV")</f>
        <v>5996LGNS4RV</v>
      </c>
      <c r="B5889" s="1" t="s">
        <v>11220</v>
      </c>
      <c r="C5889" s="9" t="s">
        <v>7065</v>
      </c>
      <c r="D5889" s="14" t="s">
        <v>11221</v>
      </c>
      <c r="E5889" s="9" t="s">
        <v>11</v>
      </c>
    </row>
    <row r="5890" spans="1:5" ht="15" customHeight="1" outlineLevel="2" x14ac:dyDescent="0.25">
      <c r="A5890" s="3" t="str">
        <f>HYPERLINK("http://mystore1.ru/price_items/search?utf8=%E2%9C%93&amp;oem=5996RGNS4FDW","5996RGNS4FDW")</f>
        <v>5996RGNS4FDW</v>
      </c>
      <c r="B5890" s="1" t="s">
        <v>11222</v>
      </c>
      <c r="C5890" s="9" t="s">
        <v>7065</v>
      </c>
      <c r="D5890" s="14" t="s">
        <v>11223</v>
      </c>
      <c r="E5890" s="9" t="s">
        <v>11</v>
      </c>
    </row>
    <row r="5891" spans="1:5" ht="15" customHeight="1" outlineLevel="2" x14ac:dyDescent="0.25">
      <c r="A5891" s="3" t="str">
        <f>HYPERLINK("http://mystore1.ru/price_items/search?utf8=%E2%9C%93&amp;oem=5996RGNS4RDW","5996RGNS4RDW")</f>
        <v>5996RGNS4RDW</v>
      </c>
      <c r="B5891" s="1" t="s">
        <v>11224</v>
      </c>
      <c r="C5891" s="9" t="s">
        <v>7065</v>
      </c>
      <c r="D5891" s="14" t="s">
        <v>11225</v>
      </c>
      <c r="E5891" s="9" t="s">
        <v>11</v>
      </c>
    </row>
    <row r="5892" spans="1:5" outlineLevel="1" x14ac:dyDescent="0.25">
      <c r="A5892" s="2"/>
      <c r="B5892" s="6" t="s">
        <v>11226</v>
      </c>
      <c r="C5892" s="47"/>
      <c r="D5892" s="8"/>
      <c r="E5892" s="8"/>
    </row>
    <row r="5893" spans="1:5" ht="15" customHeight="1" outlineLevel="2" x14ac:dyDescent="0.25">
      <c r="A5893" s="3" t="str">
        <f>HYPERLINK("http://mystore1.ru/price_items/search?utf8=%E2%9C%93&amp;oem=6015AGNBL1C","6015AGNBL1C")</f>
        <v>6015AGNBL1C</v>
      </c>
      <c r="B5893" s="1" t="s">
        <v>11227</v>
      </c>
      <c r="C5893" s="9" t="s">
        <v>7126</v>
      </c>
      <c r="D5893" s="14" t="s">
        <v>11228</v>
      </c>
      <c r="E5893" s="9" t="s">
        <v>8</v>
      </c>
    </row>
    <row r="5894" spans="1:5" ht="15" customHeight="1" outlineLevel="2" x14ac:dyDescent="0.25">
      <c r="A5894" s="3" t="str">
        <f>HYPERLINK("http://mystore1.ru/price_items/search?utf8=%E2%9C%93&amp;oem=6015AGNBLW","6015AGNBLW")</f>
        <v>6015AGNBLW</v>
      </c>
      <c r="B5894" s="1" t="s">
        <v>11229</v>
      </c>
      <c r="C5894" s="9" t="s">
        <v>7126</v>
      </c>
      <c r="D5894" s="14" t="s">
        <v>11230</v>
      </c>
      <c r="E5894" s="9" t="s">
        <v>8</v>
      </c>
    </row>
    <row r="5895" spans="1:5" ht="15" customHeight="1" outlineLevel="2" x14ac:dyDescent="0.25">
      <c r="A5895" s="3" t="str">
        <f>HYPERLINK("http://mystore1.ru/price_items/search?utf8=%E2%9C%93&amp;oem=6015AKMST","6015AKMST")</f>
        <v>6015AKMST</v>
      </c>
      <c r="B5895" s="1" t="s">
        <v>11231</v>
      </c>
      <c r="C5895" s="9" t="s">
        <v>25</v>
      </c>
      <c r="D5895" s="14" t="s">
        <v>11232</v>
      </c>
      <c r="E5895" s="9" t="s">
        <v>27</v>
      </c>
    </row>
    <row r="5896" spans="1:5" ht="15" customHeight="1" outlineLevel="2" x14ac:dyDescent="0.25">
      <c r="A5896" s="3" t="str">
        <f>HYPERLINK("http://mystore1.ru/price_items/search?utf8=%E2%9C%93&amp;oem=6015ASMST","6015ASMST")</f>
        <v>6015ASMST</v>
      </c>
      <c r="B5896" s="1" t="s">
        <v>11233</v>
      </c>
      <c r="C5896" s="9" t="s">
        <v>25</v>
      </c>
      <c r="D5896" s="14" t="s">
        <v>11234</v>
      </c>
      <c r="E5896" s="9" t="s">
        <v>27</v>
      </c>
    </row>
    <row r="5897" spans="1:5" ht="15" customHeight="1" outlineLevel="2" x14ac:dyDescent="0.25">
      <c r="A5897" s="3" t="str">
        <f>HYPERLINK("http://mystore1.ru/price_items/search?utf8=%E2%9C%93&amp;oem=6015LGNS4FDW","6015LGNS4FDW")</f>
        <v>6015LGNS4FDW</v>
      </c>
      <c r="B5897" s="1" t="s">
        <v>11235</v>
      </c>
      <c r="C5897" s="9" t="s">
        <v>7126</v>
      </c>
      <c r="D5897" s="14" t="s">
        <v>11236</v>
      </c>
      <c r="E5897" s="9" t="s">
        <v>11</v>
      </c>
    </row>
    <row r="5898" spans="1:5" ht="15" customHeight="1" outlineLevel="2" x14ac:dyDescent="0.25">
      <c r="A5898" s="3" t="str">
        <f>HYPERLINK("http://mystore1.ru/price_items/search?utf8=%E2%9C%93&amp;oem=6015LGNS4RDW","6015LGNS4RDW")</f>
        <v>6015LGNS4RDW</v>
      </c>
      <c r="B5898" s="1" t="s">
        <v>11237</v>
      </c>
      <c r="C5898" s="9" t="s">
        <v>7126</v>
      </c>
      <c r="D5898" s="14" t="s">
        <v>11238</v>
      </c>
      <c r="E5898" s="9" t="s">
        <v>11</v>
      </c>
    </row>
    <row r="5899" spans="1:5" ht="15" customHeight="1" outlineLevel="2" x14ac:dyDescent="0.25">
      <c r="A5899" s="3" t="str">
        <f>HYPERLINK("http://mystore1.ru/price_items/search?utf8=%E2%9C%93&amp;oem=6015RGNS4FDW","6015RGNS4FDW")</f>
        <v>6015RGNS4FDW</v>
      </c>
      <c r="B5899" s="1" t="s">
        <v>11239</v>
      </c>
      <c r="C5899" s="9" t="s">
        <v>7126</v>
      </c>
      <c r="D5899" s="14" t="s">
        <v>11240</v>
      </c>
      <c r="E5899" s="9" t="s">
        <v>11</v>
      </c>
    </row>
    <row r="5900" spans="1:5" ht="15" customHeight="1" outlineLevel="2" x14ac:dyDescent="0.25">
      <c r="A5900" s="3" t="str">
        <f>HYPERLINK("http://mystore1.ru/price_items/search?utf8=%E2%9C%93&amp;oem=6015RGNS4RDW","6015RGNS4RDW")</f>
        <v>6015RGNS4RDW</v>
      </c>
      <c r="B5900" s="1" t="s">
        <v>11241</v>
      </c>
      <c r="C5900" s="9" t="s">
        <v>7126</v>
      </c>
      <c r="D5900" s="14" t="s">
        <v>11242</v>
      </c>
      <c r="E5900" s="9" t="s">
        <v>11</v>
      </c>
    </row>
    <row r="5901" spans="1:5" outlineLevel="1" x14ac:dyDescent="0.25">
      <c r="A5901" s="2"/>
      <c r="B5901" s="6" t="s">
        <v>11243</v>
      </c>
      <c r="C5901" s="8"/>
      <c r="D5901" s="8"/>
      <c r="E5901" s="8"/>
    </row>
    <row r="5902" spans="1:5" ht="15" customHeight="1" outlineLevel="2" x14ac:dyDescent="0.25">
      <c r="A5902" s="3" t="str">
        <f>HYPERLINK("http://mystore1.ru/price_items/search?utf8=%E2%9C%93&amp;oem=5956ABL","5956ABL")</f>
        <v>5956ABL</v>
      </c>
      <c r="B5902" s="1" t="s">
        <v>11244</v>
      </c>
      <c r="C5902" s="9" t="s">
        <v>1749</v>
      </c>
      <c r="D5902" s="14" t="s">
        <v>11245</v>
      </c>
      <c r="E5902" s="9" t="s">
        <v>8</v>
      </c>
    </row>
    <row r="5903" spans="1:5" ht="15" customHeight="1" outlineLevel="2" x14ac:dyDescent="0.25">
      <c r="A5903" s="3" t="str">
        <f>HYPERLINK("http://mystore1.ru/price_items/search?utf8=%E2%9C%93&amp;oem=5956ABLBL","5956ABLBL")</f>
        <v>5956ABLBL</v>
      </c>
      <c r="B5903" s="1" t="s">
        <v>11246</v>
      </c>
      <c r="C5903" s="9" t="s">
        <v>1749</v>
      </c>
      <c r="D5903" s="14" t="s">
        <v>11247</v>
      </c>
      <c r="E5903" s="9" t="s">
        <v>8</v>
      </c>
    </row>
    <row r="5904" spans="1:5" ht="15" customHeight="1" outlineLevel="2" x14ac:dyDescent="0.25">
      <c r="A5904" s="3" t="str">
        <f>HYPERLINK("http://mystore1.ru/price_items/search?utf8=%E2%9C%93&amp;oem=5956ACL","5956ACL")</f>
        <v>5956ACL</v>
      </c>
      <c r="B5904" s="1" t="s">
        <v>11248</v>
      </c>
      <c r="C5904" s="9" t="s">
        <v>1749</v>
      </c>
      <c r="D5904" s="14" t="s">
        <v>11249</v>
      </c>
      <c r="E5904" s="9" t="s">
        <v>8</v>
      </c>
    </row>
    <row r="5905" spans="1:5" ht="15" customHeight="1" outlineLevel="2" x14ac:dyDescent="0.25">
      <c r="A5905" s="3" t="str">
        <f>HYPERLINK("http://mystore1.ru/price_items/search?utf8=%E2%9C%93&amp;oem=5956ASRH","5956ASRH")</f>
        <v>5956ASRH</v>
      </c>
      <c r="B5905" s="1" t="s">
        <v>11250</v>
      </c>
      <c r="C5905" s="9" t="s">
        <v>25</v>
      </c>
      <c r="D5905" s="14" t="s">
        <v>11251</v>
      </c>
      <c r="E5905" s="9" t="s">
        <v>27</v>
      </c>
    </row>
    <row r="5906" spans="1:5" ht="15" customHeight="1" outlineLevel="2" x14ac:dyDescent="0.25">
      <c r="A5906" s="3" t="str">
        <f>HYPERLINK("http://mystore1.ru/price_items/search?utf8=%E2%9C%93&amp;oem=5956BBLH","5956BBLH")</f>
        <v>5956BBLH</v>
      </c>
      <c r="B5906" s="1" t="s">
        <v>11252</v>
      </c>
      <c r="C5906" s="9" t="s">
        <v>1749</v>
      </c>
      <c r="D5906" s="14" t="s">
        <v>11253</v>
      </c>
      <c r="E5906" s="9" t="s">
        <v>30</v>
      </c>
    </row>
    <row r="5907" spans="1:5" ht="15" customHeight="1" outlineLevel="2" x14ac:dyDescent="0.25">
      <c r="A5907" s="3" t="str">
        <f>HYPERLINK("http://mystore1.ru/price_items/search?utf8=%E2%9C%93&amp;oem=5956BCLH","5956BCLH")</f>
        <v>5956BCLH</v>
      </c>
      <c r="B5907" s="1" t="s">
        <v>11254</v>
      </c>
      <c r="C5907" s="9" t="s">
        <v>1749</v>
      </c>
      <c r="D5907" s="14" t="s">
        <v>11255</v>
      </c>
      <c r="E5907" s="9" t="s">
        <v>30</v>
      </c>
    </row>
    <row r="5908" spans="1:5" ht="15" customHeight="1" outlineLevel="2" x14ac:dyDescent="0.25">
      <c r="A5908" s="3" t="str">
        <f>HYPERLINK("http://mystore1.ru/price_items/search?utf8=%E2%9C%93&amp;oem=5956LCLH3RQO","5956LCLH3RQO")</f>
        <v>5956LCLH3RQO</v>
      </c>
      <c r="B5908" s="1" t="s">
        <v>11256</v>
      </c>
      <c r="C5908" s="9" t="s">
        <v>1749</v>
      </c>
      <c r="D5908" s="14" t="s">
        <v>11257</v>
      </c>
      <c r="E5908" s="9" t="s">
        <v>11</v>
      </c>
    </row>
    <row r="5909" spans="1:5" ht="15" customHeight="1" outlineLevel="2" x14ac:dyDescent="0.25">
      <c r="A5909" s="3" t="str">
        <f>HYPERLINK("http://mystore1.ru/price_items/search?utf8=%E2%9C%93&amp;oem=5956RCLH3RQO","5956RCLH3RQO")</f>
        <v>5956RCLH3RQO</v>
      </c>
      <c r="B5909" s="1" t="s">
        <v>11258</v>
      </c>
      <c r="C5909" s="9" t="s">
        <v>1749</v>
      </c>
      <c r="D5909" s="14" t="s">
        <v>11259</v>
      </c>
      <c r="E5909" s="9" t="s">
        <v>11</v>
      </c>
    </row>
    <row r="5910" spans="1:5" outlineLevel="1" x14ac:dyDescent="0.25">
      <c r="A5910" s="2"/>
      <c r="B5910" s="6" t="s">
        <v>11260</v>
      </c>
      <c r="C5910" s="8"/>
      <c r="D5910" s="8"/>
      <c r="E5910" s="8"/>
    </row>
    <row r="5911" spans="1:5" ht="15" customHeight="1" outlineLevel="2" x14ac:dyDescent="0.25">
      <c r="A5911" s="3" t="str">
        <f>HYPERLINK("http://mystore1.ru/price_items/search?utf8=%E2%9C%93&amp;oem=5988ABL","5988ABL")</f>
        <v>5988ABL</v>
      </c>
      <c r="B5911" s="1" t="s">
        <v>11261</v>
      </c>
      <c r="C5911" s="9" t="s">
        <v>7001</v>
      </c>
      <c r="D5911" s="14" t="s">
        <v>11262</v>
      </c>
      <c r="E5911" s="9" t="s">
        <v>8</v>
      </c>
    </row>
    <row r="5912" spans="1:5" ht="15" customHeight="1" outlineLevel="2" x14ac:dyDescent="0.25">
      <c r="A5912" s="3" t="str">
        <f>HYPERLINK("http://mystore1.ru/price_items/search?utf8=%E2%9C%93&amp;oem=5988ABLBL","5988ABLBL")</f>
        <v>5988ABLBL</v>
      </c>
      <c r="B5912" s="1" t="s">
        <v>11263</v>
      </c>
      <c r="C5912" s="9" t="s">
        <v>3106</v>
      </c>
      <c r="D5912" s="14" t="s">
        <v>11264</v>
      </c>
      <c r="E5912" s="9" t="s">
        <v>8</v>
      </c>
    </row>
    <row r="5913" spans="1:5" ht="15" customHeight="1" outlineLevel="2" x14ac:dyDescent="0.25">
      <c r="A5913" s="3" t="str">
        <f>HYPERLINK("http://mystore1.ru/price_items/search?utf8=%E2%9C%93&amp;oem=5988ACL","5988ACL")</f>
        <v>5988ACL</v>
      </c>
      <c r="B5913" s="1" t="s">
        <v>11265</v>
      </c>
      <c r="C5913" s="9" t="s">
        <v>7001</v>
      </c>
      <c r="D5913" s="14" t="s">
        <v>11266</v>
      </c>
      <c r="E5913" s="9" t="s">
        <v>8</v>
      </c>
    </row>
    <row r="5914" spans="1:5" ht="15" customHeight="1" outlineLevel="2" x14ac:dyDescent="0.25">
      <c r="A5914" s="3" t="str">
        <f>HYPERLINK("http://mystore1.ru/price_items/search?utf8=%E2%9C%93&amp;oem=5988AGN","5988AGN")</f>
        <v>5988AGN</v>
      </c>
      <c r="B5914" s="1" t="s">
        <v>11267</v>
      </c>
      <c r="C5914" s="9" t="s">
        <v>7001</v>
      </c>
      <c r="D5914" s="14" t="s">
        <v>11268</v>
      </c>
      <c r="E5914" s="9" t="s">
        <v>8</v>
      </c>
    </row>
    <row r="5915" spans="1:5" ht="15" customHeight="1" outlineLevel="2" x14ac:dyDescent="0.25">
      <c r="A5915" s="3" t="str">
        <f>HYPERLINK("http://mystore1.ru/price_items/search?utf8=%E2%9C%93&amp;oem=5988AGN1B","5988AGN1B")</f>
        <v>5988AGN1B</v>
      </c>
      <c r="B5915" s="1" t="s">
        <v>11269</v>
      </c>
      <c r="C5915" s="9" t="s">
        <v>7001</v>
      </c>
      <c r="D5915" s="14" t="s">
        <v>11270</v>
      </c>
      <c r="E5915" s="9" t="s">
        <v>8</v>
      </c>
    </row>
    <row r="5916" spans="1:5" ht="15" customHeight="1" outlineLevel="2" x14ac:dyDescent="0.25">
      <c r="A5916" s="3" t="str">
        <f>HYPERLINK("http://mystore1.ru/price_items/search?utf8=%E2%9C%93&amp;oem=5988AGNBL","5988AGNBL")</f>
        <v>5988AGNBL</v>
      </c>
      <c r="B5916" s="1" t="s">
        <v>11271</v>
      </c>
      <c r="C5916" s="9" t="s">
        <v>7001</v>
      </c>
      <c r="D5916" s="14" t="s">
        <v>11272</v>
      </c>
      <c r="E5916" s="9" t="s">
        <v>8</v>
      </c>
    </row>
    <row r="5917" spans="1:5" ht="15" customHeight="1" outlineLevel="2" x14ac:dyDescent="0.25">
      <c r="A5917" s="3" t="str">
        <f>HYPERLINK("http://mystore1.ru/price_items/search?utf8=%E2%9C%93&amp;oem=5988AGNBL1B","5988AGNBL1B")</f>
        <v>5988AGNBL1B</v>
      </c>
      <c r="B5917" s="1" t="s">
        <v>11273</v>
      </c>
      <c r="C5917" s="9" t="s">
        <v>7001</v>
      </c>
      <c r="D5917" s="14" t="s">
        <v>11274</v>
      </c>
      <c r="E5917" s="9" t="s">
        <v>8</v>
      </c>
    </row>
    <row r="5918" spans="1:5" ht="15" customHeight="1" outlineLevel="2" x14ac:dyDescent="0.25">
      <c r="A5918" s="3" t="str">
        <f>HYPERLINK("http://mystore1.ru/price_items/search?utf8=%E2%9C%93&amp;oem=5988AKMH","5988AKMH")</f>
        <v>5988AKMH</v>
      </c>
      <c r="B5918" s="1" t="s">
        <v>11275</v>
      </c>
      <c r="C5918" s="9" t="s">
        <v>25</v>
      </c>
      <c r="D5918" s="14" t="s">
        <v>11276</v>
      </c>
      <c r="E5918" s="9" t="s">
        <v>27</v>
      </c>
    </row>
    <row r="5919" spans="1:5" ht="15" customHeight="1" outlineLevel="2" x14ac:dyDescent="0.25">
      <c r="A5919" s="3" t="str">
        <f>HYPERLINK("http://mystore1.ru/price_items/search?utf8=%E2%9C%93&amp;oem=5988ASGH","5988ASGH")</f>
        <v>5988ASGH</v>
      </c>
      <c r="B5919" s="1" t="s">
        <v>11277</v>
      </c>
      <c r="C5919" s="9" t="s">
        <v>25</v>
      </c>
      <c r="D5919" s="14" t="s">
        <v>11278</v>
      </c>
      <c r="E5919" s="9" t="s">
        <v>27</v>
      </c>
    </row>
    <row r="5920" spans="1:5" ht="15" customHeight="1" outlineLevel="2" x14ac:dyDescent="0.25">
      <c r="A5920" s="3" t="str">
        <f>HYPERLINK("http://mystore1.ru/price_items/search?utf8=%E2%9C%93&amp;oem=5988BGNH1H","5988BGNH1H")</f>
        <v>5988BGNH1H</v>
      </c>
      <c r="B5920" s="1" t="s">
        <v>11279</v>
      </c>
      <c r="C5920" s="9" t="s">
        <v>7001</v>
      </c>
      <c r="D5920" s="14" t="s">
        <v>11280</v>
      </c>
      <c r="E5920" s="9" t="s">
        <v>30</v>
      </c>
    </row>
    <row r="5921" spans="1:5" ht="15" customHeight="1" outlineLevel="2" x14ac:dyDescent="0.25">
      <c r="A5921" s="3" t="str">
        <f>HYPERLINK("http://mystore1.ru/price_items/search?utf8=%E2%9C%93&amp;oem=5988BGNHB1P","5988BGNHB1P")</f>
        <v>5988BGNHB1P</v>
      </c>
      <c r="B5921" s="1" t="s">
        <v>11281</v>
      </c>
      <c r="C5921" s="9" t="s">
        <v>7001</v>
      </c>
      <c r="D5921" s="14" t="s">
        <v>11282</v>
      </c>
      <c r="E5921" s="9" t="s">
        <v>30</v>
      </c>
    </row>
    <row r="5922" spans="1:5" ht="15" customHeight="1" outlineLevel="2" x14ac:dyDescent="0.25">
      <c r="A5922" s="3" t="str">
        <f>HYPERLINK("http://mystore1.ru/price_items/search?utf8=%E2%9C%93&amp;oem=5988LCLH3FDW","5988LCLH3FDW")</f>
        <v>5988LCLH3FDW</v>
      </c>
      <c r="B5922" s="1" t="s">
        <v>11283</v>
      </c>
      <c r="C5922" s="9" t="s">
        <v>7001</v>
      </c>
      <c r="D5922" s="14" t="s">
        <v>11284</v>
      </c>
      <c r="E5922" s="9" t="s">
        <v>11</v>
      </c>
    </row>
    <row r="5923" spans="1:5" ht="15" customHeight="1" outlineLevel="2" x14ac:dyDescent="0.25">
      <c r="A5923" s="3" t="str">
        <f>HYPERLINK("http://mystore1.ru/price_items/search?utf8=%E2%9C%93&amp;oem=5988LCLH5FDW","5988LCLH5FDW")</f>
        <v>5988LCLH5FDW</v>
      </c>
      <c r="B5923" s="1" t="s">
        <v>11285</v>
      </c>
      <c r="C5923" s="9" t="s">
        <v>7001</v>
      </c>
      <c r="D5923" s="14" t="s">
        <v>11286</v>
      </c>
      <c r="E5923" s="9" t="s">
        <v>11</v>
      </c>
    </row>
    <row r="5924" spans="1:5" ht="15" customHeight="1" outlineLevel="2" x14ac:dyDescent="0.25">
      <c r="A5924" s="3" t="str">
        <f>HYPERLINK("http://mystore1.ru/price_items/search?utf8=%E2%9C%93&amp;oem=5988LCLH5RDW","5988LCLH5RDW")</f>
        <v>5988LCLH5RDW</v>
      </c>
      <c r="B5924" s="1" t="s">
        <v>11287</v>
      </c>
      <c r="C5924" s="9" t="s">
        <v>7001</v>
      </c>
      <c r="D5924" s="14" t="s">
        <v>11288</v>
      </c>
      <c r="E5924" s="9" t="s">
        <v>11</v>
      </c>
    </row>
    <row r="5925" spans="1:5" ht="15" customHeight="1" outlineLevel="2" x14ac:dyDescent="0.25">
      <c r="A5925" s="3" t="str">
        <f>HYPERLINK("http://mystore1.ru/price_items/search?utf8=%E2%9C%93&amp;oem=5988LCLH5RV","5988LCLH5RV")</f>
        <v>5988LCLH5RV</v>
      </c>
      <c r="B5925" s="1" t="s">
        <v>11289</v>
      </c>
      <c r="C5925" s="9" t="s">
        <v>7001</v>
      </c>
      <c r="D5925" s="14" t="s">
        <v>11290</v>
      </c>
      <c r="E5925" s="9" t="s">
        <v>11</v>
      </c>
    </row>
    <row r="5926" spans="1:5" ht="15" customHeight="1" outlineLevel="2" x14ac:dyDescent="0.25">
      <c r="A5926" s="3" t="str">
        <f>HYPERLINK("http://mystore1.ru/price_items/search?utf8=%E2%9C%93&amp;oem=5988LGNH3FDW","5988LGNH3FDW")</f>
        <v>5988LGNH3FDW</v>
      </c>
      <c r="B5926" s="1" t="s">
        <v>11291</v>
      </c>
      <c r="C5926" s="9" t="s">
        <v>7001</v>
      </c>
      <c r="D5926" s="14" t="s">
        <v>11292</v>
      </c>
      <c r="E5926" s="9" t="s">
        <v>11</v>
      </c>
    </row>
    <row r="5927" spans="1:5" ht="15" customHeight="1" outlineLevel="2" x14ac:dyDescent="0.25">
      <c r="A5927" s="3" t="str">
        <f>HYPERLINK("http://mystore1.ru/price_items/search?utf8=%E2%9C%93&amp;oem=5988LGNH5FDW","5988LGNH5FDW")</f>
        <v>5988LGNH5FDW</v>
      </c>
      <c r="B5927" s="1" t="s">
        <v>11293</v>
      </c>
      <c r="C5927" s="9" t="s">
        <v>7001</v>
      </c>
      <c r="D5927" s="14" t="s">
        <v>11294</v>
      </c>
      <c r="E5927" s="9" t="s">
        <v>11</v>
      </c>
    </row>
    <row r="5928" spans="1:5" ht="15" customHeight="1" outlineLevel="2" x14ac:dyDescent="0.25">
      <c r="A5928" s="3" t="str">
        <f>HYPERLINK("http://mystore1.ru/price_items/search?utf8=%E2%9C%93&amp;oem=5988LGNH5RDW","5988LGNH5RDW")</f>
        <v>5988LGNH5RDW</v>
      </c>
      <c r="B5928" s="1" t="s">
        <v>11295</v>
      </c>
      <c r="C5928" s="9" t="s">
        <v>7001</v>
      </c>
      <c r="D5928" s="14" t="s">
        <v>11296</v>
      </c>
      <c r="E5928" s="9" t="s">
        <v>11</v>
      </c>
    </row>
    <row r="5929" spans="1:5" ht="15" customHeight="1" outlineLevel="2" x14ac:dyDescent="0.25">
      <c r="A5929" s="3" t="str">
        <f>HYPERLINK("http://mystore1.ru/price_items/search?utf8=%E2%9C%93&amp;oem=5988RBLH5FDW","5988RBLH5FDW")</f>
        <v>5988RBLH5FDW</v>
      </c>
      <c r="B5929" s="1" t="s">
        <v>11297</v>
      </c>
      <c r="C5929" s="9" t="s">
        <v>7001</v>
      </c>
      <c r="D5929" s="14" t="s">
        <v>11298</v>
      </c>
      <c r="E5929" s="9" t="s">
        <v>11</v>
      </c>
    </row>
    <row r="5930" spans="1:5" ht="15" customHeight="1" outlineLevel="2" x14ac:dyDescent="0.25">
      <c r="A5930" s="3" t="str">
        <f>HYPERLINK("http://mystore1.ru/price_items/search?utf8=%E2%9C%93&amp;oem=5988RCLH3FDW","5988RCLH3FDW")</f>
        <v>5988RCLH3FDW</v>
      </c>
      <c r="B5930" s="1" t="s">
        <v>11299</v>
      </c>
      <c r="C5930" s="9" t="s">
        <v>7001</v>
      </c>
      <c r="D5930" s="14" t="s">
        <v>11300</v>
      </c>
      <c r="E5930" s="9" t="s">
        <v>11</v>
      </c>
    </row>
    <row r="5931" spans="1:5" ht="15" customHeight="1" outlineLevel="2" x14ac:dyDescent="0.25">
      <c r="A5931" s="3" t="str">
        <f>HYPERLINK("http://mystore1.ru/price_items/search?utf8=%E2%9C%93&amp;oem=5988RCLH5FDW","5988RCLH5FDW")</f>
        <v>5988RCLH5FDW</v>
      </c>
      <c r="B5931" s="1" t="s">
        <v>11301</v>
      </c>
      <c r="C5931" s="9" t="s">
        <v>7001</v>
      </c>
      <c r="D5931" s="14" t="s">
        <v>11302</v>
      </c>
      <c r="E5931" s="9" t="s">
        <v>11</v>
      </c>
    </row>
    <row r="5932" spans="1:5" ht="15" customHeight="1" outlineLevel="2" x14ac:dyDescent="0.25">
      <c r="A5932" s="3" t="str">
        <f>HYPERLINK("http://mystore1.ru/price_items/search?utf8=%E2%9C%93&amp;oem=5988RCLH5RDW","5988RCLH5RDW")</f>
        <v>5988RCLH5RDW</v>
      </c>
      <c r="B5932" s="1" t="s">
        <v>11303</v>
      </c>
      <c r="C5932" s="9" t="s">
        <v>7001</v>
      </c>
      <c r="D5932" s="14" t="s">
        <v>11304</v>
      </c>
      <c r="E5932" s="9" t="s">
        <v>11</v>
      </c>
    </row>
    <row r="5933" spans="1:5" ht="15" customHeight="1" outlineLevel="2" x14ac:dyDescent="0.25">
      <c r="A5933" s="3" t="str">
        <f>HYPERLINK("http://mystore1.ru/price_items/search?utf8=%E2%9C%93&amp;oem=5988RCLH5RV","5988RCLH5RV")</f>
        <v>5988RCLH5RV</v>
      </c>
      <c r="B5933" s="1" t="s">
        <v>11305</v>
      </c>
      <c r="C5933" s="9" t="s">
        <v>7001</v>
      </c>
      <c r="D5933" s="14" t="s">
        <v>11306</v>
      </c>
      <c r="E5933" s="9" t="s">
        <v>11</v>
      </c>
    </row>
    <row r="5934" spans="1:5" ht="15" customHeight="1" outlineLevel="2" x14ac:dyDescent="0.25">
      <c r="A5934" s="3" t="str">
        <f>HYPERLINK("http://mystore1.ru/price_items/search?utf8=%E2%9C%93&amp;oem=5988RGNH3FDW","5988RGNH3FDW")</f>
        <v>5988RGNH3FDW</v>
      </c>
      <c r="B5934" s="1" t="s">
        <v>11307</v>
      </c>
      <c r="C5934" s="9" t="s">
        <v>7001</v>
      </c>
      <c r="D5934" s="14" t="s">
        <v>11308</v>
      </c>
      <c r="E5934" s="9" t="s">
        <v>11</v>
      </c>
    </row>
    <row r="5935" spans="1:5" ht="15" customHeight="1" outlineLevel="2" x14ac:dyDescent="0.25">
      <c r="A5935" s="3" t="str">
        <f>HYPERLINK("http://mystore1.ru/price_items/search?utf8=%E2%9C%93&amp;oem=5988RGNH5FDW","5988RGNH5FDW")</f>
        <v>5988RGNH5FDW</v>
      </c>
      <c r="B5935" s="1" t="s">
        <v>11309</v>
      </c>
      <c r="C5935" s="9" t="s">
        <v>7001</v>
      </c>
      <c r="D5935" s="14" t="s">
        <v>11310</v>
      </c>
      <c r="E5935" s="9" t="s">
        <v>11</v>
      </c>
    </row>
    <row r="5936" spans="1:5" outlineLevel="1" x14ac:dyDescent="0.25">
      <c r="A5936" s="2"/>
      <c r="B5936" s="6" t="s">
        <v>11311</v>
      </c>
      <c r="C5936" s="8"/>
      <c r="D5936" s="8"/>
      <c r="E5936" s="8"/>
    </row>
    <row r="5937" spans="1:5" ht="15" customHeight="1" outlineLevel="2" x14ac:dyDescent="0.25">
      <c r="A5937" s="3" t="str">
        <f>HYPERLINK("http://mystore1.ru/price_items/search?utf8=%E2%9C%93&amp;oem=6011AGNMV1B","6011AGNMV1B")</f>
        <v>6011AGNMV1B</v>
      </c>
      <c r="B5937" s="1" t="s">
        <v>11312</v>
      </c>
      <c r="C5937" s="9" t="s">
        <v>1617</v>
      </c>
      <c r="D5937" s="14" t="s">
        <v>11313</v>
      </c>
      <c r="E5937" s="9" t="s">
        <v>8</v>
      </c>
    </row>
    <row r="5938" spans="1:5" ht="15" customHeight="1" outlineLevel="2" x14ac:dyDescent="0.25">
      <c r="A5938" s="3" t="str">
        <f>HYPERLINK("http://mystore1.ru/price_items/search?utf8=%E2%9C%93&amp;oem=6011AGNV","6011AGNV")</f>
        <v>6011AGNV</v>
      </c>
      <c r="B5938" s="1" t="s">
        <v>11314</v>
      </c>
      <c r="C5938" s="9" t="s">
        <v>1617</v>
      </c>
      <c r="D5938" s="14" t="s">
        <v>11315</v>
      </c>
      <c r="E5938" s="9" t="s">
        <v>8</v>
      </c>
    </row>
    <row r="5939" spans="1:5" ht="15" customHeight="1" outlineLevel="2" x14ac:dyDescent="0.25">
      <c r="A5939" s="3" t="str">
        <f>HYPERLINK("http://mystore1.ru/price_items/search?utf8=%E2%9C%93&amp;oem=6011ASMH","6011ASMH")</f>
        <v>6011ASMH</v>
      </c>
      <c r="B5939" s="1" t="s">
        <v>11316</v>
      </c>
      <c r="C5939" s="9" t="s">
        <v>25</v>
      </c>
      <c r="D5939" s="14" t="s">
        <v>11317</v>
      </c>
      <c r="E5939" s="9" t="s">
        <v>27</v>
      </c>
    </row>
    <row r="5940" spans="1:5" ht="15" customHeight="1" outlineLevel="2" x14ac:dyDescent="0.25">
      <c r="A5940" s="3" t="str">
        <f>HYPERLINK("http://mystore1.ru/price_items/search?utf8=%E2%9C%93&amp;oem=6011BGNHW","6011BGNHW")</f>
        <v>6011BGNHW</v>
      </c>
      <c r="B5940" s="1" t="s">
        <v>11318</v>
      </c>
      <c r="C5940" s="9" t="s">
        <v>1617</v>
      </c>
      <c r="D5940" s="14" t="s">
        <v>11319</v>
      </c>
      <c r="E5940" s="9" t="s">
        <v>30</v>
      </c>
    </row>
    <row r="5941" spans="1:5" ht="15" customHeight="1" outlineLevel="2" x14ac:dyDescent="0.25">
      <c r="A5941" s="3" t="str">
        <f>HYPERLINK("http://mystore1.ru/price_items/search?utf8=%E2%9C%93&amp;oem=6011BGNHBW1H","6011BGNHBW1H")</f>
        <v>6011BGNHBW1H</v>
      </c>
      <c r="B5941" s="1" t="s">
        <v>11320</v>
      </c>
      <c r="C5941" s="9" t="s">
        <v>1617</v>
      </c>
      <c r="D5941" s="14" t="s">
        <v>11321</v>
      </c>
      <c r="E5941" s="9" t="s">
        <v>30</v>
      </c>
    </row>
    <row r="5942" spans="1:5" ht="15" customHeight="1" outlineLevel="2" x14ac:dyDescent="0.25">
      <c r="A5942" s="3" t="str">
        <f>HYPERLINK("http://mystore1.ru/price_items/search?utf8=%E2%9C%93&amp;oem=6011LGNH3FDW","6011LGNH3FDW")</f>
        <v>6011LGNH3FDW</v>
      </c>
      <c r="B5942" s="1" t="s">
        <v>11322</v>
      </c>
      <c r="C5942" s="9" t="s">
        <v>1617</v>
      </c>
      <c r="D5942" s="14" t="s">
        <v>11323</v>
      </c>
      <c r="E5942" s="9" t="s">
        <v>11</v>
      </c>
    </row>
    <row r="5943" spans="1:5" ht="15" customHeight="1" outlineLevel="2" x14ac:dyDescent="0.25">
      <c r="A5943" s="3" t="str">
        <f>HYPERLINK("http://mystore1.ru/price_items/search?utf8=%E2%9C%93&amp;oem=6011LGNH3RQ","6011LGNH3RQ")</f>
        <v>6011LGNH3RQ</v>
      </c>
      <c r="B5943" s="1" t="s">
        <v>11324</v>
      </c>
      <c r="C5943" s="9" t="s">
        <v>1617</v>
      </c>
      <c r="D5943" s="14" t="s">
        <v>11325</v>
      </c>
      <c r="E5943" s="9" t="s">
        <v>11</v>
      </c>
    </row>
    <row r="5944" spans="1:5" ht="15" customHeight="1" outlineLevel="2" x14ac:dyDescent="0.25">
      <c r="A5944" s="3" t="str">
        <f>HYPERLINK("http://mystore1.ru/price_items/search?utf8=%E2%9C%93&amp;oem=6011LGNH5FDW","6011LGNH5FDW")</f>
        <v>6011LGNH5FDW</v>
      </c>
      <c r="B5944" s="1" t="s">
        <v>11326</v>
      </c>
      <c r="C5944" s="9" t="s">
        <v>1617</v>
      </c>
      <c r="D5944" s="14" t="s">
        <v>11323</v>
      </c>
      <c r="E5944" s="9" t="s">
        <v>11</v>
      </c>
    </row>
    <row r="5945" spans="1:5" ht="15" customHeight="1" outlineLevel="2" x14ac:dyDescent="0.25">
      <c r="A5945" s="3" t="str">
        <f>HYPERLINK("http://mystore1.ru/price_items/search?utf8=%E2%9C%93&amp;oem=6011LGNH5RDW","6011LGNH5RDW")</f>
        <v>6011LGNH5RDW</v>
      </c>
      <c r="B5945" s="1" t="s">
        <v>11327</v>
      </c>
      <c r="C5945" s="9" t="s">
        <v>1617</v>
      </c>
      <c r="D5945" s="14" t="s">
        <v>11328</v>
      </c>
      <c r="E5945" s="9" t="s">
        <v>11</v>
      </c>
    </row>
    <row r="5946" spans="1:5" ht="15" customHeight="1" outlineLevel="2" x14ac:dyDescent="0.25">
      <c r="A5946" s="3" t="str">
        <f>HYPERLINK("http://mystore1.ru/price_items/search?utf8=%E2%9C%93&amp;oem=6011LGNH5RV","6011LGNH5RV")</f>
        <v>6011LGNH5RV</v>
      </c>
      <c r="B5946" s="1" t="s">
        <v>11329</v>
      </c>
      <c r="C5946" s="9" t="s">
        <v>1617</v>
      </c>
      <c r="D5946" s="14" t="s">
        <v>11330</v>
      </c>
      <c r="E5946" s="9" t="s">
        <v>11</v>
      </c>
    </row>
    <row r="5947" spans="1:5" ht="15" customHeight="1" outlineLevel="2" x14ac:dyDescent="0.25">
      <c r="A5947" s="3" t="str">
        <f>HYPERLINK("http://mystore1.ru/price_items/search?utf8=%E2%9C%93&amp;oem=6011RGNH3FDW","6011RGNH3FDW")</f>
        <v>6011RGNH3FDW</v>
      </c>
      <c r="B5947" s="1" t="s">
        <v>11331</v>
      </c>
      <c r="C5947" s="9" t="s">
        <v>1617</v>
      </c>
      <c r="D5947" s="14" t="s">
        <v>11332</v>
      </c>
      <c r="E5947" s="9" t="s">
        <v>11</v>
      </c>
    </row>
    <row r="5948" spans="1:5" ht="15" customHeight="1" outlineLevel="2" x14ac:dyDescent="0.25">
      <c r="A5948" s="3" t="str">
        <f>HYPERLINK("http://mystore1.ru/price_items/search?utf8=%E2%9C%93&amp;oem=6011RGNH3RQ","6011RGNH3RQ")</f>
        <v>6011RGNH3RQ</v>
      </c>
      <c r="B5948" s="1" t="s">
        <v>11333</v>
      </c>
      <c r="C5948" s="9" t="s">
        <v>1617</v>
      </c>
      <c r="D5948" s="14" t="s">
        <v>11334</v>
      </c>
      <c r="E5948" s="9" t="s">
        <v>11</v>
      </c>
    </row>
    <row r="5949" spans="1:5" ht="15" customHeight="1" outlineLevel="2" x14ac:dyDescent="0.25">
      <c r="A5949" s="3" t="str">
        <f>HYPERLINK("http://mystore1.ru/price_items/search?utf8=%E2%9C%93&amp;oem=6011RGNH5FDW","6011RGNH5FDW")</f>
        <v>6011RGNH5FDW</v>
      </c>
      <c r="B5949" s="1" t="s">
        <v>11335</v>
      </c>
      <c r="C5949" s="9" t="s">
        <v>1617</v>
      </c>
      <c r="D5949" s="14" t="s">
        <v>11332</v>
      </c>
      <c r="E5949" s="9" t="s">
        <v>11</v>
      </c>
    </row>
    <row r="5950" spans="1:5" ht="15" customHeight="1" outlineLevel="2" x14ac:dyDescent="0.25">
      <c r="A5950" s="3" t="str">
        <f>HYPERLINK("http://mystore1.ru/price_items/search?utf8=%E2%9C%93&amp;oem=6011RGNH5RDW","6011RGNH5RDW")</f>
        <v>6011RGNH5RDW</v>
      </c>
      <c r="B5950" s="1" t="s">
        <v>11336</v>
      </c>
      <c r="C5950" s="9" t="s">
        <v>1617</v>
      </c>
      <c r="D5950" s="14" t="s">
        <v>11337</v>
      </c>
      <c r="E5950" s="9" t="s">
        <v>11</v>
      </c>
    </row>
    <row r="5951" spans="1:5" ht="15" customHeight="1" outlineLevel="2" x14ac:dyDescent="0.25">
      <c r="A5951" s="3" t="str">
        <f>HYPERLINK("http://mystore1.ru/price_items/search?utf8=%E2%9C%93&amp;oem=6011RGNH5RV","6011RGNH5RV")</f>
        <v>6011RGNH5RV</v>
      </c>
      <c r="B5951" s="1" t="s">
        <v>11338</v>
      </c>
      <c r="C5951" s="9" t="s">
        <v>1617</v>
      </c>
      <c r="D5951" s="14" t="s">
        <v>11339</v>
      </c>
      <c r="E5951" s="9" t="s">
        <v>11</v>
      </c>
    </row>
    <row r="5952" spans="1:5" outlineLevel="1" x14ac:dyDescent="0.25">
      <c r="A5952" s="2"/>
      <c r="B5952" s="6" t="s">
        <v>11340</v>
      </c>
      <c r="C5952" s="8"/>
      <c r="D5952" s="8"/>
      <c r="E5952" s="8"/>
    </row>
    <row r="5953" spans="1:5" ht="15" customHeight="1" outlineLevel="2" x14ac:dyDescent="0.25">
      <c r="A5953" s="3" t="str">
        <f>HYPERLINK("http://mystore1.ru/price_items/search?utf8=%E2%9C%93&amp;oem=6039LGNT2FD","6039LGNT2FD")</f>
        <v>6039LGNT2FD</v>
      </c>
      <c r="B5953" s="1" t="s">
        <v>11341</v>
      </c>
      <c r="C5953" s="9" t="s">
        <v>1629</v>
      </c>
      <c r="D5953" s="14" t="s">
        <v>11342</v>
      </c>
      <c r="E5953" s="9" t="s">
        <v>11</v>
      </c>
    </row>
    <row r="5954" spans="1:5" outlineLevel="1" x14ac:dyDescent="0.25">
      <c r="A5954" s="2"/>
      <c r="B5954" s="6" t="s">
        <v>11343</v>
      </c>
      <c r="C5954" s="8"/>
      <c r="D5954" s="8"/>
      <c r="E5954" s="8"/>
    </row>
    <row r="5955" spans="1:5" ht="15" customHeight="1" outlineLevel="2" x14ac:dyDescent="0.25">
      <c r="A5955" s="3" t="str">
        <f>HYPERLINK("http://mystore1.ru/price_items/search?utf8=%E2%9C%93&amp;oem=6076AGNMV1B","6076AGNMV1B")</f>
        <v>6076AGNMV1B</v>
      </c>
      <c r="B5955" s="1" t="s">
        <v>11344</v>
      </c>
      <c r="C5955" s="9" t="s">
        <v>1738</v>
      </c>
      <c r="D5955" s="14" t="s">
        <v>11345</v>
      </c>
      <c r="E5955" s="9" t="s">
        <v>11</v>
      </c>
    </row>
    <row r="5956" spans="1:5" ht="15" customHeight="1" outlineLevel="2" x14ac:dyDescent="0.25">
      <c r="A5956" s="3" t="str">
        <f>HYPERLINK("http://mystore1.ru/price_items/search?utf8=%E2%9C%93&amp;oem=6076AGNV","6076AGNV")</f>
        <v>6076AGNV</v>
      </c>
      <c r="B5956" s="1" t="s">
        <v>11346</v>
      </c>
      <c r="C5956" s="9" t="s">
        <v>1738</v>
      </c>
      <c r="D5956" s="14" t="s">
        <v>11347</v>
      </c>
      <c r="E5956" s="9" t="s">
        <v>8</v>
      </c>
    </row>
    <row r="5957" spans="1:5" outlineLevel="1" x14ac:dyDescent="0.25">
      <c r="A5957" s="2"/>
      <c r="B5957" s="6" t="s">
        <v>11348</v>
      </c>
      <c r="C5957" s="8"/>
      <c r="D5957" s="8"/>
      <c r="E5957" s="8"/>
    </row>
    <row r="5958" spans="1:5" ht="15" customHeight="1" outlineLevel="2" x14ac:dyDescent="0.25">
      <c r="A5958" s="3" t="str">
        <f>HYPERLINK("http://mystore1.ru/price_items/search?utf8=%E2%9C%93&amp;oem=6032AGSBLVZ","6032AGSBLVZ")</f>
        <v>6032AGSBLVZ</v>
      </c>
      <c r="B5958" s="1" t="s">
        <v>11349</v>
      </c>
      <c r="C5958" s="9" t="s">
        <v>747</v>
      </c>
      <c r="D5958" s="14" t="s">
        <v>11350</v>
      </c>
      <c r="E5958" s="9" t="s">
        <v>8</v>
      </c>
    </row>
    <row r="5959" spans="1:5" ht="15" customHeight="1" outlineLevel="2" x14ac:dyDescent="0.25">
      <c r="A5959" s="3" t="str">
        <f>HYPERLINK("http://mystore1.ru/price_items/search?utf8=%E2%9C%93&amp;oem=6032AGSBLZ","6032AGSBLZ")</f>
        <v>6032AGSBLZ</v>
      </c>
      <c r="B5959" s="1" t="s">
        <v>11351</v>
      </c>
      <c r="C5959" s="9" t="s">
        <v>747</v>
      </c>
      <c r="D5959" s="14" t="s">
        <v>11352</v>
      </c>
      <c r="E5959" s="9" t="s">
        <v>8</v>
      </c>
    </row>
    <row r="5960" spans="1:5" ht="15" customHeight="1" outlineLevel="2" x14ac:dyDescent="0.25">
      <c r="A5960" s="3" t="str">
        <f>HYPERLINK("http://mystore1.ru/price_items/search?utf8=%E2%9C%93&amp;oem=6032LGSR5FDW","6032LGSR5FDW")</f>
        <v>6032LGSR5FDW</v>
      </c>
      <c r="B5960" s="1" t="s">
        <v>11353</v>
      </c>
      <c r="C5960" s="9" t="s">
        <v>747</v>
      </c>
      <c r="D5960" s="14" t="s">
        <v>11354</v>
      </c>
      <c r="E5960" s="9" t="s">
        <v>11</v>
      </c>
    </row>
    <row r="5961" spans="1:5" ht="15" customHeight="1" outlineLevel="2" x14ac:dyDescent="0.25">
      <c r="A5961" s="3" t="str">
        <f>HYPERLINK("http://mystore1.ru/price_items/search?utf8=%E2%9C%93&amp;oem=6032RGSR5FDW","6032RGSR5FDW")</f>
        <v>6032RGSR5FDW</v>
      </c>
      <c r="B5961" s="1" t="s">
        <v>11355</v>
      </c>
      <c r="C5961" s="9" t="s">
        <v>747</v>
      </c>
      <c r="D5961" s="14" t="s">
        <v>11356</v>
      </c>
      <c r="E5961" s="9" t="s">
        <v>11</v>
      </c>
    </row>
    <row r="5962" spans="1:5" outlineLevel="1" x14ac:dyDescent="0.25">
      <c r="A5962" s="2"/>
      <c r="B5962" s="6" t="s">
        <v>11357</v>
      </c>
      <c r="C5962" s="8"/>
      <c r="D5962" s="8"/>
      <c r="E5962" s="8"/>
    </row>
    <row r="5963" spans="1:5" ht="15" customHeight="1" outlineLevel="2" x14ac:dyDescent="0.25">
      <c r="A5963" s="3" t="str">
        <f>HYPERLINK("http://mystore1.ru/price_items/search?utf8=%E2%9C%93&amp;oem=6051AGSBLMWZ","6051AGSBLMWZ")</f>
        <v>6051AGSBLMWZ</v>
      </c>
      <c r="B5963" s="1" t="s">
        <v>11358</v>
      </c>
      <c r="C5963" s="9" t="s">
        <v>25</v>
      </c>
      <c r="D5963" s="14" t="s">
        <v>11359</v>
      </c>
      <c r="E5963" s="9" t="s">
        <v>8</v>
      </c>
    </row>
    <row r="5964" spans="1:5" outlineLevel="1" x14ac:dyDescent="0.25">
      <c r="A5964" s="2"/>
      <c r="B5964" s="6" t="s">
        <v>11360</v>
      </c>
      <c r="C5964" s="8"/>
      <c r="D5964" s="8"/>
      <c r="E5964" s="8"/>
    </row>
    <row r="5965" spans="1:5" ht="15" customHeight="1" outlineLevel="2" x14ac:dyDescent="0.25">
      <c r="A5965" s="3" t="str">
        <f>HYPERLINK("http://mystore1.ru/price_items/search?utf8=%E2%9C%93&amp;oem=6041AGSMVW1B","6041AGSMVW1B")</f>
        <v>6041AGSMVW1B</v>
      </c>
      <c r="B5965" s="1" t="s">
        <v>11361</v>
      </c>
      <c r="C5965" s="9" t="s">
        <v>687</v>
      </c>
      <c r="D5965" s="14" t="s">
        <v>11362</v>
      </c>
      <c r="E5965" s="9" t="s">
        <v>8</v>
      </c>
    </row>
    <row r="5966" spans="1:5" ht="15" customHeight="1" outlineLevel="2" x14ac:dyDescent="0.25">
      <c r="A5966" s="3" t="str">
        <f>HYPERLINK("http://mystore1.ru/price_items/search?utf8=%E2%9C%93&amp;oem=6041AGSVW","6041AGSVW")</f>
        <v>6041AGSVW</v>
      </c>
      <c r="B5966" s="1" t="s">
        <v>11363</v>
      </c>
      <c r="C5966" s="9" t="s">
        <v>687</v>
      </c>
      <c r="D5966" s="14" t="s">
        <v>11364</v>
      </c>
      <c r="E5966" s="9" t="s">
        <v>8</v>
      </c>
    </row>
    <row r="5967" spans="1:5" ht="15" customHeight="1" outlineLevel="2" x14ac:dyDescent="0.25">
      <c r="A5967" s="3" t="str">
        <f>HYPERLINK("http://mystore1.ru/price_items/search?utf8=%E2%9C%93&amp;oem=6041ASMH","6041ASMH")</f>
        <v>6041ASMH</v>
      </c>
      <c r="B5967" s="1" t="s">
        <v>11365</v>
      </c>
      <c r="C5967" s="9" t="s">
        <v>25</v>
      </c>
      <c r="D5967" s="14" t="s">
        <v>11366</v>
      </c>
      <c r="E5967" s="9" t="s">
        <v>27</v>
      </c>
    </row>
    <row r="5968" spans="1:5" ht="15" customHeight="1" outlineLevel="2" x14ac:dyDescent="0.25">
      <c r="A5968" s="3" t="str">
        <f>HYPERLINK("http://mystore1.ru/price_items/search?utf8=%E2%9C%93&amp;oem=6041BGSHW","6041BGSHW")</f>
        <v>6041BGSHW</v>
      </c>
      <c r="B5968" s="1" t="s">
        <v>11367</v>
      </c>
      <c r="C5968" s="9" t="s">
        <v>687</v>
      </c>
      <c r="D5968" s="14" t="s">
        <v>11368</v>
      </c>
      <c r="E5968" s="9" t="s">
        <v>30</v>
      </c>
    </row>
    <row r="5969" spans="1:5" ht="15" customHeight="1" outlineLevel="2" x14ac:dyDescent="0.25">
      <c r="A5969" s="3" t="str">
        <f>HYPERLINK("http://mystore1.ru/price_items/search?utf8=%E2%9C%93&amp;oem=6041BYPHW","6041BYPHW")</f>
        <v>6041BYPHW</v>
      </c>
      <c r="B5969" s="1" t="s">
        <v>11369</v>
      </c>
      <c r="C5969" s="9" t="s">
        <v>687</v>
      </c>
      <c r="D5969" s="14" t="s">
        <v>11370</v>
      </c>
      <c r="E5969" s="9" t="s">
        <v>30</v>
      </c>
    </row>
    <row r="5970" spans="1:5" ht="15" customHeight="1" outlineLevel="2" x14ac:dyDescent="0.25">
      <c r="A5970" s="3" t="str">
        <f>HYPERLINK("http://mystore1.ru/price_items/search?utf8=%E2%9C%93&amp;oem=6041LGSH5FDW","6041LGSH5FDW")</f>
        <v>6041LGSH5FDW</v>
      </c>
      <c r="B5970" s="1" t="s">
        <v>11371</v>
      </c>
      <c r="C5970" s="9" t="s">
        <v>687</v>
      </c>
      <c r="D5970" s="14" t="s">
        <v>11372</v>
      </c>
      <c r="E5970" s="9" t="s">
        <v>11</v>
      </c>
    </row>
    <row r="5971" spans="1:5" ht="15" customHeight="1" outlineLevel="2" x14ac:dyDescent="0.25">
      <c r="A5971" s="3" t="str">
        <f>HYPERLINK("http://mystore1.ru/price_items/search?utf8=%E2%9C%93&amp;oem=6041LGSH5RDW","6041LGSH5RDW")</f>
        <v>6041LGSH5RDW</v>
      </c>
      <c r="B5971" s="1" t="s">
        <v>11373</v>
      </c>
      <c r="C5971" s="9" t="s">
        <v>687</v>
      </c>
      <c r="D5971" s="14" t="s">
        <v>11374</v>
      </c>
      <c r="E5971" s="9" t="s">
        <v>11</v>
      </c>
    </row>
    <row r="5972" spans="1:5" ht="15" customHeight="1" outlineLevel="2" x14ac:dyDescent="0.25">
      <c r="A5972" s="3" t="str">
        <f>HYPERLINK("http://mystore1.ru/price_items/search?utf8=%E2%9C%93&amp;oem=6041LGSH5RQW","6041LGSH5RQW")</f>
        <v>6041LGSH5RQW</v>
      </c>
      <c r="B5972" s="1" t="s">
        <v>11375</v>
      </c>
      <c r="C5972" s="9" t="s">
        <v>687</v>
      </c>
      <c r="D5972" s="14" t="s">
        <v>11376</v>
      </c>
      <c r="E5972" s="9" t="s">
        <v>11</v>
      </c>
    </row>
    <row r="5973" spans="1:5" ht="15" customHeight="1" outlineLevel="2" x14ac:dyDescent="0.25">
      <c r="A5973" s="3" t="str">
        <f>HYPERLINK("http://mystore1.ru/price_items/search?utf8=%E2%9C%93&amp;oem=6041LYPH5RDW","6041LYPH5RDW")</f>
        <v>6041LYPH5RDW</v>
      </c>
      <c r="B5973" s="1" t="s">
        <v>11377</v>
      </c>
      <c r="C5973" s="9" t="s">
        <v>687</v>
      </c>
      <c r="D5973" s="14" t="s">
        <v>11378</v>
      </c>
      <c r="E5973" s="9" t="s">
        <v>11</v>
      </c>
    </row>
    <row r="5974" spans="1:5" ht="15" customHeight="1" outlineLevel="2" x14ac:dyDescent="0.25">
      <c r="A5974" s="3" t="str">
        <f>HYPERLINK("http://mystore1.ru/price_items/search?utf8=%E2%9C%93&amp;oem=6041RGSH5FDW","6041RGSH5FDW")</f>
        <v>6041RGSH5FDW</v>
      </c>
      <c r="B5974" s="1" t="s">
        <v>11379</v>
      </c>
      <c r="C5974" s="9" t="s">
        <v>687</v>
      </c>
      <c r="D5974" s="14" t="s">
        <v>11380</v>
      </c>
      <c r="E5974" s="9" t="s">
        <v>11</v>
      </c>
    </row>
    <row r="5975" spans="1:5" ht="15" customHeight="1" outlineLevel="2" x14ac:dyDescent="0.25">
      <c r="A5975" s="3" t="str">
        <f>HYPERLINK("http://mystore1.ru/price_items/search?utf8=%E2%9C%93&amp;oem=6041RGSH5RDW","6041RGSH5RDW")</f>
        <v>6041RGSH5RDW</v>
      </c>
      <c r="B5975" s="1" t="s">
        <v>11381</v>
      </c>
      <c r="C5975" s="9" t="s">
        <v>687</v>
      </c>
      <c r="D5975" s="14" t="s">
        <v>11382</v>
      </c>
      <c r="E5975" s="9" t="s">
        <v>11</v>
      </c>
    </row>
    <row r="5976" spans="1:5" ht="15" customHeight="1" outlineLevel="2" x14ac:dyDescent="0.25">
      <c r="A5976" s="3" t="str">
        <f>HYPERLINK("http://mystore1.ru/price_items/search?utf8=%E2%9C%93&amp;oem=6041RGSH5RQW","6041RGSH5RQW")</f>
        <v>6041RGSH5RQW</v>
      </c>
      <c r="B5976" s="1" t="s">
        <v>11383</v>
      </c>
      <c r="C5976" s="9" t="s">
        <v>687</v>
      </c>
      <c r="D5976" s="14" t="s">
        <v>11384</v>
      </c>
      <c r="E5976" s="9" t="s">
        <v>11</v>
      </c>
    </row>
    <row r="5977" spans="1:5" ht="15" customHeight="1" outlineLevel="2" x14ac:dyDescent="0.25">
      <c r="A5977" s="3" t="str">
        <f>HYPERLINK("http://mystore1.ru/price_items/search?utf8=%E2%9C%93&amp;oem=6041RYPH5RDW","6041RYPH5RDW")</f>
        <v>6041RYPH5RDW</v>
      </c>
      <c r="B5977" s="1" t="s">
        <v>11385</v>
      </c>
      <c r="C5977" s="9" t="s">
        <v>687</v>
      </c>
      <c r="D5977" s="14" t="s">
        <v>11386</v>
      </c>
      <c r="E5977" s="9" t="s">
        <v>11</v>
      </c>
    </row>
    <row r="5978" spans="1:5" outlineLevel="1" x14ac:dyDescent="0.25">
      <c r="A5978" s="2"/>
      <c r="B5978" s="6" t="s">
        <v>11387</v>
      </c>
      <c r="C5978" s="47"/>
      <c r="D5978" s="8"/>
      <c r="E5978" s="8"/>
    </row>
    <row r="5979" spans="1:5" ht="15" customHeight="1" outlineLevel="2" x14ac:dyDescent="0.25">
      <c r="A5979" s="3" t="str">
        <f>HYPERLINK("http://mystore1.ru/price_items/search?utf8=%E2%9C%93&amp;oem=6005AGN","6005AGN")</f>
        <v>6005AGN</v>
      </c>
      <c r="B5979" s="1" t="s">
        <v>11388</v>
      </c>
      <c r="C5979" s="9" t="s">
        <v>120</v>
      </c>
      <c r="D5979" s="14" t="s">
        <v>11389</v>
      </c>
      <c r="E5979" s="9" t="s">
        <v>8</v>
      </c>
    </row>
    <row r="5980" spans="1:5" ht="15" customHeight="1" outlineLevel="2" x14ac:dyDescent="0.25">
      <c r="A5980" s="3" t="str">
        <f>HYPERLINK("http://mystore1.ru/price_items/search?utf8=%E2%9C%93&amp;oem=6005AGNBLA","6005AGNBLA")</f>
        <v>6005AGNBLA</v>
      </c>
      <c r="B5980" s="1" t="s">
        <v>11390</v>
      </c>
      <c r="C5980" s="9" t="s">
        <v>120</v>
      </c>
      <c r="D5980" s="14" t="s">
        <v>11391</v>
      </c>
      <c r="E5980" s="9" t="s">
        <v>8</v>
      </c>
    </row>
    <row r="5981" spans="1:5" ht="15" customHeight="1" outlineLevel="2" x14ac:dyDescent="0.25">
      <c r="A5981" s="3" t="str">
        <f>HYPERLINK("http://mystore1.ru/price_items/search?utf8=%E2%9C%93&amp;oem=6005ASMRT","6005ASMRT")</f>
        <v>6005ASMRT</v>
      </c>
      <c r="B5981" s="1" t="s">
        <v>11392</v>
      </c>
      <c r="C5981" s="9" t="s">
        <v>25</v>
      </c>
      <c r="D5981" s="14" t="s">
        <v>11393</v>
      </c>
      <c r="E5981" s="9" t="s">
        <v>27</v>
      </c>
    </row>
    <row r="5982" spans="1:5" ht="15" customHeight="1" outlineLevel="2" x14ac:dyDescent="0.25">
      <c r="A5982" s="3" t="str">
        <f>HYPERLINK("http://mystore1.ru/price_items/search?utf8=%E2%9C%93&amp;oem=6005BGNR","6005BGNR")</f>
        <v>6005BGNR</v>
      </c>
      <c r="B5982" s="1" t="s">
        <v>11394</v>
      </c>
      <c r="C5982" s="9" t="s">
        <v>120</v>
      </c>
      <c r="D5982" s="14" t="s">
        <v>11395</v>
      </c>
      <c r="E5982" s="9" t="s">
        <v>30</v>
      </c>
    </row>
    <row r="5983" spans="1:5" ht="15" customHeight="1" outlineLevel="2" x14ac:dyDescent="0.25">
      <c r="A5983" s="3" t="str">
        <f>HYPERLINK("http://mystore1.ru/price_items/search?utf8=%E2%9C%93&amp;oem=6005LGNR5FDW","6005LGNR5FDW")</f>
        <v>6005LGNR5FDW</v>
      </c>
      <c r="B5983" s="1" t="s">
        <v>11396</v>
      </c>
      <c r="C5983" s="9" t="s">
        <v>120</v>
      </c>
      <c r="D5983" s="14" t="s">
        <v>11397</v>
      </c>
      <c r="E5983" s="9" t="s">
        <v>11</v>
      </c>
    </row>
    <row r="5984" spans="1:5" ht="15" customHeight="1" outlineLevel="2" x14ac:dyDescent="0.25">
      <c r="A5984" s="3" t="str">
        <f>HYPERLINK("http://mystore1.ru/price_items/search?utf8=%E2%9C%93&amp;oem=6005LGNR5RV","6005LGNR5RV")</f>
        <v>6005LGNR5RV</v>
      </c>
      <c r="B5984" s="1" t="s">
        <v>11398</v>
      </c>
      <c r="C5984" s="9" t="s">
        <v>120</v>
      </c>
      <c r="D5984" s="14" t="s">
        <v>11399</v>
      </c>
      <c r="E5984" s="9" t="s">
        <v>11</v>
      </c>
    </row>
    <row r="5985" spans="1:5" ht="15" customHeight="1" outlineLevel="2" x14ac:dyDescent="0.25">
      <c r="A5985" s="3" t="str">
        <f>HYPERLINK("http://mystore1.ru/price_items/search?utf8=%E2%9C%93&amp;oem=6005RGNR5FDW","6005RGNR5FDW")</f>
        <v>6005RGNR5FDW</v>
      </c>
      <c r="B5985" s="1" t="s">
        <v>11400</v>
      </c>
      <c r="C5985" s="9" t="s">
        <v>120</v>
      </c>
      <c r="D5985" s="14" t="s">
        <v>11401</v>
      </c>
      <c r="E5985" s="9" t="s">
        <v>11</v>
      </c>
    </row>
    <row r="5986" spans="1:5" ht="15" customHeight="1" outlineLevel="2" x14ac:dyDescent="0.25">
      <c r="A5986" s="3" t="str">
        <f>HYPERLINK("http://mystore1.ru/price_items/search?utf8=%E2%9C%93&amp;oem=6005RGNR5RV","6005RGNR5RV")</f>
        <v>6005RGNR5RV</v>
      </c>
      <c r="B5986" s="1" t="s">
        <v>11402</v>
      </c>
      <c r="C5986" s="9" t="s">
        <v>120</v>
      </c>
      <c r="D5986" s="14" t="s">
        <v>11403</v>
      </c>
      <c r="E5986" s="9" t="s">
        <v>11</v>
      </c>
    </row>
    <row r="5987" spans="1:5" outlineLevel="1" x14ac:dyDescent="0.25">
      <c r="A5987" s="2"/>
      <c r="B5987" s="6" t="s">
        <v>11404</v>
      </c>
      <c r="C5987" s="8"/>
      <c r="D5987" s="8"/>
      <c r="E5987" s="8"/>
    </row>
    <row r="5988" spans="1:5" ht="15" customHeight="1" outlineLevel="2" x14ac:dyDescent="0.25">
      <c r="A5988" s="3" t="str">
        <f>HYPERLINK("http://mystore1.ru/price_items/search?utf8=%E2%9C%93&amp;oem=6037AGSBLMVZ1B","6037AGSBLMVZ1B")</f>
        <v>6037AGSBLMVZ1B</v>
      </c>
      <c r="B5988" s="1" t="s">
        <v>11405</v>
      </c>
      <c r="C5988" s="9" t="s">
        <v>1607</v>
      </c>
      <c r="D5988" s="14" t="s">
        <v>11406</v>
      </c>
      <c r="E5988" s="9" t="s">
        <v>8</v>
      </c>
    </row>
    <row r="5989" spans="1:5" ht="15" customHeight="1" outlineLevel="2" x14ac:dyDescent="0.25">
      <c r="A5989" s="3" t="str">
        <f>HYPERLINK("http://mystore1.ru/price_items/search?utf8=%E2%9C%93&amp;oem=6037AGSBLVZ","6037AGSBLVZ")</f>
        <v>6037AGSBLVZ</v>
      </c>
      <c r="B5989" s="1" t="s">
        <v>11407</v>
      </c>
      <c r="C5989" s="9" t="s">
        <v>1607</v>
      </c>
      <c r="D5989" s="14" t="s">
        <v>11408</v>
      </c>
      <c r="E5989" s="9" t="s">
        <v>8</v>
      </c>
    </row>
    <row r="5990" spans="1:5" ht="15" customHeight="1" outlineLevel="2" x14ac:dyDescent="0.25">
      <c r="A5990" s="3" t="str">
        <f>HYPERLINK("http://mystore1.ru/price_items/search?utf8=%E2%9C%93&amp;oem=6037ASMR","6037ASMR")</f>
        <v>6037ASMR</v>
      </c>
      <c r="B5990" s="1" t="s">
        <v>11409</v>
      </c>
      <c r="C5990" s="9" t="s">
        <v>25</v>
      </c>
      <c r="D5990" s="14" t="s">
        <v>11410</v>
      </c>
      <c r="E5990" s="9" t="s">
        <v>27</v>
      </c>
    </row>
    <row r="5991" spans="1:5" ht="15" customHeight="1" outlineLevel="2" x14ac:dyDescent="0.25">
      <c r="A5991" s="3" t="str">
        <f>HYPERLINK("http://mystore1.ru/price_items/search?utf8=%E2%9C%93&amp;oem=6037BGNP","6037BGNP")</f>
        <v>6037BGNP</v>
      </c>
      <c r="B5991" s="1" t="s">
        <v>11411</v>
      </c>
      <c r="C5991" s="9" t="s">
        <v>1607</v>
      </c>
      <c r="D5991" s="14" t="s">
        <v>11412</v>
      </c>
      <c r="E5991" s="9" t="s">
        <v>30</v>
      </c>
    </row>
    <row r="5992" spans="1:5" ht="15" customHeight="1" outlineLevel="2" x14ac:dyDescent="0.25">
      <c r="A5992" s="3" t="str">
        <f>HYPERLINK("http://mystore1.ru/price_items/search?utf8=%E2%9C%93&amp;oem=6037BGSRBOW","6037BGSRBOW")</f>
        <v>6037BGSRBOW</v>
      </c>
      <c r="B5992" s="1" t="s">
        <v>11413</v>
      </c>
      <c r="C5992" s="9" t="s">
        <v>1607</v>
      </c>
      <c r="D5992" s="14" t="s">
        <v>11414</v>
      </c>
      <c r="E5992" s="9" t="s">
        <v>30</v>
      </c>
    </row>
    <row r="5993" spans="1:5" ht="15" customHeight="1" outlineLevel="2" x14ac:dyDescent="0.25">
      <c r="A5993" s="3" t="str">
        <f>HYPERLINK("http://mystore1.ru/price_items/search?utf8=%E2%9C%93&amp;oem=6037BYPRBOW","6037BYPRBOW")</f>
        <v>6037BYPRBOW</v>
      </c>
      <c r="B5993" s="1" t="s">
        <v>11415</v>
      </c>
      <c r="C5993" s="9" t="s">
        <v>1607</v>
      </c>
      <c r="D5993" s="14" t="s">
        <v>11416</v>
      </c>
      <c r="E5993" s="9" t="s">
        <v>30</v>
      </c>
    </row>
    <row r="5994" spans="1:5" ht="15" customHeight="1" outlineLevel="2" x14ac:dyDescent="0.25">
      <c r="A5994" s="3" t="str">
        <f>HYPERLINK("http://mystore1.ru/price_items/search?utf8=%E2%9C%93&amp;oem=6037LGNR5RDW","6037LGNR5RDW")</f>
        <v>6037LGNR5RDW</v>
      </c>
      <c r="B5994" s="1" t="s">
        <v>11417</v>
      </c>
      <c r="C5994" s="9" t="s">
        <v>1607</v>
      </c>
      <c r="D5994" s="14" t="s">
        <v>11418</v>
      </c>
      <c r="E5994" s="9" t="s">
        <v>11</v>
      </c>
    </row>
    <row r="5995" spans="1:5" ht="15" customHeight="1" outlineLevel="2" x14ac:dyDescent="0.25">
      <c r="A5995" s="3" t="str">
        <f>HYPERLINK("http://mystore1.ru/price_items/search?utf8=%E2%9C%93&amp;oem=6037LGSR5FDW","6037LGSR5FDW")</f>
        <v>6037LGSR5FDW</v>
      </c>
      <c r="B5995" s="1" t="s">
        <v>11419</v>
      </c>
      <c r="C5995" s="9" t="s">
        <v>1607</v>
      </c>
      <c r="D5995" s="14" t="s">
        <v>11420</v>
      </c>
      <c r="E5995" s="9" t="s">
        <v>11</v>
      </c>
    </row>
    <row r="5996" spans="1:5" ht="15" customHeight="1" outlineLevel="2" x14ac:dyDescent="0.25">
      <c r="A5996" s="3" t="str">
        <f>HYPERLINK("http://mystore1.ru/price_items/search?utf8=%E2%9C%93&amp;oem=6037LYDR5RDW","6037LYDR5RDW")</f>
        <v>6037LYDR5RDW</v>
      </c>
      <c r="B5996" s="1" t="s">
        <v>11421</v>
      </c>
      <c r="C5996" s="9" t="s">
        <v>1607</v>
      </c>
      <c r="D5996" s="14" t="s">
        <v>11422</v>
      </c>
      <c r="E5996" s="9" t="s">
        <v>11</v>
      </c>
    </row>
    <row r="5997" spans="1:5" ht="15" customHeight="1" outlineLevel="2" x14ac:dyDescent="0.25">
      <c r="A5997" s="3" t="str">
        <f>HYPERLINK("http://mystore1.ru/price_items/search?utf8=%E2%9C%93&amp;oem=6037RGNR5RDW","6037RGNR5RDW")</f>
        <v>6037RGNR5RDW</v>
      </c>
      <c r="B5997" s="1" t="s">
        <v>11423</v>
      </c>
      <c r="C5997" s="9" t="s">
        <v>1607</v>
      </c>
      <c r="D5997" s="14" t="s">
        <v>11424</v>
      </c>
      <c r="E5997" s="9" t="s">
        <v>11</v>
      </c>
    </row>
    <row r="5998" spans="1:5" ht="15" customHeight="1" outlineLevel="2" x14ac:dyDescent="0.25">
      <c r="A5998" s="3" t="str">
        <f>HYPERLINK("http://mystore1.ru/price_items/search?utf8=%E2%9C%93&amp;oem=6037RGSR5FDW","6037RGSR5FDW")</f>
        <v>6037RGSR5FDW</v>
      </c>
      <c r="B5998" s="1" t="s">
        <v>11425</v>
      </c>
      <c r="C5998" s="9" t="s">
        <v>1607</v>
      </c>
      <c r="D5998" s="14" t="s">
        <v>11426</v>
      </c>
      <c r="E5998" s="9" t="s">
        <v>11</v>
      </c>
    </row>
    <row r="5999" spans="1:5" ht="15" customHeight="1" outlineLevel="2" x14ac:dyDescent="0.25">
      <c r="A5999" s="3" t="str">
        <f>HYPERLINK("http://mystore1.ru/price_items/search?utf8=%E2%9C%93&amp;oem=6037RYDR5RDW","6037RYDR5RDW")</f>
        <v>6037RYDR5RDW</v>
      </c>
      <c r="B5999" s="1" t="s">
        <v>11427</v>
      </c>
      <c r="C5999" s="9" t="s">
        <v>1607</v>
      </c>
      <c r="D5999" s="14" t="s">
        <v>11428</v>
      </c>
      <c r="E5999" s="9" t="s">
        <v>11</v>
      </c>
    </row>
    <row r="6000" spans="1:5" ht="15" customHeight="1" outlineLevel="2" x14ac:dyDescent="0.25">
      <c r="A6000" s="3" t="str">
        <f>HYPERLINK("http://mystore1.ru/price_items/search?utf8=%E2%9C%93&amp;oem=6037RYDR5RV","6037RYDR5RV")</f>
        <v>6037RYDR5RV</v>
      </c>
      <c r="B6000" s="1" t="s">
        <v>11429</v>
      </c>
      <c r="C6000" s="9" t="s">
        <v>1607</v>
      </c>
      <c r="D6000" s="14" t="s">
        <v>11430</v>
      </c>
      <c r="E6000" s="9" t="s">
        <v>11</v>
      </c>
    </row>
    <row r="6001" spans="1:5" outlineLevel="1" x14ac:dyDescent="0.25">
      <c r="A6001" s="2"/>
      <c r="B6001" s="6" t="s">
        <v>11431</v>
      </c>
      <c r="C6001" s="8"/>
      <c r="D6001" s="50"/>
      <c r="E6001" s="8"/>
    </row>
    <row r="6002" spans="1:5" ht="15" customHeight="1" outlineLevel="2" x14ac:dyDescent="0.25">
      <c r="A6002" s="3" t="str">
        <f>HYPERLINK("http://mystore1.ru/price_items/search?utf8=%E2%9C%93&amp;oem=5957ABL","5957ABL")</f>
        <v>5957ABL</v>
      </c>
      <c r="B6002" s="1" t="s">
        <v>11432</v>
      </c>
      <c r="C6002" s="9" t="s">
        <v>9993</v>
      </c>
      <c r="D6002" s="14" t="s">
        <v>11433</v>
      </c>
      <c r="E6002" s="9" t="s">
        <v>8</v>
      </c>
    </row>
    <row r="6003" spans="1:5" ht="15" customHeight="1" outlineLevel="2" x14ac:dyDescent="0.25">
      <c r="A6003" s="3" t="str">
        <f>HYPERLINK("http://mystore1.ru/price_items/search?utf8=%E2%9C%93&amp;oem=5957ABLBL","5957ABLBL")</f>
        <v>5957ABLBL</v>
      </c>
      <c r="B6003" s="1" t="s">
        <v>11434</v>
      </c>
      <c r="C6003" s="9" t="s">
        <v>9993</v>
      </c>
      <c r="D6003" s="14" t="s">
        <v>11435</v>
      </c>
      <c r="E6003" s="9" t="s">
        <v>8</v>
      </c>
    </row>
    <row r="6004" spans="1:5" ht="15" customHeight="1" outlineLevel="2" x14ac:dyDescent="0.25">
      <c r="A6004" s="3" t="str">
        <f>HYPERLINK("http://mystore1.ru/price_items/search?utf8=%E2%9C%93&amp;oem=5957ASRR","5957ASRR")</f>
        <v>5957ASRR</v>
      </c>
      <c r="B6004" s="1" t="s">
        <v>11436</v>
      </c>
      <c r="C6004" s="9" t="s">
        <v>25</v>
      </c>
      <c r="D6004" s="14" t="s">
        <v>11437</v>
      </c>
      <c r="E6004" s="9" t="s">
        <v>27</v>
      </c>
    </row>
    <row r="6005" spans="1:5" ht="15" customHeight="1" outlineLevel="2" x14ac:dyDescent="0.25">
      <c r="A6005" s="3" t="str">
        <f>HYPERLINK("http://mystore1.ru/price_items/search?utf8=%E2%9C%93&amp;oem=5957ASRR1H","5957ASRR1H")</f>
        <v>5957ASRR1H</v>
      </c>
      <c r="B6005" s="1" t="s">
        <v>11438</v>
      </c>
      <c r="C6005" s="9" t="s">
        <v>25</v>
      </c>
      <c r="D6005" s="14" t="s">
        <v>11437</v>
      </c>
      <c r="E6005" s="9" t="s">
        <v>27</v>
      </c>
    </row>
    <row r="6006" spans="1:5" ht="15" customHeight="1" outlineLevel="2" x14ac:dyDescent="0.25">
      <c r="A6006" s="3" t="str">
        <f>HYPERLINK("http://mystore1.ru/price_items/search?utf8=%E2%9C%93&amp;oem=5957LBLR3FD","5957LBLR3FD")</f>
        <v>5957LBLR3FD</v>
      </c>
      <c r="B6006" s="1" t="s">
        <v>11439</v>
      </c>
      <c r="C6006" s="9" t="s">
        <v>9993</v>
      </c>
      <c r="D6006" s="14" t="s">
        <v>11440</v>
      </c>
      <c r="E6006" s="9" t="s">
        <v>11</v>
      </c>
    </row>
    <row r="6007" spans="1:5" ht="15" customHeight="1" outlineLevel="2" x14ac:dyDescent="0.25">
      <c r="A6007" s="3" t="str">
        <f>HYPERLINK("http://mystore1.ru/price_items/search?utf8=%E2%9C%93&amp;oem=5957RBLR3FD","5957RBLR3FD")</f>
        <v>5957RBLR3FD</v>
      </c>
      <c r="B6007" s="1" t="s">
        <v>11441</v>
      </c>
      <c r="C6007" s="9" t="s">
        <v>9993</v>
      </c>
      <c r="D6007" s="14" t="s">
        <v>11442</v>
      </c>
      <c r="E6007" s="9" t="s">
        <v>11</v>
      </c>
    </row>
    <row r="6008" spans="1:5" outlineLevel="1" x14ac:dyDescent="0.25">
      <c r="A6008" s="2"/>
      <c r="B6008" s="6" t="s">
        <v>11443</v>
      </c>
      <c r="C6008" s="8"/>
      <c r="D6008" s="8"/>
      <c r="E6008" s="8"/>
    </row>
    <row r="6009" spans="1:5" ht="15" customHeight="1" outlineLevel="2" x14ac:dyDescent="0.25">
      <c r="A6009" s="3" t="str">
        <f>HYPERLINK("http://mystore1.ru/price_items/search?utf8=%E2%9C%93&amp;oem=6006AGN","6006AGN")</f>
        <v>6006AGN</v>
      </c>
      <c r="B6009" s="1" t="s">
        <v>11444</v>
      </c>
      <c r="C6009" s="9" t="s">
        <v>3126</v>
      </c>
      <c r="D6009" s="14" t="s">
        <v>11445</v>
      </c>
      <c r="E6009" s="9" t="s">
        <v>8</v>
      </c>
    </row>
    <row r="6010" spans="1:5" ht="15" customHeight="1" outlineLevel="2" x14ac:dyDescent="0.25">
      <c r="A6010" s="3" t="str">
        <f>HYPERLINK("http://mystore1.ru/price_items/search?utf8=%E2%9C%93&amp;oem=6006AGNBL","6006AGNBL")</f>
        <v>6006AGNBL</v>
      </c>
      <c r="B6010" s="1" t="s">
        <v>11446</v>
      </c>
      <c r="C6010" s="9" t="s">
        <v>3126</v>
      </c>
      <c r="D6010" s="14" t="s">
        <v>11447</v>
      </c>
      <c r="E6010" s="9" t="s">
        <v>8</v>
      </c>
    </row>
    <row r="6011" spans="1:5" ht="15" customHeight="1" outlineLevel="2" x14ac:dyDescent="0.25">
      <c r="A6011" s="3" t="str">
        <f>HYPERLINK("http://mystore1.ru/price_items/search?utf8=%E2%9C%93&amp;oem=6006AGNH","6006AGNH")</f>
        <v>6006AGNH</v>
      </c>
      <c r="B6011" s="1" t="s">
        <v>11448</v>
      </c>
      <c r="C6011" s="9" t="s">
        <v>3126</v>
      </c>
      <c r="D6011" s="14" t="s">
        <v>11449</v>
      </c>
      <c r="E6011" s="9" t="s">
        <v>8</v>
      </c>
    </row>
    <row r="6012" spans="1:5" ht="15" customHeight="1" outlineLevel="2" x14ac:dyDescent="0.25">
      <c r="A6012" s="3" t="str">
        <f>HYPERLINK("http://mystore1.ru/price_items/search?utf8=%E2%9C%93&amp;oem=6006ASMR","6006ASMR")</f>
        <v>6006ASMR</v>
      </c>
      <c r="B6012" s="1" t="s">
        <v>11450</v>
      </c>
      <c r="C6012" s="9" t="s">
        <v>25</v>
      </c>
      <c r="D6012" s="14" t="s">
        <v>11451</v>
      </c>
      <c r="E6012" s="9" t="s">
        <v>27</v>
      </c>
    </row>
    <row r="6013" spans="1:5" ht="15" customHeight="1" outlineLevel="2" x14ac:dyDescent="0.25">
      <c r="A6013" s="3" t="str">
        <f>HYPERLINK("http://mystore1.ru/price_items/search?utf8=%E2%9C%93&amp;oem=6006LGNR3FDW","6006LGNR3FDW")</f>
        <v>6006LGNR3FDW</v>
      </c>
      <c r="B6013" s="1" t="s">
        <v>11452</v>
      </c>
      <c r="C6013" s="9" t="s">
        <v>3126</v>
      </c>
      <c r="D6013" s="14" t="s">
        <v>11453</v>
      </c>
      <c r="E6013" s="9" t="s">
        <v>11</v>
      </c>
    </row>
    <row r="6014" spans="1:5" ht="15" customHeight="1" outlineLevel="2" x14ac:dyDescent="0.25">
      <c r="A6014" s="3" t="str">
        <f>HYPERLINK("http://mystore1.ru/price_items/search?utf8=%E2%9C%93&amp;oem=6006LGNR5RV","6006LGNR5RV")</f>
        <v>6006LGNR5RV</v>
      </c>
      <c r="B6014" s="1" t="s">
        <v>11454</v>
      </c>
      <c r="C6014" s="9" t="s">
        <v>3126</v>
      </c>
      <c r="D6014" s="14" t="s">
        <v>11455</v>
      </c>
      <c r="E6014" s="9" t="s">
        <v>11</v>
      </c>
    </row>
    <row r="6015" spans="1:5" ht="15" customHeight="1" outlineLevel="2" x14ac:dyDescent="0.25">
      <c r="A6015" s="3" t="str">
        <f>HYPERLINK("http://mystore1.ru/price_items/search?utf8=%E2%9C%93&amp;oem=6006RGNR3FDW","6006RGNR3FDW")</f>
        <v>6006RGNR3FDW</v>
      </c>
      <c r="B6015" s="1" t="s">
        <v>11456</v>
      </c>
      <c r="C6015" s="9" t="s">
        <v>3126</v>
      </c>
      <c r="D6015" s="14" t="s">
        <v>11457</v>
      </c>
      <c r="E6015" s="9" t="s">
        <v>11</v>
      </c>
    </row>
    <row r="6016" spans="1:5" ht="15" customHeight="1" outlineLevel="2" x14ac:dyDescent="0.25">
      <c r="A6016" s="3" t="str">
        <f>HYPERLINK("http://mystore1.ru/price_items/search?utf8=%E2%9C%93&amp;oem=6006RGNR5RV","6006RGNR5RV")</f>
        <v>6006RGNR5RV</v>
      </c>
      <c r="B6016" s="1" t="s">
        <v>11458</v>
      </c>
      <c r="C6016" s="9" t="s">
        <v>3126</v>
      </c>
      <c r="D6016" s="14" t="s">
        <v>11459</v>
      </c>
      <c r="E6016" s="9" t="s">
        <v>11</v>
      </c>
    </row>
    <row r="6017" spans="1:5" outlineLevel="1" x14ac:dyDescent="0.25">
      <c r="A6017" s="2"/>
      <c r="B6017" s="6" t="s">
        <v>11460</v>
      </c>
      <c r="C6017" s="8"/>
      <c r="D6017" s="8"/>
      <c r="E6017" s="8"/>
    </row>
    <row r="6018" spans="1:5" ht="15" customHeight="1" outlineLevel="2" x14ac:dyDescent="0.25">
      <c r="A6018" s="3" t="str">
        <f>HYPERLINK("http://mystore1.ru/price_items/search?utf8=%E2%9C%93&amp;oem=5959ABL","5959ABL")</f>
        <v>5959ABL</v>
      </c>
      <c r="B6018" s="1" t="s">
        <v>11461</v>
      </c>
      <c r="C6018" s="9" t="s">
        <v>5845</v>
      </c>
      <c r="D6018" s="14" t="s">
        <v>11462</v>
      </c>
      <c r="E6018" s="9" t="s">
        <v>8</v>
      </c>
    </row>
    <row r="6019" spans="1:5" outlineLevel="1" x14ac:dyDescent="0.25">
      <c r="A6019" s="2"/>
      <c r="B6019" s="6" t="s">
        <v>11463</v>
      </c>
      <c r="C6019" s="8"/>
      <c r="D6019" s="8"/>
      <c r="E6019" s="8"/>
    </row>
    <row r="6020" spans="1:5" ht="15" customHeight="1" outlineLevel="2" x14ac:dyDescent="0.25">
      <c r="A6020" s="3" t="str">
        <f>HYPERLINK("http://mystore1.ru/price_items/search?utf8=%E2%9C%93&amp;oem=5978ABL","5978ABL")</f>
        <v>5978ABL</v>
      </c>
      <c r="B6020" s="1" t="s">
        <v>11464</v>
      </c>
      <c r="C6020" s="9" t="s">
        <v>11465</v>
      </c>
      <c r="D6020" s="14" t="s">
        <v>11466</v>
      </c>
      <c r="E6020" s="9" t="s">
        <v>8</v>
      </c>
    </row>
    <row r="6021" spans="1:5" ht="15" customHeight="1" outlineLevel="2" x14ac:dyDescent="0.25">
      <c r="A6021" s="3" t="str">
        <f>HYPERLINK("http://mystore1.ru/price_items/search?utf8=%E2%9C%93&amp;oem=5978LBLV5FD","5978LBLV5FD")</f>
        <v>5978LBLV5FD</v>
      </c>
      <c r="B6021" s="1" t="s">
        <v>11467</v>
      </c>
      <c r="C6021" s="9" t="s">
        <v>11465</v>
      </c>
      <c r="D6021" s="14" t="s">
        <v>11468</v>
      </c>
      <c r="E6021" s="9" t="s">
        <v>11</v>
      </c>
    </row>
    <row r="6022" spans="1:5" outlineLevel="1" x14ac:dyDescent="0.25">
      <c r="A6022" s="2"/>
      <c r="B6022" s="6" t="s">
        <v>11469</v>
      </c>
      <c r="C6022" s="8"/>
      <c r="D6022" s="8"/>
      <c r="E6022" s="8"/>
    </row>
    <row r="6023" spans="1:5" ht="15" customHeight="1" outlineLevel="2" x14ac:dyDescent="0.25">
      <c r="A6023" s="3" t="str">
        <f>HYPERLINK("http://mystore1.ru/price_items/search?utf8=%E2%9C%93&amp;oem=6022ACCV","6022ACCV")</f>
        <v>6022ACCV</v>
      </c>
      <c r="B6023" s="1" t="s">
        <v>11470</v>
      </c>
      <c r="C6023" s="9" t="s">
        <v>25</v>
      </c>
      <c r="D6023" s="14" t="s">
        <v>11471</v>
      </c>
      <c r="E6023" s="9" t="s">
        <v>8</v>
      </c>
    </row>
    <row r="6024" spans="1:5" ht="15" customHeight="1" outlineLevel="2" x14ac:dyDescent="0.25">
      <c r="A6024" s="3" t="str">
        <f>HYPERLINK("http://mystore1.ru/price_items/search?utf8=%E2%9C%93&amp;oem=6022AGSV","6022AGSV")</f>
        <v>6022AGSV</v>
      </c>
      <c r="B6024" s="1" t="s">
        <v>11472</v>
      </c>
      <c r="C6024" s="9" t="s">
        <v>25</v>
      </c>
      <c r="D6024" s="14" t="s">
        <v>11473</v>
      </c>
      <c r="E6024" s="9" t="s">
        <v>8</v>
      </c>
    </row>
    <row r="6025" spans="1:5" ht="15" customHeight="1" outlineLevel="2" x14ac:dyDescent="0.25">
      <c r="A6025" s="3" t="str">
        <f>HYPERLINK("http://mystore1.ru/price_items/search?utf8=%E2%9C%93&amp;oem=6022AGSV1C","6022AGSV1C")</f>
        <v>6022AGSV1C</v>
      </c>
      <c r="B6025" s="1" t="s">
        <v>11474</v>
      </c>
      <c r="C6025" s="9" t="s">
        <v>25</v>
      </c>
      <c r="D6025" s="14" t="s">
        <v>11475</v>
      </c>
      <c r="E6025" s="9" t="s">
        <v>8</v>
      </c>
    </row>
    <row r="6026" spans="1:5" ht="15" customHeight="1" outlineLevel="2" x14ac:dyDescent="0.25">
      <c r="A6026" s="3" t="str">
        <f>HYPERLINK("http://mystore1.ru/price_items/search?utf8=%E2%9C%93&amp;oem=6022AGSV1H","6022AGSV1H")</f>
        <v>6022AGSV1H</v>
      </c>
      <c r="B6026" s="1" t="s">
        <v>11476</v>
      </c>
      <c r="C6026" s="9" t="s">
        <v>25</v>
      </c>
      <c r="D6026" s="14" t="s">
        <v>11477</v>
      </c>
      <c r="E6026" s="9" t="s">
        <v>8</v>
      </c>
    </row>
    <row r="6027" spans="1:5" ht="15" customHeight="1" outlineLevel="2" x14ac:dyDescent="0.25">
      <c r="A6027" s="3" t="str">
        <f>HYPERLINK("http://mystore1.ru/price_items/search?utf8=%E2%9C%93&amp;oem=6022BGSVL","6022BGSVL")</f>
        <v>6022BGSVL</v>
      </c>
      <c r="B6027" s="1" t="s">
        <v>11478</v>
      </c>
      <c r="C6027" s="9" t="s">
        <v>25</v>
      </c>
      <c r="D6027" s="14" t="s">
        <v>11479</v>
      </c>
      <c r="E6027" s="9" t="s">
        <v>30</v>
      </c>
    </row>
    <row r="6028" spans="1:5" ht="15" customHeight="1" outlineLevel="2" x14ac:dyDescent="0.25">
      <c r="A6028" s="3" t="str">
        <f>HYPERLINK("http://mystore1.ru/price_items/search?utf8=%E2%9C%93&amp;oem=6022BGSVR","6022BGSVR")</f>
        <v>6022BGSVR</v>
      </c>
      <c r="B6028" s="1" t="s">
        <v>11480</v>
      </c>
      <c r="C6028" s="9" t="s">
        <v>25</v>
      </c>
      <c r="D6028" s="14" t="s">
        <v>11481</v>
      </c>
      <c r="E6028" s="9" t="s">
        <v>30</v>
      </c>
    </row>
    <row r="6029" spans="1:5" outlineLevel="1" x14ac:dyDescent="0.25">
      <c r="A6029" s="2"/>
      <c r="B6029" s="6" t="s">
        <v>11482</v>
      </c>
      <c r="C6029" s="8"/>
      <c r="D6029" s="8"/>
      <c r="E6029" s="8"/>
    </row>
    <row r="6030" spans="1:5" ht="15" customHeight="1" outlineLevel="2" x14ac:dyDescent="0.25">
      <c r="A6030" s="3" t="str">
        <f>HYPERLINK("http://mystore1.ru/price_items/search?utf8=%E2%9C%93&amp;oem=5981ABL","5981ABL")</f>
        <v>5981ABL</v>
      </c>
      <c r="B6030" s="1" t="s">
        <v>11483</v>
      </c>
      <c r="C6030" s="9" t="s">
        <v>11484</v>
      </c>
      <c r="D6030" s="14" t="s">
        <v>11485</v>
      </c>
      <c r="E6030" s="9" t="s">
        <v>8</v>
      </c>
    </row>
    <row r="6031" spans="1:5" ht="15" customHeight="1" outlineLevel="2" x14ac:dyDescent="0.25">
      <c r="A6031" s="3" t="str">
        <f>HYPERLINK("http://mystore1.ru/price_items/search?utf8=%E2%9C%93&amp;oem=5981ABLBL","5981ABLBL")</f>
        <v>5981ABLBL</v>
      </c>
      <c r="B6031" s="1" t="s">
        <v>11486</v>
      </c>
      <c r="C6031" s="9" t="s">
        <v>11484</v>
      </c>
      <c r="D6031" s="14" t="s">
        <v>11487</v>
      </c>
      <c r="E6031" s="9" t="s">
        <v>8</v>
      </c>
    </row>
    <row r="6032" spans="1:5" ht="15" customHeight="1" outlineLevel="2" x14ac:dyDescent="0.25">
      <c r="A6032" s="3" t="str">
        <f>HYPERLINK("http://mystore1.ru/price_items/search?utf8=%E2%9C%93&amp;oem=5981AGN","5981AGN")</f>
        <v>5981AGN</v>
      </c>
      <c r="B6032" s="1" t="s">
        <v>11488</v>
      </c>
      <c r="C6032" s="9" t="s">
        <v>11484</v>
      </c>
      <c r="D6032" s="14" t="s">
        <v>11489</v>
      </c>
      <c r="E6032" s="9" t="s">
        <v>8</v>
      </c>
    </row>
    <row r="6033" spans="1:5" ht="15" customHeight="1" outlineLevel="2" x14ac:dyDescent="0.25">
      <c r="A6033" s="3" t="str">
        <f>HYPERLINK("http://mystore1.ru/price_items/search?utf8=%E2%9C%93&amp;oem=5981AGNBL","5981AGNBL")</f>
        <v>5981AGNBL</v>
      </c>
      <c r="B6033" s="1" t="s">
        <v>11490</v>
      </c>
      <c r="C6033" s="9" t="s">
        <v>11484</v>
      </c>
      <c r="D6033" s="14" t="s">
        <v>11491</v>
      </c>
      <c r="E6033" s="9" t="s">
        <v>8</v>
      </c>
    </row>
    <row r="6034" spans="1:5" ht="15" customHeight="1" outlineLevel="2" x14ac:dyDescent="0.25">
      <c r="A6034" s="3" t="str">
        <f>HYPERLINK("http://mystore1.ru/price_items/search?utf8=%E2%9C%93&amp;oem=5981AGNGN","5981AGNGN")</f>
        <v>5981AGNGN</v>
      </c>
      <c r="B6034" s="1" t="s">
        <v>11492</v>
      </c>
      <c r="C6034" s="9" t="s">
        <v>11484</v>
      </c>
      <c r="D6034" s="14" t="s">
        <v>11493</v>
      </c>
      <c r="E6034" s="9" t="s">
        <v>8</v>
      </c>
    </row>
    <row r="6035" spans="1:5" ht="15" customHeight="1" outlineLevel="2" x14ac:dyDescent="0.25">
      <c r="A6035" s="3" t="str">
        <f>HYPERLINK("http://mystore1.ru/price_items/search?utf8=%E2%9C%93&amp;oem=5981AKMHT","5981AKMHT")</f>
        <v>5981AKMHT</v>
      </c>
      <c r="B6035" s="1" t="s">
        <v>11494</v>
      </c>
      <c r="C6035" s="9" t="s">
        <v>25</v>
      </c>
      <c r="D6035" s="14" t="s">
        <v>11495</v>
      </c>
      <c r="E6035" s="9" t="s">
        <v>27</v>
      </c>
    </row>
    <row r="6036" spans="1:5" ht="15" customHeight="1" outlineLevel="2" x14ac:dyDescent="0.25">
      <c r="A6036" s="3" t="str">
        <f>HYPERLINK("http://mystore1.ru/price_items/search?utf8=%E2%9C%93&amp;oem=5981ASMHT","5981ASMHT")</f>
        <v>5981ASMHT</v>
      </c>
      <c r="B6036" s="1" t="s">
        <v>11496</v>
      </c>
      <c r="C6036" s="9" t="s">
        <v>25</v>
      </c>
      <c r="D6036" s="14" t="s">
        <v>11497</v>
      </c>
      <c r="E6036" s="9" t="s">
        <v>27</v>
      </c>
    </row>
    <row r="6037" spans="1:5" ht="15" customHeight="1" outlineLevel="2" x14ac:dyDescent="0.25">
      <c r="A6037" s="3" t="str">
        <f>HYPERLINK("http://mystore1.ru/price_items/search?utf8=%E2%9C%93&amp;oem=5981BGNS","5981BGNS")</f>
        <v>5981BGNS</v>
      </c>
      <c r="B6037" s="1" t="s">
        <v>11498</v>
      </c>
      <c r="C6037" s="9" t="s">
        <v>11484</v>
      </c>
      <c r="D6037" s="14" t="s">
        <v>11499</v>
      </c>
      <c r="E6037" s="9" t="s">
        <v>30</v>
      </c>
    </row>
    <row r="6038" spans="1:5" ht="15" customHeight="1" outlineLevel="2" x14ac:dyDescent="0.25">
      <c r="A6038" s="3" t="str">
        <f>HYPERLINK("http://mystore1.ru/price_items/search?utf8=%E2%9C%93&amp;oem=5981LGNH5FDW","5981LGNH5FDW")</f>
        <v>5981LGNH5FDW</v>
      </c>
      <c r="B6038" s="1" t="s">
        <v>11500</v>
      </c>
      <c r="C6038" s="9" t="s">
        <v>11484</v>
      </c>
      <c r="D6038" s="14" t="s">
        <v>11501</v>
      </c>
      <c r="E6038" s="9" t="s">
        <v>11</v>
      </c>
    </row>
    <row r="6039" spans="1:5" ht="15" customHeight="1" outlineLevel="2" x14ac:dyDescent="0.25">
      <c r="A6039" s="3" t="str">
        <f>HYPERLINK("http://mystore1.ru/price_items/search?utf8=%E2%9C%93&amp;oem=5981LGNH5RDW","5981LGNH5RDW")</f>
        <v>5981LGNH5RDW</v>
      </c>
      <c r="B6039" s="1" t="s">
        <v>11502</v>
      </c>
      <c r="C6039" s="9" t="s">
        <v>11484</v>
      </c>
      <c r="D6039" s="14" t="s">
        <v>11503</v>
      </c>
      <c r="E6039" s="9" t="s">
        <v>11</v>
      </c>
    </row>
    <row r="6040" spans="1:5" ht="15" customHeight="1" outlineLevel="2" x14ac:dyDescent="0.25">
      <c r="A6040" s="3" t="str">
        <f>HYPERLINK("http://mystore1.ru/price_items/search?utf8=%E2%9C%93&amp;oem=5981LGNH5RV","5981LGNH5RV")</f>
        <v>5981LGNH5RV</v>
      </c>
      <c r="B6040" s="1" t="s">
        <v>11504</v>
      </c>
      <c r="C6040" s="9" t="s">
        <v>11484</v>
      </c>
      <c r="D6040" s="14" t="s">
        <v>11505</v>
      </c>
      <c r="E6040" s="9" t="s">
        <v>11</v>
      </c>
    </row>
    <row r="6041" spans="1:5" ht="15" customHeight="1" outlineLevel="2" x14ac:dyDescent="0.25">
      <c r="A6041" s="3" t="str">
        <f>HYPERLINK("http://mystore1.ru/price_items/search?utf8=%E2%9C%93&amp;oem=5981RGNH5FD","5981RGNH5FD")</f>
        <v>5981RGNH5FD</v>
      </c>
      <c r="B6041" s="1" t="s">
        <v>11506</v>
      </c>
      <c r="C6041" s="9" t="s">
        <v>11484</v>
      </c>
      <c r="D6041" s="14" t="s">
        <v>11507</v>
      </c>
      <c r="E6041" s="9" t="s">
        <v>11</v>
      </c>
    </row>
    <row r="6042" spans="1:5" ht="15" customHeight="1" outlineLevel="2" x14ac:dyDescent="0.25">
      <c r="A6042" s="3" t="str">
        <f>HYPERLINK("http://mystore1.ru/price_items/search?utf8=%E2%9C%93&amp;oem=5981RGNH5FDW","5981RGNH5FDW")</f>
        <v>5981RGNH5FDW</v>
      </c>
      <c r="B6042" s="1" t="s">
        <v>11508</v>
      </c>
      <c r="C6042" s="9" t="s">
        <v>11484</v>
      </c>
      <c r="D6042" s="14" t="s">
        <v>11509</v>
      </c>
      <c r="E6042" s="9" t="s">
        <v>11</v>
      </c>
    </row>
    <row r="6043" spans="1:5" ht="15" customHeight="1" outlineLevel="2" x14ac:dyDescent="0.25">
      <c r="A6043" s="3" t="str">
        <f>HYPERLINK("http://mystore1.ru/price_items/search?utf8=%E2%9C%93&amp;oem=5981RGNH5RDW","5981RGNH5RDW")</f>
        <v>5981RGNH5RDW</v>
      </c>
      <c r="B6043" s="1" t="s">
        <v>11510</v>
      </c>
      <c r="C6043" s="9" t="s">
        <v>11484</v>
      </c>
      <c r="D6043" s="14" t="s">
        <v>11503</v>
      </c>
      <c r="E6043" s="9" t="s">
        <v>11</v>
      </c>
    </row>
    <row r="6044" spans="1:5" ht="15" customHeight="1" outlineLevel="2" x14ac:dyDescent="0.25">
      <c r="A6044" s="3" t="str">
        <f>HYPERLINK("http://mystore1.ru/price_items/search?utf8=%E2%9C%93&amp;oem=5981RGNH5RV","5981RGNH5RV")</f>
        <v>5981RGNH5RV</v>
      </c>
      <c r="B6044" s="1" t="s">
        <v>11511</v>
      </c>
      <c r="C6044" s="9" t="s">
        <v>11484</v>
      </c>
      <c r="D6044" s="14" t="s">
        <v>11512</v>
      </c>
      <c r="E6044" s="9" t="s">
        <v>11</v>
      </c>
    </row>
    <row r="6045" spans="1:5" outlineLevel="1" x14ac:dyDescent="0.25">
      <c r="A6045" s="2"/>
      <c r="B6045" s="6" t="s">
        <v>11513</v>
      </c>
      <c r="C6045" s="8"/>
      <c r="D6045" s="8"/>
      <c r="E6045" s="8"/>
    </row>
    <row r="6046" spans="1:5" ht="15" customHeight="1" outlineLevel="2" x14ac:dyDescent="0.25">
      <c r="A6046" s="3" t="str">
        <f>HYPERLINK("http://mystore1.ru/price_items/search?utf8=%E2%9C%93&amp;oem=5983ABL","5983ABL")</f>
        <v>5983ABL</v>
      </c>
      <c r="B6046" s="1" t="s">
        <v>11514</v>
      </c>
      <c r="C6046" s="9" t="s">
        <v>1985</v>
      </c>
      <c r="D6046" s="14" t="s">
        <v>11515</v>
      </c>
      <c r="E6046" s="9" t="s">
        <v>8</v>
      </c>
    </row>
    <row r="6047" spans="1:5" ht="15" customHeight="1" outlineLevel="2" x14ac:dyDescent="0.25">
      <c r="A6047" s="3" t="str">
        <f>HYPERLINK("http://mystore1.ru/price_items/search?utf8=%E2%9C%93&amp;oem=5983ABLBL","5983ABLBL")</f>
        <v>5983ABLBL</v>
      </c>
      <c r="B6047" s="1" t="s">
        <v>11516</v>
      </c>
      <c r="C6047" s="9" t="s">
        <v>1985</v>
      </c>
      <c r="D6047" s="14" t="s">
        <v>11517</v>
      </c>
      <c r="E6047" s="9" t="s">
        <v>8</v>
      </c>
    </row>
    <row r="6048" spans="1:5" ht="15" customHeight="1" outlineLevel="2" x14ac:dyDescent="0.25">
      <c r="A6048" s="3" t="str">
        <f>HYPERLINK("http://mystore1.ru/price_items/search?utf8=%E2%9C%93&amp;oem=5983ABZ1C","5983ABZ1C")</f>
        <v>5983ABZ1C</v>
      </c>
      <c r="B6048" s="1" t="s">
        <v>11518</v>
      </c>
      <c r="C6048" s="9" t="s">
        <v>1985</v>
      </c>
      <c r="D6048" s="14" t="s">
        <v>11519</v>
      </c>
      <c r="E6048" s="9" t="s">
        <v>8</v>
      </c>
    </row>
    <row r="6049" spans="1:5" ht="15" customHeight="1" outlineLevel="2" x14ac:dyDescent="0.25">
      <c r="A6049" s="3" t="str">
        <f>HYPERLINK("http://mystore1.ru/price_items/search?utf8=%E2%9C%93&amp;oem=5983ABZBL","5983ABZBL")</f>
        <v>5983ABZBL</v>
      </c>
      <c r="B6049" s="1" t="s">
        <v>11520</v>
      </c>
      <c r="C6049" s="9" t="s">
        <v>1985</v>
      </c>
      <c r="D6049" s="14" t="s">
        <v>11521</v>
      </c>
      <c r="E6049" s="9" t="s">
        <v>8</v>
      </c>
    </row>
    <row r="6050" spans="1:5" ht="15" customHeight="1" outlineLevel="2" x14ac:dyDescent="0.25">
      <c r="A6050" s="3" t="str">
        <f>HYPERLINK("http://mystore1.ru/price_items/search?utf8=%E2%9C%93&amp;oem=5983AGN","5983AGN")</f>
        <v>5983AGN</v>
      </c>
      <c r="B6050" s="1" t="s">
        <v>11522</v>
      </c>
      <c r="C6050" s="9" t="s">
        <v>1985</v>
      </c>
      <c r="D6050" s="14" t="s">
        <v>11523</v>
      </c>
      <c r="E6050" s="9" t="s">
        <v>8</v>
      </c>
    </row>
    <row r="6051" spans="1:5" ht="15" customHeight="1" outlineLevel="2" x14ac:dyDescent="0.25">
      <c r="A6051" s="3" t="str">
        <f>HYPERLINK("http://mystore1.ru/price_items/search?utf8=%E2%9C%93&amp;oem=5983ASMET","5983ASMET")</f>
        <v>5983ASMET</v>
      </c>
      <c r="B6051" s="1" t="s">
        <v>11524</v>
      </c>
      <c r="C6051" s="9" t="s">
        <v>25</v>
      </c>
      <c r="D6051" s="14" t="s">
        <v>11525</v>
      </c>
      <c r="E6051" s="9" t="s">
        <v>27</v>
      </c>
    </row>
    <row r="6052" spans="1:5" outlineLevel="1" x14ac:dyDescent="0.25">
      <c r="A6052" s="2"/>
      <c r="B6052" s="6" t="s">
        <v>11526</v>
      </c>
      <c r="C6052" s="8"/>
      <c r="D6052" s="8"/>
      <c r="E6052" s="8"/>
    </row>
    <row r="6053" spans="1:5" ht="15" customHeight="1" outlineLevel="2" x14ac:dyDescent="0.25">
      <c r="A6053" s="3" t="str">
        <f>HYPERLINK("http://mystore1.ru/price_items/search?utf8=%E2%9C%93&amp;oem=6002AGN","6002AGN")</f>
        <v>6002AGN</v>
      </c>
      <c r="B6053" s="1" t="s">
        <v>11527</v>
      </c>
      <c r="C6053" s="9" t="s">
        <v>6954</v>
      </c>
      <c r="D6053" s="14" t="s">
        <v>11528</v>
      </c>
      <c r="E6053" s="9" t="s">
        <v>8</v>
      </c>
    </row>
    <row r="6054" spans="1:5" ht="15" customHeight="1" outlineLevel="2" x14ac:dyDescent="0.25">
      <c r="A6054" s="3" t="str">
        <f>HYPERLINK("http://mystore1.ru/price_items/search?utf8=%E2%9C%93&amp;oem=6002AGNBL","6002AGNBL")</f>
        <v>6002AGNBL</v>
      </c>
      <c r="B6054" s="1" t="s">
        <v>11529</v>
      </c>
      <c r="C6054" s="9" t="s">
        <v>6954</v>
      </c>
      <c r="D6054" s="14" t="s">
        <v>11530</v>
      </c>
      <c r="E6054" s="9" t="s">
        <v>8</v>
      </c>
    </row>
    <row r="6055" spans="1:5" ht="15" customHeight="1" outlineLevel="2" x14ac:dyDescent="0.25">
      <c r="A6055" s="3" t="str">
        <f>HYPERLINK("http://mystore1.ru/price_items/search?utf8=%E2%9C%93&amp;oem=6002AGNGN","6002AGNGN")</f>
        <v>6002AGNGN</v>
      </c>
      <c r="B6055" s="1" t="s">
        <v>11531</v>
      </c>
      <c r="C6055" s="9" t="s">
        <v>6954</v>
      </c>
      <c r="D6055" s="14" t="s">
        <v>11532</v>
      </c>
      <c r="E6055" s="9" t="s">
        <v>8</v>
      </c>
    </row>
    <row r="6056" spans="1:5" ht="15" customHeight="1" outlineLevel="2" x14ac:dyDescent="0.25">
      <c r="A6056" s="3" t="str">
        <f>HYPERLINK("http://mystore1.ru/price_items/search?utf8=%E2%9C%93&amp;oem=6002AKCH","6002AKCH")</f>
        <v>6002AKCH</v>
      </c>
      <c r="B6056" s="1" t="s">
        <v>11533</v>
      </c>
      <c r="C6056" s="9" t="s">
        <v>25</v>
      </c>
      <c r="D6056" s="14" t="s">
        <v>11534</v>
      </c>
      <c r="E6056" s="9" t="s">
        <v>27</v>
      </c>
    </row>
    <row r="6057" spans="1:5" ht="15" customHeight="1" outlineLevel="2" x14ac:dyDescent="0.25">
      <c r="A6057" s="3" t="str">
        <f>HYPERLINK("http://mystore1.ru/price_items/search?utf8=%E2%9C%93&amp;oem=6002ASMHT","6002ASMHT")</f>
        <v>6002ASMHT</v>
      </c>
      <c r="B6057" s="1" t="s">
        <v>11535</v>
      </c>
      <c r="C6057" s="9" t="s">
        <v>25</v>
      </c>
      <c r="D6057" s="14" t="s">
        <v>11536</v>
      </c>
      <c r="E6057" s="9" t="s">
        <v>27</v>
      </c>
    </row>
    <row r="6058" spans="1:5" ht="15" customHeight="1" outlineLevel="2" x14ac:dyDescent="0.25">
      <c r="A6058" s="3" t="str">
        <f>HYPERLINK("http://mystore1.ru/price_items/search?utf8=%E2%9C%93&amp;oem=6002BGNEABZ","6002BGNEABZ")</f>
        <v>6002BGNEABZ</v>
      </c>
      <c r="B6058" s="1" t="s">
        <v>11537</v>
      </c>
      <c r="C6058" s="9" t="s">
        <v>6954</v>
      </c>
      <c r="D6058" s="14" t="s">
        <v>11538</v>
      </c>
      <c r="E6058" s="9" t="s">
        <v>30</v>
      </c>
    </row>
    <row r="6059" spans="1:5" ht="15" customHeight="1" outlineLevel="2" x14ac:dyDescent="0.25">
      <c r="A6059" s="3" t="str">
        <f>HYPERLINK("http://mystore1.ru/price_items/search?utf8=%E2%9C%93&amp;oem=6002BGNHBZ","6002BGNHBZ")</f>
        <v>6002BGNHBZ</v>
      </c>
      <c r="B6059" s="1" t="s">
        <v>11539</v>
      </c>
      <c r="C6059" s="9" t="s">
        <v>6954</v>
      </c>
      <c r="D6059" s="14" t="s">
        <v>11540</v>
      </c>
      <c r="E6059" s="9" t="s">
        <v>30</v>
      </c>
    </row>
    <row r="6060" spans="1:5" ht="15" customHeight="1" outlineLevel="2" x14ac:dyDescent="0.25">
      <c r="A6060" s="3" t="str">
        <f>HYPERLINK("http://mystore1.ru/price_items/search?utf8=%E2%9C%93&amp;oem=6002BGNS","6002BGNS")</f>
        <v>6002BGNS</v>
      </c>
      <c r="B6060" s="1" t="s">
        <v>11541</v>
      </c>
      <c r="C6060" s="9" t="s">
        <v>6954</v>
      </c>
      <c r="D6060" s="14" t="s">
        <v>11542</v>
      </c>
      <c r="E6060" s="9" t="s">
        <v>30</v>
      </c>
    </row>
    <row r="6061" spans="1:5" ht="15" customHeight="1" outlineLevel="2" x14ac:dyDescent="0.25">
      <c r="A6061" s="3" t="str">
        <f>HYPERLINK("http://mystore1.ru/price_items/search?utf8=%E2%9C%93&amp;oem=6002BGNS1H","6002BGNS1H")</f>
        <v>6002BGNS1H</v>
      </c>
      <c r="B6061" s="1" t="s">
        <v>11543</v>
      </c>
      <c r="C6061" s="9" t="s">
        <v>6954</v>
      </c>
      <c r="D6061" s="14" t="s">
        <v>11544</v>
      </c>
      <c r="E6061" s="9" t="s">
        <v>30</v>
      </c>
    </row>
    <row r="6062" spans="1:5" ht="15" customHeight="1" outlineLevel="2" x14ac:dyDescent="0.25">
      <c r="A6062" s="3" t="str">
        <f>HYPERLINK("http://mystore1.ru/price_items/search?utf8=%E2%9C%93&amp;oem=6002LGNE5RV","6002LGNE5RV")</f>
        <v>6002LGNE5RV</v>
      </c>
      <c r="B6062" s="1" t="s">
        <v>11545</v>
      </c>
      <c r="C6062" s="9" t="s">
        <v>6954</v>
      </c>
      <c r="D6062" s="14" t="s">
        <v>11546</v>
      </c>
      <c r="E6062" s="9" t="s">
        <v>11</v>
      </c>
    </row>
    <row r="6063" spans="1:5" ht="15" customHeight="1" outlineLevel="2" x14ac:dyDescent="0.25">
      <c r="A6063" s="3" t="str">
        <f>HYPERLINK("http://mystore1.ru/price_items/search?utf8=%E2%9C%93&amp;oem=6002LGNH5FDW","6002LGNH5FDW")</f>
        <v>6002LGNH5FDW</v>
      </c>
      <c r="B6063" s="1" t="s">
        <v>11547</v>
      </c>
      <c r="C6063" s="9" t="s">
        <v>6954</v>
      </c>
      <c r="D6063" s="14" t="s">
        <v>11548</v>
      </c>
      <c r="E6063" s="9" t="s">
        <v>11</v>
      </c>
    </row>
    <row r="6064" spans="1:5" ht="15" customHeight="1" outlineLevel="2" x14ac:dyDescent="0.25">
      <c r="A6064" s="3" t="str">
        <f>HYPERLINK("http://mystore1.ru/price_items/search?utf8=%E2%9C%93&amp;oem=6002LGNH5RDW","6002LGNH5RDW")</f>
        <v>6002LGNH5RDW</v>
      </c>
      <c r="B6064" s="1" t="s">
        <v>11549</v>
      </c>
      <c r="C6064" s="9" t="s">
        <v>6954</v>
      </c>
      <c r="D6064" s="14" t="s">
        <v>11550</v>
      </c>
      <c r="E6064" s="9" t="s">
        <v>11</v>
      </c>
    </row>
    <row r="6065" spans="1:5" ht="15" customHeight="1" outlineLevel="2" x14ac:dyDescent="0.25">
      <c r="A6065" s="3" t="str">
        <f>HYPERLINK("http://mystore1.ru/price_items/search?utf8=%E2%9C%93&amp;oem=6002LGNH5RV","6002LGNH5RV")</f>
        <v>6002LGNH5RV</v>
      </c>
      <c r="B6065" s="1" t="s">
        <v>11551</v>
      </c>
      <c r="C6065" s="9" t="s">
        <v>6954</v>
      </c>
      <c r="D6065" s="14" t="s">
        <v>11552</v>
      </c>
      <c r="E6065" s="9" t="s">
        <v>11</v>
      </c>
    </row>
    <row r="6066" spans="1:5" ht="15" customHeight="1" outlineLevel="2" x14ac:dyDescent="0.25">
      <c r="A6066" s="3" t="str">
        <f>HYPERLINK("http://mystore1.ru/price_items/search?utf8=%E2%9C%93&amp;oem=6002RGNE5RDW","6002RGNE5RDW")</f>
        <v>6002RGNE5RDW</v>
      </c>
      <c r="B6066" s="1" t="s">
        <v>11553</v>
      </c>
      <c r="C6066" s="9" t="s">
        <v>6954</v>
      </c>
      <c r="D6066" s="14" t="s">
        <v>11554</v>
      </c>
      <c r="E6066" s="9" t="s">
        <v>11</v>
      </c>
    </row>
    <row r="6067" spans="1:5" ht="15" customHeight="1" outlineLevel="2" x14ac:dyDescent="0.25">
      <c r="A6067" s="3" t="str">
        <f>HYPERLINK("http://mystore1.ru/price_items/search?utf8=%E2%9C%93&amp;oem=6002RGNE5RQZ","6002RGNE5RQZ")</f>
        <v>6002RGNE5RQZ</v>
      </c>
      <c r="B6067" s="1" t="s">
        <v>11555</v>
      </c>
      <c r="C6067" s="9" t="s">
        <v>6954</v>
      </c>
      <c r="D6067" s="14" t="s">
        <v>11556</v>
      </c>
      <c r="E6067" s="9" t="s">
        <v>11</v>
      </c>
    </row>
    <row r="6068" spans="1:5" ht="15" customHeight="1" outlineLevel="2" x14ac:dyDescent="0.25">
      <c r="A6068" s="3" t="str">
        <f>HYPERLINK("http://mystore1.ru/price_items/search?utf8=%E2%9C%93&amp;oem=6002RGNE5RV","6002RGNE5RV")</f>
        <v>6002RGNE5RV</v>
      </c>
      <c r="B6068" s="1" t="s">
        <v>11557</v>
      </c>
      <c r="C6068" s="9" t="s">
        <v>6954</v>
      </c>
      <c r="D6068" s="14" t="s">
        <v>11558</v>
      </c>
      <c r="E6068" s="9" t="s">
        <v>11</v>
      </c>
    </row>
    <row r="6069" spans="1:5" ht="15" customHeight="1" outlineLevel="2" x14ac:dyDescent="0.25">
      <c r="A6069" s="3" t="str">
        <f>HYPERLINK("http://mystore1.ru/price_items/search?utf8=%E2%9C%93&amp;oem=6002RGNH5FDW","6002RGNH5FDW")</f>
        <v>6002RGNH5FDW</v>
      </c>
      <c r="B6069" s="1" t="s">
        <v>11559</v>
      </c>
      <c r="C6069" s="9" t="s">
        <v>6954</v>
      </c>
      <c r="D6069" s="14" t="s">
        <v>11560</v>
      </c>
      <c r="E6069" s="9" t="s">
        <v>11</v>
      </c>
    </row>
    <row r="6070" spans="1:5" ht="15" customHeight="1" outlineLevel="2" x14ac:dyDescent="0.25">
      <c r="A6070" s="3" t="str">
        <f>HYPERLINK("http://mystore1.ru/price_items/search?utf8=%E2%9C%93&amp;oem=6002RGNH5RDW","6002RGNH5RDW")</f>
        <v>6002RGNH5RDW</v>
      </c>
      <c r="B6070" s="1" t="s">
        <v>11561</v>
      </c>
      <c r="C6070" s="9" t="s">
        <v>6954</v>
      </c>
      <c r="D6070" s="14" t="s">
        <v>11562</v>
      </c>
      <c r="E6070" s="9" t="s">
        <v>11</v>
      </c>
    </row>
    <row r="6071" spans="1:5" ht="15" customHeight="1" outlineLevel="2" x14ac:dyDescent="0.25">
      <c r="A6071" s="3" t="str">
        <f>HYPERLINK("http://mystore1.ru/price_items/search?utf8=%E2%9C%93&amp;oem=6002RGNH5RV","6002RGNH5RV")</f>
        <v>6002RGNH5RV</v>
      </c>
      <c r="B6071" s="1" t="s">
        <v>11563</v>
      </c>
      <c r="C6071" s="9" t="s">
        <v>6954</v>
      </c>
      <c r="D6071" s="14" t="s">
        <v>11564</v>
      </c>
      <c r="E6071" s="9" t="s">
        <v>11</v>
      </c>
    </row>
    <row r="6072" spans="1:5" outlineLevel="1" x14ac:dyDescent="0.25">
      <c r="A6072" s="2"/>
      <c r="B6072" s="6" t="s">
        <v>11565</v>
      </c>
      <c r="C6072" s="8"/>
      <c r="D6072" s="8"/>
      <c r="E6072" s="8"/>
    </row>
    <row r="6073" spans="1:5" ht="15" customHeight="1" outlineLevel="2" x14ac:dyDescent="0.25">
      <c r="A6073" s="3" t="str">
        <f>HYPERLINK("http://mystore1.ru/price_items/search?utf8=%E2%9C%93&amp;oem=6020AGN","6020AGN")</f>
        <v>6020AGN</v>
      </c>
      <c r="B6073" s="1" t="s">
        <v>11566</v>
      </c>
      <c r="C6073" s="9" t="s">
        <v>2594</v>
      </c>
      <c r="D6073" s="14" t="s">
        <v>11567</v>
      </c>
      <c r="E6073" s="9" t="s">
        <v>8</v>
      </c>
    </row>
    <row r="6074" spans="1:5" ht="15" customHeight="1" outlineLevel="2" x14ac:dyDescent="0.25">
      <c r="A6074" s="3" t="str">
        <f>HYPERLINK("http://mystore1.ru/price_items/search?utf8=%E2%9C%93&amp;oem=6020AGNBMV1B","6020AGNBMV1B")</f>
        <v>6020AGNBMV1B</v>
      </c>
      <c r="B6074" s="1" t="s">
        <v>11568</v>
      </c>
      <c r="C6074" s="9" t="s">
        <v>2594</v>
      </c>
      <c r="D6074" s="14" t="s">
        <v>11569</v>
      </c>
      <c r="E6074" s="9" t="s">
        <v>8</v>
      </c>
    </row>
    <row r="6075" spans="1:5" ht="15" customHeight="1" outlineLevel="2" x14ac:dyDescent="0.25">
      <c r="A6075" s="3" t="str">
        <f>HYPERLINK("http://mystore1.ru/price_items/search?utf8=%E2%9C%93&amp;oem=6020AGNBV","6020AGNBV")</f>
        <v>6020AGNBV</v>
      </c>
      <c r="B6075" s="1" t="s">
        <v>11570</v>
      </c>
      <c r="C6075" s="9" t="s">
        <v>2594</v>
      </c>
      <c r="D6075" s="14" t="s">
        <v>11571</v>
      </c>
      <c r="E6075" s="9" t="s">
        <v>8</v>
      </c>
    </row>
    <row r="6076" spans="1:5" ht="15" customHeight="1" outlineLevel="2" x14ac:dyDescent="0.25">
      <c r="A6076" s="3" t="str">
        <f>HYPERLINK("http://mystore1.ru/price_items/search?utf8=%E2%9C%93&amp;oem=6020AGNM1B","6020AGNM1B")</f>
        <v>6020AGNM1B</v>
      </c>
      <c r="B6076" s="1" t="s">
        <v>11572</v>
      </c>
      <c r="C6076" s="9" t="s">
        <v>2594</v>
      </c>
      <c r="D6076" s="14" t="s">
        <v>11573</v>
      </c>
      <c r="E6076" s="9" t="s">
        <v>8</v>
      </c>
    </row>
    <row r="6077" spans="1:5" ht="15" customHeight="1" outlineLevel="2" x14ac:dyDescent="0.25">
      <c r="A6077" s="3" t="str">
        <f>HYPERLINK("http://mystore1.ru/price_items/search?utf8=%E2%9C%93&amp;oem=6020ASMS","6020ASMS")</f>
        <v>6020ASMS</v>
      </c>
      <c r="B6077" s="1" t="s">
        <v>11574</v>
      </c>
      <c r="C6077" s="9" t="s">
        <v>25</v>
      </c>
      <c r="D6077" s="14" t="s">
        <v>11575</v>
      </c>
      <c r="E6077" s="9" t="s">
        <v>27</v>
      </c>
    </row>
    <row r="6078" spans="1:5" ht="15" customHeight="1" outlineLevel="2" x14ac:dyDescent="0.25">
      <c r="A6078" s="3" t="str">
        <f>HYPERLINK("http://mystore1.ru/price_items/search?utf8=%E2%9C%93&amp;oem=6020BGNEBZ","6020BGNEBZ")</f>
        <v>6020BGNEBZ</v>
      </c>
      <c r="B6078" s="1" t="s">
        <v>11576</v>
      </c>
      <c r="C6078" s="9" t="s">
        <v>2594</v>
      </c>
      <c r="D6078" s="14" t="s">
        <v>11577</v>
      </c>
      <c r="E6078" s="9" t="s">
        <v>30</v>
      </c>
    </row>
    <row r="6079" spans="1:5" ht="15" customHeight="1" outlineLevel="2" x14ac:dyDescent="0.25">
      <c r="A6079" s="3" t="str">
        <f>HYPERLINK("http://mystore1.ru/price_items/search?utf8=%E2%9C%93&amp;oem=6020BGNHBZ","6020BGNHBZ")</f>
        <v>6020BGNHBZ</v>
      </c>
      <c r="B6079" s="1" t="s">
        <v>11578</v>
      </c>
      <c r="C6079" s="9" t="s">
        <v>2594</v>
      </c>
      <c r="D6079" s="14" t="s">
        <v>11579</v>
      </c>
      <c r="E6079" s="9" t="s">
        <v>30</v>
      </c>
    </row>
    <row r="6080" spans="1:5" ht="15" customHeight="1" outlineLevel="2" x14ac:dyDescent="0.25">
      <c r="A6080" s="3" t="str">
        <f>HYPERLINK("http://mystore1.ru/price_items/search?utf8=%E2%9C%93&amp;oem=6020BGSSZ","6020BGSSZ")</f>
        <v>6020BGSSZ</v>
      </c>
      <c r="B6080" s="1" t="s">
        <v>11580</v>
      </c>
      <c r="C6080" s="9" t="s">
        <v>2594</v>
      </c>
      <c r="D6080" s="14" t="s">
        <v>11581</v>
      </c>
      <c r="E6080" s="9" t="s">
        <v>30</v>
      </c>
    </row>
    <row r="6081" spans="1:5" ht="15" customHeight="1" outlineLevel="2" x14ac:dyDescent="0.25">
      <c r="A6081" s="3" t="str">
        <f>HYPERLINK("http://mystore1.ru/price_items/search?utf8=%E2%9C%93&amp;oem=6020LGNE5RDW","6020LGNE5RDW")</f>
        <v>6020LGNE5RDW</v>
      </c>
      <c r="B6081" s="1" t="s">
        <v>11582</v>
      </c>
      <c r="C6081" s="9" t="s">
        <v>2594</v>
      </c>
      <c r="D6081" s="14" t="s">
        <v>11583</v>
      </c>
      <c r="E6081" s="9" t="s">
        <v>11</v>
      </c>
    </row>
    <row r="6082" spans="1:5" ht="15" customHeight="1" outlineLevel="2" x14ac:dyDescent="0.25">
      <c r="A6082" s="3" t="str">
        <f>HYPERLINK("http://mystore1.ru/price_items/search?utf8=%E2%9C%93&amp;oem=6020LGNS4FDW","6020LGNS4FDW")</f>
        <v>6020LGNS4FDW</v>
      </c>
      <c r="B6082" s="1" t="s">
        <v>11584</v>
      </c>
      <c r="C6082" s="9" t="s">
        <v>2594</v>
      </c>
      <c r="D6082" s="14" t="s">
        <v>11585</v>
      </c>
      <c r="E6082" s="9" t="s">
        <v>11</v>
      </c>
    </row>
    <row r="6083" spans="1:5" ht="15" customHeight="1" outlineLevel="2" x14ac:dyDescent="0.25">
      <c r="A6083" s="3" t="str">
        <f>HYPERLINK("http://mystore1.ru/price_items/search?utf8=%E2%9C%93&amp;oem=6020LGNS4RDW","6020LGNS4RDW")</f>
        <v>6020LGNS4RDW</v>
      </c>
      <c r="B6083" s="1" t="s">
        <v>11586</v>
      </c>
      <c r="C6083" s="9" t="s">
        <v>2594</v>
      </c>
      <c r="D6083" s="14" t="s">
        <v>11587</v>
      </c>
      <c r="E6083" s="9" t="s">
        <v>11</v>
      </c>
    </row>
    <row r="6084" spans="1:5" ht="15" customHeight="1" outlineLevel="2" x14ac:dyDescent="0.25">
      <c r="A6084" s="3" t="str">
        <f>HYPERLINK("http://mystore1.ru/price_items/search?utf8=%E2%9C%93&amp;oem=6020LGNS4RVZ","6020LGNS4RVZ")</f>
        <v>6020LGNS4RVZ</v>
      </c>
      <c r="B6084" s="1" t="s">
        <v>11588</v>
      </c>
      <c r="C6084" s="9" t="s">
        <v>2594</v>
      </c>
      <c r="D6084" s="14" t="s">
        <v>11589</v>
      </c>
      <c r="E6084" s="9" t="s">
        <v>11</v>
      </c>
    </row>
    <row r="6085" spans="1:5" ht="15" customHeight="1" outlineLevel="2" x14ac:dyDescent="0.25">
      <c r="A6085" s="3" t="str">
        <f>HYPERLINK("http://mystore1.ru/price_items/search?utf8=%E2%9C%93&amp;oem=6020LGNE5RQZ","6020LGNE5RQZ")</f>
        <v>6020LGNE5RQZ</v>
      </c>
      <c r="B6085" s="1" t="s">
        <v>11590</v>
      </c>
      <c r="C6085" s="9" t="s">
        <v>2594</v>
      </c>
      <c r="D6085" s="14" t="s">
        <v>11591</v>
      </c>
      <c r="E6085" s="9" t="s">
        <v>11</v>
      </c>
    </row>
    <row r="6086" spans="1:5" ht="15" customHeight="1" outlineLevel="2" x14ac:dyDescent="0.25">
      <c r="A6086" s="3" t="str">
        <f>HYPERLINK("http://mystore1.ru/price_items/search?utf8=%E2%9C%93&amp;oem=6020RGNE5RDW","6020RGNE5RDW")</f>
        <v>6020RGNE5RDW</v>
      </c>
      <c r="B6086" s="1" t="s">
        <v>11592</v>
      </c>
      <c r="C6086" s="9" t="s">
        <v>2594</v>
      </c>
      <c r="D6086" s="14" t="s">
        <v>11593</v>
      </c>
      <c r="E6086" s="9" t="s">
        <v>11</v>
      </c>
    </row>
    <row r="6087" spans="1:5" ht="15" customHeight="1" outlineLevel="2" x14ac:dyDescent="0.25">
      <c r="A6087" s="3" t="str">
        <f>HYPERLINK("http://mystore1.ru/price_items/search?utf8=%E2%9C%93&amp;oem=6020RGNS4FDW","6020RGNS4FDW")</f>
        <v>6020RGNS4FDW</v>
      </c>
      <c r="B6087" s="1" t="s">
        <v>11594</v>
      </c>
      <c r="C6087" s="9" t="s">
        <v>2594</v>
      </c>
      <c r="D6087" s="14" t="s">
        <v>11595</v>
      </c>
      <c r="E6087" s="9" t="s">
        <v>11</v>
      </c>
    </row>
    <row r="6088" spans="1:5" ht="15" customHeight="1" outlineLevel="2" x14ac:dyDescent="0.25">
      <c r="A6088" s="3" t="str">
        <f>HYPERLINK("http://mystore1.ru/price_items/search?utf8=%E2%9C%93&amp;oem=6020RGNS4RDW","6020RGNS4RDW")</f>
        <v>6020RGNS4RDW</v>
      </c>
      <c r="B6088" s="1" t="s">
        <v>11596</v>
      </c>
      <c r="C6088" s="9" t="s">
        <v>2594</v>
      </c>
      <c r="D6088" s="14" t="s">
        <v>11597</v>
      </c>
      <c r="E6088" s="9" t="s">
        <v>11</v>
      </c>
    </row>
    <row r="6089" spans="1:5" ht="15" customHeight="1" outlineLevel="2" x14ac:dyDescent="0.25">
      <c r="A6089" s="3" t="str">
        <f>HYPERLINK("http://mystore1.ru/price_items/search?utf8=%E2%9C%93&amp;oem=6020RGNS4RVZ","6020RGNS4RVZ")</f>
        <v>6020RGNS4RVZ</v>
      </c>
      <c r="B6089" s="1" t="s">
        <v>11598</v>
      </c>
      <c r="C6089" s="9" t="s">
        <v>2594</v>
      </c>
      <c r="D6089" s="14" t="s">
        <v>11599</v>
      </c>
      <c r="E6089" s="9" t="s">
        <v>11</v>
      </c>
    </row>
    <row r="6090" spans="1:5" ht="15" customHeight="1" outlineLevel="2" x14ac:dyDescent="0.25">
      <c r="A6090" s="3" t="str">
        <f>HYPERLINK("http://mystore1.ru/price_items/search?utf8=%E2%9C%93&amp;oem=6020RGNE5RQZ","6020RGNE5RQZ")</f>
        <v>6020RGNE5RQZ</v>
      </c>
      <c r="B6090" s="1" t="s">
        <v>11600</v>
      </c>
      <c r="C6090" s="9" t="s">
        <v>2594</v>
      </c>
      <c r="D6090" s="14" t="s">
        <v>11601</v>
      </c>
      <c r="E6090" s="9" t="s">
        <v>11</v>
      </c>
    </row>
    <row r="6091" spans="1:5" outlineLevel="1" x14ac:dyDescent="0.25">
      <c r="A6091" s="2"/>
      <c r="B6091" s="6" t="s">
        <v>11602</v>
      </c>
      <c r="C6091" s="8"/>
      <c r="D6091" s="8"/>
      <c r="E6091" s="8"/>
    </row>
    <row r="6092" spans="1:5" ht="15" customHeight="1" outlineLevel="2" x14ac:dyDescent="0.25">
      <c r="A6092" s="3" t="str">
        <f>HYPERLINK("http://mystore1.ru/price_items/search?utf8=%E2%9C%93&amp;oem=6044AGSMV1P","6044AGSMV1P")</f>
        <v>6044AGSMV1P</v>
      </c>
      <c r="B6092" s="1" t="s">
        <v>11603</v>
      </c>
      <c r="C6092" s="9" t="s">
        <v>687</v>
      </c>
      <c r="D6092" s="14" t="s">
        <v>11604</v>
      </c>
      <c r="E6092" s="9" t="s">
        <v>8</v>
      </c>
    </row>
    <row r="6093" spans="1:5" ht="15" customHeight="1" outlineLevel="2" x14ac:dyDescent="0.25">
      <c r="A6093" s="3" t="str">
        <f>HYPERLINK("http://mystore1.ru/price_items/search?utf8=%E2%9C%93&amp;oem=6044AGSV","6044AGSV")</f>
        <v>6044AGSV</v>
      </c>
      <c r="B6093" s="1" t="s">
        <v>11605</v>
      </c>
      <c r="C6093" s="9" t="s">
        <v>687</v>
      </c>
      <c r="D6093" s="14" t="s">
        <v>11606</v>
      </c>
      <c r="E6093" s="9" t="s">
        <v>8</v>
      </c>
    </row>
    <row r="6094" spans="1:5" ht="15" customHeight="1" outlineLevel="2" x14ac:dyDescent="0.25">
      <c r="A6094" s="3" t="str">
        <f>HYPERLINK("http://mystore1.ru/price_items/search?utf8=%E2%9C%93&amp;oem=6044ASMR","6044ASMR")</f>
        <v>6044ASMR</v>
      </c>
      <c r="B6094" s="1" t="s">
        <v>11607</v>
      </c>
      <c r="C6094" s="9" t="s">
        <v>25</v>
      </c>
      <c r="D6094" s="14" t="s">
        <v>11608</v>
      </c>
      <c r="E6094" s="9" t="s">
        <v>27</v>
      </c>
    </row>
    <row r="6095" spans="1:5" ht="15" customHeight="1" outlineLevel="2" x14ac:dyDescent="0.25">
      <c r="A6095" s="3" t="str">
        <f>HYPERLINK("http://mystore1.ru/price_items/search?utf8=%E2%9C%93&amp;oem=6044BGSRW","6044BGSRW")</f>
        <v>6044BGSRW</v>
      </c>
      <c r="B6095" s="1" t="s">
        <v>11609</v>
      </c>
      <c r="C6095" s="9" t="s">
        <v>511</v>
      </c>
      <c r="D6095" s="14" t="s">
        <v>11610</v>
      </c>
      <c r="E6095" s="9" t="s">
        <v>30</v>
      </c>
    </row>
    <row r="6096" spans="1:5" ht="15" customHeight="1" outlineLevel="2" x14ac:dyDescent="0.25">
      <c r="A6096" s="3" t="str">
        <f>HYPERLINK("http://mystore1.ru/price_items/search?utf8=%E2%9C%93&amp;oem=6044BYPRJW","6044BYPRJW")</f>
        <v>6044BYPRJW</v>
      </c>
      <c r="B6096" s="1" t="s">
        <v>11611</v>
      </c>
      <c r="C6096" s="9" t="s">
        <v>511</v>
      </c>
      <c r="D6096" s="14" t="s">
        <v>11612</v>
      </c>
      <c r="E6096" s="9" t="s">
        <v>30</v>
      </c>
    </row>
    <row r="6097" spans="1:5" ht="15" customHeight="1" outlineLevel="2" x14ac:dyDescent="0.25">
      <c r="A6097" s="3" t="str">
        <f>HYPERLINK("http://mystore1.ru/price_items/search?utf8=%E2%9C%93&amp;oem=6044BYPRW","6044BYPRW")</f>
        <v>6044BYPRW</v>
      </c>
      <c r="B6097" s="1" t="s">
        <v>11613</v>
      </c>
      <c r="C6097" s="9" t="s">
        <v>511</v>
      </c>
      <c r="D6097" s="14" t="s">
        <v>11614</v>
      </c>
      <c r="E6097" s="9" t="s">
        <v>30</v>
      </c>
    </row>
    <row r="6098" spans="1:5" ht="15" customHeight="1" outlineLevel="2" x14ac:dyDescent="0.25">
      <c r="A6098" s="3" t="str">
        <f>HYPERLINK("http://mystore1.ru/price_items/search?utf8=%E2%9C%93&amp;oem=6044BYPRW1J","6044BYPRW1J")</f>
        <v>6044BYPRW1J</v>
      </c>
      <c r="B6098" s="1" t="s">
        <v>11615</v>
      </c>
      <c r="C6098" s="9" t="s">
        <v>642</v>
      </c>
      <c r="D6098" s="14" t="s">
        <v>11616</v>
      </c>
      <c r="E6098" s="9" t="s">
        <v>30</v>
      </c>
    </row>
    <row r="6099" spans="1:5" ht="15" customHeight="1" outlineLevel="2" x14ac:dyDescent="0.25">
      <c r="A6099" s="3" t="str">
        <f>HYPERLINK("http://mystore1.ru/price_items/search?utf8=%E2%9C%93&amp;oem=6044LGSR5FDW","6044LGSR5FDW")</f>
        <v>6044LGSR5FDW</v>
      </c>
      <c r="B6099" s="1" t="s">
        <v>11617</v>
      </c>
      <c r="C6099" s="9" t="s">
        <v>511</v>
      </c>
      <c r="D6099" s="14" t="s">
        <v>11618</v>
      </c>
      <c r="E6099" s="9" t="s">
        <v>11</v>
      </c>
    </row>
    <row r="6100" spans="1:5" ht="15" customHeight="1" outlineLevel="2" x14ac:dyDescent="0.25">
      <c r="A6100" s="3" t="str">
        <f>HYPERLINK("http://mystore1.ru/price_items/search?utf8=%E2%9C%93&amp;oem=6044LGNR5FDW1J","6044LGNR5FDW1J")</f>
        <v>6044LGNR5FDW1J</v>
      </c>
      <c r="B6100" s="1" t="s">
        <v>11619</v>
      </c>
      <c r="C6100" s="9" t="s">
        <v>642</v>
      </c>
      <c r="D6100" s="14" t="s">
        <v>11620</v>
      </c>
      <c r="E6100" s="9" t="s">
        <v>11</v>
      </c>
    </row>
    <row r="6101" spans="1:5" ht="15" customHeight="1" outlineLevel="2" x14ac:dyDescent="0.25">
      <c r="A6101" s="3" t="str">
        <f>HYPERLINK("http://mystore1.ru/price_items/search?utf8=%E2%9C%93&amp;oem=6044LGSR5RDW","6044LGSR5RDW")</f>
        <v>6044LGSR5RDW</v>
      </c>
      <c r="B6101" s="1" t="s">
        <v>11621</v>
      </c>
      <c r="C6101" s="9" t="s">
        <v>511</v>
      </c>
      <c r="D6101" s="14" t="s">
        <v>11622</v>
      </c>
      <c r="E6101" s="9" t="s">
        <v>11</v>
      </c>
    </row>
    <row r="6102" spans="1:5" ht="15" customHeight="1" outlineLevel="2" x14ac:dyDescent="0.25">
      <c r="A6102" s="3" t="str">
        <f>HYPERLINK("http://mystore1.ru/price_items/search?utf8=%E2%9C%93&amp;oem=6044LGSR5RQ","6044LGSR5RQ")</f>
        <v>6044LGSR5RQ</v>
      </c>
      <c r="B6102" s="1" t="s">
        <v>11623</v>
      </c>
      <c r="C6102" s="9" t="s">
        <v>511</v>
      </c>
      <c r="D6102" s="14" t="s">
        <v>11624</v>
      </c>
      <c r="E6102" s="9" t="s">
        <v>11</v>
      </c>
    </row>
    <row r="6103" spans="1:5" ht="15" customHeight="1" outlineLevel="2" x14ac:dyDescent="0.25">
      <c r="A6103" s="3" t="str">
        <f>HYPERLINK("http://mystore1.ru/price_items/search?utf8=%E2%9C%93&amp;oem=6044LYPR5RDW","6044LYPR5RDW")</f>
        <v>6044LYPR5RDW</v>
      </c>
      <c r="B6103" s="1" t="s">
        <v>11625</v>
      </c>
      <c r="C6103" s="9" t="s">
        <v>511</v>
      </c>
      <c r="D6103" s="14" t="s">
        <v>11626</v>
      </c>
      <c r="E6103" s="9" t="s">
        <v>11</v>
      </c>
    </row>
    <row r="6104" spans="1:5" ht="15" customHeight="1" outlineLevel="2" x14ac:dyDescent="0.25">
      <c r="A6104" s="3" t="str">
        <f>HYPERLINK("http://mystore1.ru/price_items/search?utf8=%E2%9C%93&amp;oem=6044LYPR5RQ","6044LYPR5RQ")</f>
        <v>6044LYPR5RQ</v>
      </c>
      <c r="B6104" s="1" t="s">
        <v>11627</v>
      </c>
      <c r="C6104" s="9" t="s">
        <v>511</v>
      </c>
      <c r="D6104" s="14" t="s">
        <v>11628</v>
      </c>
      <c r="E6104" s="9" t="s">
        <v>11</v>
      </c>
    </row>
    <row r="6105" spans="1:5" ht="15" customHeight="1" outlineLevel="2" x14ac:dyDescent="0.25">
      <c r="A6105" s="3" t="str">
        <f>HYPERLINK("http://mystore1.ru/price_items/search?utf8=%E2%9C%93&amp;oem=6044LYPR5RQ1J","6044LYPR5RQ1J")</f>
        <v>6044LYPR5RQ1J</v>
      </c>
      <c r="B6105" s="1" t="s">
        <v>11629</v>
      </c>
      <c r="C6105" s="9" t="s">
        <v>642</v>
      </c>
      <c r="D6105" s="14" t="s">
        <v>11630</v>
      </c>
      <c r="E6105" s="9" t="s">
        <v>11</v>
      </c>
    </row>
    <row r="6106" spans="1:5" ht="15" customHeight="1" outlineLevel="2" x14ac:dyDescent="0.25">
      <c r="A6106" s="3" t="str">
        <f>HYPERLINK("http://mystore1.ru/price_items/search?utf8=%E2%9C%93&amp;oem=6044RGSR5FDW","6044RGSR5FDW")</f>
        <v>6044RGSR5FDW</v>
      </c>
      <c r="B6106" s="1" t="s">
        <v>11631</v>
      </c>
      <c r="C6106" s="9" t="s">
        <v>511</v>
      </c>
      <c r="D6106" s="14" t="s">
        <v>11632</v>
      </c>
      <c r="E6106" s="9" t="s">
        <v>11</v>
      </c>
    </row>
    <row r="6107" spans="1:5" ht="15" customHeight="1" outlineLevel="2" x14ac:dyDescent="0.25">
      <c r="A6107" s="3" t="str">
        <f>HYPERLINK("http://mystore1.ru/price_items/search?utf8=%E2%9C%93&amp;oem=6044RGNR5FDW1J","6044RGNR5FDW1J")</f>
        <v>6044RGNR5FDW1J</v>
      </c>
      <c r="B6107" s="1" t="s">
        <v>11633</v>
      </c>
      <c r="C6107" s="9" t="s">
        <v>511</v>
      </c>
      <c r="D6107" s="14" t="s">
        <v>11634</v>
      </c>
      <c r="E6107" s="9" t="s">
        <v>11</v>
      </c>
    </row>
    <row r="6108" spans="1:5" ht="15" customHeight="1" outlineLevel="2" x14ac:dyDescent="0.25">
      <c r="A6108" s="3" t="str">
        <f>HYPERLINK("http://mystore1.ru/price_items/search?utf8=%E2%9C%93&amp;oem=6044RGSR5RDW","6044RGSR5RDW")</f>
        <v>6044RGSR5RDW</v>
      </c>
      <c r="B6108" s="1" t="s">
        <v>11635</v>
      </c>
      <c r="C6108" s="9" t="s">
        <v>511</v>
      </c>
      <c r="D6108" s="14" t="s">
        <v>11636</v>
      </c>
      <c r="E6108" s="9" t="s">
        <v>11</v>
      </c>
    </row>
    <row r="6109" spans="1:5" ht="15" customHeight="1" outlineLevel="2" x14ac:dyDescent="0.25">
      <c r="A6109" s="3" t="str">
        <f>HYPERLINK("http://mystore1.ru/price_items/search?utf8=%E2%9C%93&amp;oem=6044RGSR5RQ","6044RGSR5RQ")</f>
        <v>6044RGSR5RQ</v>
      </c>
      <c r="B6109" s="1" t="s">
        <v>11637</v>
      </c>
      <c r="C6109" s="9" t="s">
        <v>511</v>
      </c>
      <c r="D6109" s="14" t="s">
        <v>11638</v>
      </c>
      <c r="E6109" s="9" t="s">
        <v>11</v>
      </c>
    </row>
    <row r="6110" spans="1:5" ht="15" customHeight="1" outlineLevel="2" x14ac:dyDescent="0.25">
      <c r="A6110" s="3" t="str">
        <f>HYPERLINK("http://mystore1.ru/price_items/search?utf8=%E2%9C%93&amp;oem=6044RYPR5RDW","6044RYPR5RDW")</f>
        <v>6044RYPR5RDW</v>
      </c>
      <c r="B6110" s="1" t="s">
        <v>11639</v>
      </c>
      <c r="C6110" s="9" t="s">
        <v>511</v>
      </c>
      <c r="D6110" s="14" t="s">
        <v>11640</v>
      </c>
      <c r="E6110" s="9" t="s">
        <v>11</v>
      </c>
    </row>
    <row r="6111" spans="1:5" ht="15" customHeight="1" outlineLevel="2" x14ac:dyDescent="0.25">
      <c r="A6111" s="3" t="str">
        <f>HYPERLINK("http://mystore1.ru/price_items/search?utf8=%E2%9C%93&amp;oem=6044RYPR5RQ","6044RYPR5RQ")</f>
        <v>6044RYPR5RQ</v>
      </c>
      <c r="B6111" s="1" t="s">
        <v>11641</v>
      </c>
      <c r="C6111" s="9" t="s">
        <v>511</v>
      </c>
      <c r="D6111" s="14" t="s">
        <v>11642</v>
      </c>
      <c r="E6111" s="9" t="s">
        <v>11</v>
      </c>
    </row>
    <row r="6112" spans="1:5" outlineLevel="1" x14ac:dyDescent="0.25">
      <c r="A6112" s="2"/>
      <c r="B6112" s="6" t="s">
        <v>11643</v>
      </c>
      <c r="C6112" s="47"/>
      <c r="D6112" s="8"/>
      <c r="E6112" s="8"/>
    </row>
    <row r="6113" spans="1:5" ht="15" customHeight="1" outlineLevel="2" x14ac:dyDescent="0.25">
      <c r="A6113" s="3" t="str">
        <f>HYPERLINK("http://mystore1.ru/price_items/search?utf8=%E2%9C%93&amp;oem=5992ABZ","5992ABZ")</f>
        <v>5992ABZ</v>
      </c>
      <c r="B6113" s="1" t="s">
        <v>11644</v>
      </c>
      <c r="C6113" s="9" t="s">
        <v>2846</v>
      </c>
      <c r="D6113" s="14" t="s">
        <v>11645</v>
      </c>
      <c r="E6113" s="9" t="s">
        <v>8</v>
      </c>
    </row>
    <row r="6114" spans="1:5" ht="15" customHeight="1" outlineLevel="2" x14ac:dyDescent="0.25">
      <c r="A6114" s="3" t="str">
        <f>HYPERLINK("http://mystore1.ru/price_items/search?utf8=%E2%9C%93&amp;oem=5992ACL","5992ACL")</f>
        <v>5992ACL</v>
      </c>
      <c r="B6114" s="1" t="s">
        <v>11646</v>
      </c>
      <c r="C6114" s="9" t="s">
        <v>2846</v>
      </c>
      <c r="D6114" s="14" t="s">
        <v>11647</v>
      </c>
      <c r="E6114" s="9" t="s">
        <v>8</v>
      </c>
    </row>
    <row r="6115" spans="1:5" ht="15" customHeight="1" outlineLevel="2" x14ac:dyDescent="0.25">
      <c r="A6115" s="3" t="str">
        <f>HYPERLINK("http://mystore1.ru/price_items/search?utf8=%E2%9C%93&amp;oem=5992AGN","5992AGN")</f>
        <v>5992AGN</v>
      </c>
      <c r="B6115" s="1" t="s">
        <v>11648</v>
      </c>
      <c r="C6115" s="9" t="s">
        <v>2846</v>
      </c>
      <c r="D6115" s="14" t="s">
        <v>11649</v>
      </c>
      <c r="E6115" s="9" t="s">
        <v>8</v>
      </c>
    </row>
    <row r="6116" spans="1:5" ht="15" customHeight="1" outlineLevel="2" x14ac:dyDescent="0.25">
      <c r="A6116" s="3" t="str">
        <f>HYPERLINK("http://mystore1.ru/price_items/search?utf8=%E2%9C%93&amp;oem=5992AGNBL","5992AGNBL")</f>
        <v>5992AGNBL</v>
      </c>
      <c r="B6116" s="1" t="s">
        <v>11650</v>
      </c>
      <c r="C6116" s="9" t="s">
        <v>2846</v>
      </c>
      <c r="D6116" s="14" t="s">
        <v>11651</v>
      </c>
      <c r="E6116" s="9" t="s">
        <v>8</v>
      </c>
    </row>
    <row r="6117" spans="1:5" ht="15" customHeight="1" outlineLevel="2" x14ac:dyDescent="0.25">
      <c r="A6117" s="3" t="str">
        <f>HYPERLINK("http://mystore1.ru/price_items/search?utf8=%E2%9C%93&amp;oem=5992AKMV","5992AKMV")</f>
        <v>5992AKMV</v>
      </c>
      <c r="B6117" s="1" t="s">
        <v>11652</v>
      </c>
      <c r="C6117" s="9" t="s">
        <v>25</v>
      </c>
      <c r="D6117" s="14" t="s">
        <v>11653</v>
      </c>
      <c r="E6117" s="9" t="s">
        <v>27</v>
      </c>
    </row>
    <row r="6118" spans="1:5" ht="15" customHeight="1" outlineLevel="2" x14ac:dyDescent="0.25">
      <c r="A6118" s="3" t="str">
        <f>HYPERLINK("http://mystore1.ru/price_items/search?utf8=%E2%9C%93&amp;oem=5992BCLVL","5992BCLVL")</f>
        <v>5992BCLVL</v>
      </c>
      <c r="B6118" s="1" t="s">
        <v>11654</v>
      </c>
      <c r="C6118" s="9" t="s">
        <v>2846</v>
      </c>
      <c r="D6118" s="14" t="s">
        <v>11655</v>
      </c>
      <c r="E6118" s="9" t="s">
        <v>30</v>
      </c>
    </row>
    <row r="6119" spans="1:5" ht="15" customHeight="1" outlineLevel="2" x14ac:dyDescent="0.25">
      <c r="A6119" s="3" t="str">
        <f>HYPERLINK("http://mystore1.ru/price_items/search?utf8=%E2%9C%93&amp;oem=5992BGNVL","5992BGNVL")</f>
        <v>5992BGNVL</v>
      </c>
      <c r="B6119" s="1" t="s">
        <v>11656</v>
      </c>
      <c r="C6119" s="9" t="s">
        <v>2846</v>
      </c>
      <c r="D6119" s="14" t="s">
        <v>11657</v>
      </c>
      <c r="E6119" s="9" t="s">
        <v>30</v>
      </c>
    </row>
    <row r="6120" spans="1:5" ht="15" customHeight="1" outlineLevel="2" x14ac:dyDescent="0.25">
      <c r="A6120" s="3" t="str">
        <f>HYPERLINK("http://mystore1.ru/price_items/search?utf8=%E2%9C%93&amp;oem=5992LGNV3FDW","5992LGNV3FDW")</f>
        <v>5992LGNV3FDW</v>
      </c>
      <c r="B6120" s="1" t="s">
        <v>11658</v>
      </c>
      <c r="C6120" s="9" t="s">
        <v>2846</v>
      </c>
      <c r="D6120" s="14" t="s">
        <v>11659</v>
      </c>
      <c r="E6120" s="9" t="s">
        <v>11</v>
      </c>
    </row>
    <row r="6121" spans="1:5" ht="15" customHeight="1" outlineLevel="2" x14ac:dyDescent="0.25">
      <c r="A6121" s="3" t="str">
        <f>HYPERLINK("http://mystore1.ru/price_items/search?utf8=%E2%9C%93&amp;oem=5992RGNV3FDW","5992RGNV3FDW")</f>
        <v>5992RGNV3FDW</v>
      </c>
      <c r="B6121" s="1" t="s">
        <v>11660</v>
      </c>
      <c r="C6121" s="9" t="s">
        <v>2846</v>
      </c>
      <c r="D6121" s="14" t="s">
        <v>11661</v>
      </c>
      <c r="E6121" s="9" t="s">
        <v>11</v>
      </c>
    </row>
    <row r="6122" spans="1:5" outlineLevel="1" x14ac:dyDescent="0.25">
      <c r="A6122" s="2"/>
      <c r="B6122" s="6" t="s">
        <v>11662</v>
      </c>
      <c r="C6122" s="8"/>
      <c r="D6122" s="8"/>
      <c r="E6122" s="8"/>
    </row>
    <row r="6123" spans="1:5" ht="15" customHeight="1" outlineLevel="2" x14ac:dyDescent="0.25">
      <c r="A6123" s="3" t="str">
        <f>HYPERLINK("http://mystore1.ru/price_items/search?utf8=%E2%9C%93&amp;oem=5953ABL","5953ABL")</f>
        <v>5953ABL</v>
      </c>
      <c r="B6123" s="1" t="s">
        <v>11663</v>
      </c>
      <c r="C6123" s="9" t="s">
        <v>11664</v>
      </c>
      <c r="D6123" s="14" t="s">
        <v>11665</v>
      </c>
      <c r="E6123" s="9" t="s">
        <v>8</v>
      </c>
    </row>
    <row r="6124" spans="1:5" outlineLevel="1" x14ac:dyDescent="0.25">
      <c r="A6124" s="2"/>
      <c r="B6124" s="6" t="s">
        <v>11666</v>
      </c>
      <c r="C6124" s="47"/>
      <c r="D6124" s="8"/>
      <c r="E6124" s="8"/>
    </row>
    <row r="6125" spans="1:5" ht="15" customHeight="1" outlineLevel="2" x14ac:dyDescent="0.25">
      <c r="A6125" s="3" t="str">
        <f>HYPERLINK("http://mystore1.ru/price_items/search?utf8=%E2%9C%93&amp;oem=5952ABL","5952ABL")</f>
        <v>5952ABL</v>
      </c>
      <c r="B6125" s="1" t="s">
        <v>11667</v>
      </c>
      <c r="C6125" s="9" t="s">
        <v>11664</v>
      </c>
      <c r="D6125" s="14" t="s">
        <v>11668</v>
      </c>
      <c r="E6125" s="9" t="s">
        <v>8</v>
      </c>
    </row>
    <row r="6126" spans="1:5" outlineLevel="1" x14ac:dyDescent="0.25">
      <c r="A6126" s="2"/>
      <c r="B6126" s="6" t="s">
        <v>11669</v>
      </c>
      <c r="C6126" s="8"/>
      <c r="D6126" s="8"/>
      <c r="E6126" s="8"/>
    </row>
    <row r="6127" spans="1:5" ht="15" customHeight="1" outlineLevel="2" x14ac:dyDescent="0.25">
      <c r="A6127" s="3" t="str">
        <f>HYPERLINK("http://mystore1.ru/price_items/search?utf8=%E2%9C%93&amp;oem=5971ABL","5971ABL")</f>
        <v>5971ABL</v>
      </c>
      <c r="B6127" s="1" t="s">
        <v>11670</v>
      </c>
      <c r="C6127" s="9" t="s">
        <v>5481</v>
      </c>
      <c r="D6127" s="14" t="s">
        <v>11671</v>
      </c>
      <c r="E6127" s="9" t="s">
        <v>8</v>
      </c>
    </row>
    <row r="6128" spans="1:5" ht="15" customHeight="1" outlineLevel="2" x14ac:dyDescent="0.25">
      <c r="A6128" s="3" t="str">
        <f>HYPERLINK("http://mystore1.ru/price_items/search?utf8=%E2%9C%93&amp;oem=5971AKMS","5971AKMS")</f>
        <v>5971AKMS</v>
      </c>
      <c r="B6128" s="1" t="s">
        <v>11672</v>
      </c>
      <c r="C6128" s="9" t="s">
        <v>25</v>
      </c>
      <c r="D6128" s="14" t="s">
        <v>11673</v>
      </c>
      <c r="E6128" s="9" t="s">
        <v>27</v>
      </c>
    </row>
    <row r="6129" spans="1:5" outlineLevel="1" x14ac:dyDescent="0.25">
      <c r="A6129" s="2"/>
      <c r="B6129" s="6" t="s">
        <v>11674</v>
      </c>
      <c r="C6129" s="8"/>
      <c r="D6129" s="8"/>
      <c r="E6129" s="8"/>
    </row>
    <row r="6130" spans="1:5" ht="15" customHeight="1" outlineLevel="2" x14ac:dyDescent="0.25">
      <c r="A6130" s="3" t="str">
        <f>HYPERLINK("http://mystore1.ru/price_items/search?utf8=%E2%9C%93&amp;oem=5967ABLBL","5967ABLBL")</f>
        <v>5967ABLBL</v>
      </c>
      <c r="B6130" s="1" t="s">
        <v>11675</v>
      </c>
      <c r="C6130" s="9" t="s">
        <v>5481</v>
      </c>
      <c r="D6130" s="14" t="s">
        <v>11676</v>
      </c>
      <c r="E6130" s="9" t="s">
        <v>8</v>
      </c>
    </row>
    <row r="6131" spans="1:5" ht="15" customHeight="1" outlineLevel="2" x14ac:dyDescent="0.25">
      <c r="A6131" s="3" t="str">
        <f>HYPERLINK("http://mystore1.ru/price_items/search?utf8=%E2%9C%93&amp;oem=5967ACL","5967ACL")</f>
        <v>5967ACL</v>
      </c>
      <c r="B6131" s="1" t="s">
        <v>11677</v>
      </c>
      <c r="C6131" s="9" t="s">
        <v>5481</v>
      </c>
      <c r="D6131" s="14" t="s">
        <v>11678</v>
      </c>
      <c r="E6131" s="9" t="s">
        <v>8</v>
      </c>
    </row>
    <row r="6132" spans="1:5" ht="15" customHeight="1" outlineLevel="2" x14ac:dyDescent="0.25">
      <c r="A6132" s="3" t="str">
        <f>HYPERLINK("http://mystore1.ru/price_items/search?utf8=%E2%9C%93&amp;oem=5967AKMH","5967AKMH")</f>
        <v>5967AKMH</v>
      </c>
      <c r="B6132" s="1" t="s">
        <v>11679</v>
      </c>
      <c r="C6132" s="9" t="s">
        <v>25</v>
      </c>
      <c r="D6132" s="14" t="s">
        <v>11680</v>
      </c>
      <c r="E6132" s="9" t="s">
        <v>27</v>
      </c>
    </row>
    <row r="6133" spans="1:5" ht="15" customHeight="1" outlineLevel="2" x14ac:dyDescent="0.25">
      <c r="A6133" s="3" t="str">
        <f>HYPERLINK("http://mystore1.ru/price_items/search?utf8=%E2%9C%93&amp;oem=5967LBLH5FDW","5967LBLH5FDW")</f>
        <v>5967LBLH5FDW</v>
      </c>
      <c r="B6133" s="1" t="s">
        <v>11681</v>
      </c>
      <c r="C6133" s="9" t="s">
        <v>5481</v>
      </c>
      <c r="D6133" s="14" t="s">
        <v>11682</v>
      </c>
      <c r="E6133" s="9" t="s">
        <v>11</v>
      </c>
    </row>
    <row r="6134" spans="1:5" ht="15" customHeight="1" outlineLevel="2" x14ac:dyDescent="0.25">
      <c r="A6134" s="3" t="str">
        <f>HYPERLINK("http://mystore1.ru/price_items/search?utf8=%E2%9C%93&amp;oem=5967LBLH5RD","5967LBLH5RD")</f>
        <v>5967LBLH5RD</v>
      </c>
      <c r="B6134" s="1" t="s">
        <v>11683</v>
      </c>
      <c r="C6134" s="9" t="s">
        <v>5481</v>
      </c>
      <c r="D6134" s="14" t="s">
        <v>11684</v>
      </c>
      <c r="E6134" s="9" t="s">
        <v>11</v>
      </c>
    </row>
    <row r="6135" spans="1:5" ht="15" customHeight="1" outlineLevel="2" x14ac:dyDescent="0.25">
      <c r="A6135" s="3" t="str">
        <f>HYPERLINK("http://mystore1.ru/price_items/search?utf8=%E2%9C%93&amp;oem=5967LBLH5RV","5967LBLH5RV")</f>
        <v>5967LBLH5RV</v>
      </c>
      <c r="B6135" s="1" t="s">
        <v>11685</v>
      </c>
      <c r="C6135" s="9" t="s">
        <v>5481</v>
      </c>
      <c r="D6135" s="14" t="s">
        <v>11686</v>
      </c>
      <c r="E6135" s="9" t="s">
        <v>11</v>
      </c>
    </row>
    <row r="6136" spans="1:5" ht="15" customHeight="1" outlineLevel="2" x14ac:dyDescent="0.25">
      <c r="A6136" s="3" t="str">
        <f>HYPERLINK("http://mystore1.ru/price_items/search?utf8=%E2%9C%93&amp;oem=5967LBLS4RV","5967LBLS4RV")</f>
        <v>5967LBLS4RV</v>
      </c>
      <c r="B6136" s="1" t="s">
        <v>11687</v>
      </c>
      <c r="C6136" s="9" t="s">
        <v>5481</v>
      </c>
      <c r="D6136" s="14" t="s">
        <v>11688</v>
      </c>
      <c r="E6136" s="9" t="s">
        <v>11</v>
      </c>
    </row>
    <row r="6137" spans="1:5" ht="15" customHeight="1" outlineLevel="2" x14ac:dyDescent="0.25">
      <c r="A6137" s="3" t="str">
        <f>HYPERLINK("http://mystore1.ru/price_items/search?utf8=%E2%9C%93&amp;oem=5967RBLH5FDW","5967RBLH5FDW")</f>
        <v>5967RBLH5FDW</v>
      </c>
      <c r="B6137" s="1" t="s">
        <v>11689</v>
      </c>
      <c r="C6137" s="9" t="s">
        <v>5481</v>
      </c>
      <c r="D6137" s="14" t="s">
        <v>11690</v>
      </c>
      <c r="E6137" s="9" t="s">
        <v>11</v>
      </c>
    </row>
    <row r="6138" spans="1:5" ht="15" customHeight="1" outlineLevel="2" x14ac:dyDescent="0.25">
      <c r="A6138" s="3" t="str">
        <f>HYPERLINK("http://mystore1.ru/price_items/search?utf8=%E2%9C%93&amp;oem=5967RBLH5RD","5967RBLH5RD")</f>
        <v>5967RBLH5RD</v>
      </c>
      <c r="B6138" s="1" t="s">
        <v>11691</v>
      </c>
      <c r="C6138" s="9" t="s">
        <v>5481</v>
      </c>
      <c r="D6138" s="14" t="s">
        <v>11692</v>
      </c>
      <c r="E6138" s="9" t="s">
        <v>11</v>
      </c>
    </row>
    <row r="6139" spans="1:5" ht="15" customHeight="1" outlineLevel="2" x14ac:dyDescent="0.25">
      <c r="A6139" s="3" t="str">
        <f>HYPERLINK("http://mystore1.ru/price_items/search?utf8=%E2%9C%93&amp;oem=5967RBLH5RV","5967RBLH5RV")</f>
        <v>5967RBLH5RV</v>
      </c>
      <c r="B6139" s="1" t="s">
        <v>11693</v>
      </c>
      <c r="C6139" s="9" t="s">
        <v>5481</v>
      </c>
      <c r="D6139" s="14" t="s">
        <v>11694</v>
      </c>
      <c r="E6139" s="9" t="s">
        <v>11</v>
      </c>
    </row>
    <row r="6140" spans="1:5" outlineLevel="1" x14ac:dyDescent="0.25">
      <c r="A6140" s="2"/>
      <c r="B6140" s="6" t="s">
        <v>11695</v>
      </c>
      <c r="C6140" s="7"/>
      <c r="D6140" s="8"/>
      <c r="E6140" s="8"/>
    </row>
    <row r="6141" spans="1:5" ht="15" customHeight="1" outlineLevel="2" x14ac:dyDescent="0.25">
      <c r="A6141" s="3" t="str">
        <f>HYPERLINK("http://mystore1.ru/price_items/search?utf8=%E2%9C%93&amp;oem=5984ABL","5984ABL")</f>
        <v>5984ABL</v>
      </c>
      <c r="B6141" s="1" t="s">
        <v>11696</v>
      </c>
      <c r="C6141" s="9" t="s">
        <v>5911</v>
      </c>
      <c r="D6141" s="14" t="s">
        <v>11697</v>
      </c>
      <c r="E6141" s="9" t="s">
        <v>8</v>
      </c>
    </row>
    <row r="6142" spans="1:5" ht="15" customHeight="1" outlineLevel="2" x14ac:dyDescent="0.25">
      <c r="A6142" s="3" t="str">
        <f>HYPERLINK("http://mystore1.ru/price_items/search?utf8=%E2%9C%93&amp;oem=5984ABLBL","5984ABLBL")</f>
        <v>5984ABLBL</v>
      </c>
      <c r="B6142" s="1" t="s">
        <v>11698</v>
      </c>
      <c r="C6142" s="9" t="s">
        <v>5911</v>
      </c>
      <c r="D6142" s="14" t="s">
        <v>11699</v>
      </c>
      <c r="E6142" s="9" t="s">
        <v>8</v>
      </c>
    </row>
    <row r="6143" spans="1:5" ht="15" customHeight="1" outlineLevel="2" x14ac:dyDescent="0.25">
      <c r="A6143" s="3" t="str">
        <f>HYPERLINK("http://mystore1.ru/price_items/search?utf8=%E2%9C%93&amp;oem=5984ACL","5984ACL")</f>
        <v>5984ACL</v>
      </c>
      <c r="B6143" s="1" t="s">
        <v>11700</v>
      </c>
      <c r="C6143" s="9" t="s">
        <v>5911</v>
      </c>
      <c r="D6143" s="14" t="s">
        <v>11701</v>
      </c>
      <c r="E6143" s="9" t="s">
        <v>8</v>
      </c>
    </row>
    <row r="6144" spans="1:5" ht="15" customHeight="1" outlineLevel="2" x14ac:dyDescent="0.25">
      <c r="A6144" s="3" t="str">
        <f>HYPERLINK("http://mystore1.ru/price_items/search?utf8=%E2%9C%93&amp;oem=5984AKMH","5984AKMH")</f>
        <v>5984AKMH</v>
      </c>
      <c r="B6144" s="1" t="s">
        <v>11702</v>
      </c>
      <c r="C6144" s="9" t="s">
        <v>25</v>
      </c>
      <c r="D6144" s="14" t="s">
        <v>11703</v>
      </c>
      <c r="E6144" s="9" t="s">
        <v>27</v>
      </c>
    </row>
    <row r="6145" spans="1:5" ht="15" customHeight="1" outlineLevel="2" x14ac:dyDescent="0.25">
      <c r="A6145" s="3" t="str">
        <f>HYPERLINK("http://mystore1.ru/price_items/search?utf8=%E2%9C%93&amp;oem=5984BBLS","5984BBLS")</f>
        <v>5984BBLS</v>
      </c>
      <c r="B6145" s="1" t="s">
        <v>11704</v>
      </c>
      <c r="C6145" s="9" t="s">
        <v>5911</v>
      </c>
      <c r="D6145" s="14" t="s">
        <v>11705</v>
      </c>
      <c r="E6145" s="9" t="s">
        <v>30</v>
      </c>
    </row>
    <row r="6146" spans="1:5" ht="15" customHeight="1" outlineLevel="2" x14ac:dyDescent="0.25">
      <c r="A6146" s="3" t="str">
        <f>HYPERLINK("http://mystore1.ru/price_items/search?utf8=%E2%9C%93&amp;oem=5984BBLH1J","5984BBLH1J")</f>
        <v>5984BBLH1J</v>
      </c>
      <c r="B6146" s="1" t="s">
        <v>11706</v>
      </c>
      <c r="C6146" s="9" t="s">
        <v>5911</v>
      </c>
      <c r="D6146" s="14" t="s">
        <v>11707</v>
      </c>
      <c r="E6146" s="9" t="s">
        <v>30</v>
      </c>
    </row>
    <row r="6147" spans="1:5" ht="15" customHeight="1" outlineLevel="2" x14ac:dyDescent="0.25">
      <c r="A6147" s="3" t="str">
        <f>HYPERLINK("http://mystore1.ru/price_items/search?utf8=%E2%9C%93&amp;oem=5984LBLH3FDW","5984LBLH3FDW")</f>
        <v>5984LBLH3FDW</v>
      </c>
      <c r="B6147" s="1" t="s">
        <v>11708</v>
      </c>
      <c r="C6147" s="9" t="s">
        <v>5911</v>
      </c>
      <c r="D6147" s="14" t="s">
        <v>11709</v>
      </c>
      <c r="E6147" s="9" t="s">
        <v>11</v>
      </c>
    </row>
    <row r="6148" spans="1:5" ht="15" customHeight="1" outlineLevel="2" x14ac:dyDescent="0.25">
      <c r="A6148" s="3" t="str">
        <f>HYPERLINK("http://mystore1.ru/price_items/search?utf8=%E2%9C%93&amp;oem=5984LBLH5FDW","5984LBLH5FDW")</f>
        <v>5984LBLH5FDW</v>
      </c>
      <c r="B6148" s="1" t="s">
        <v>11710</v>
      </c>
      <c r="C6148" s="9" t="s">
        <v>5911</v>
      </c>
      <c r="D6148" s="14" t="s">
        <v>11711</v>
      </c>
      <c r="E6148" s="9" t="s">
        <v>11</v>
      </c>
    </row>
    <row r="6149" spans="1:5" ht="15" customHeight="1" outlineLevel="2" x14ac:dyDescent="0.25">
      <c r="A6149" s="3" t="str">
        <f>HYPERLINK("http://mystore1.ru/price_items/search?utf8=%E2%9C%93&amp;oem=5984LBLH5RV","5984LBLH5RV")</f>
        <v>5984LBLH5RV</v>
      </c>
      <c r="B6149" s="1" t="s">
        <v>11712</v>
      </c>
      <c r="C6149" s="9" t="s">
        <v>5911</v>
      </c>
      <c r="D6149" s="14" t="s">
        <v>11713</v>
      </c>
      <c r="E6149" s="9" t="s">
        <v>11</v>
      </c>
    </row>
    <row r="6150" spans="1:5" ht="15" customHeight="1" outlineLevel="2" x14ac:dyDescent="0.25">
      <c r="A6150" s="3" t="str">
        <f>HYPERLINK("http://mystore1.ru/price_items/search?utf8=%E2%9C%93&amp;oem=5984RBLH3FDW","5984RBLH3FDW")</f>
        <v>5984RBLH3FDW</v>
      </c>
      <c r="B6150" s="1" t="s">
        <v>11714</v>
      </c>
      <c r="C6150" s="9" t="s">
        <v>5911</v>
      </c>
      <c r="D6150" s="14" t="s">
        <v>11715</v>
      </c>
      <c r="E6150" s="9" t="s">
        <v>11</v>
      </c>
    </row>
    <row r="6151" spans="1:5" ht="15" customHeight="1" outlineLevel="2" x14ac:dyDescent="0.25">
      <c r="A6151" s="3" t="str">
        <f>HYPERLINK("http://mystore1.ru/price_items/search?utf8=%E2%9C%93&amp;oem=5984RBLH5FDW","5984RBLH5FDW")</f>
        <v>5984RBLH5FDW</v>
      </c>
      <c r="B6151" s="1" t="s">
        <v>11716</v>
      </c>
      <c r="C6151" s="9" t="s">
        <v>5911</v>
      </c>
      <c r="D6151" s="14" t="s">
        <v>11717</v>
      </c>
      <c r="E6151" s="9" t="s">
        <v>11</v>
      </c>
    </row>
    <row r="6152" spans="1:5" ht="15" customHeight="1" outlineLevel="2" x14ac:dyDescent="0.25">
      <c r="A6152" s="3" t="str">
        <f>HYPERLINK("http://mystore1.ru/price_items/search?utf8=%E2%9C%93&amp;oem=5984RBLH5RDW","5984RBLH5RDW")</f>
        <v>5984RBLH5RDW</v>
      </c>
      <c r="B6152" s="1" t="s">
        <v>11718</v>
      </c>
      <c r="C6152" s="9" t="s">
        <v>5911</v>
      </c>
      <c r="D6152" s="14" t="s">
        <v>11719</v>
      </c>
      <c r="E6152" s="9" t="s">
        <v>11</v>
      </c>
    </row>
    <row r="6153" spans="1:5" ht="15" customHeight="1" outlineLevel="2" x14ac:dyDescent="0.25">
      <c r="A6153" s="3" t="str">
        <f>HYPERLINK("http://mystore1.ru/price_items/search?utf8=%E2%9C%93&amp;oem=5984RBLH5RV","5984RBLH5RV")</f>
        <v>5984RBLH5RV</v>
      </c>
      <c r="B6153" s="1" t="s">
        <v>11720</v>
      </c>
      <c r="C6153" s="9" t="s">
        <v>5911</v>
      </c>
      <c r="D6153" s="14" t="s">
        <v>11721</v>
      </c>
      <c r="E6153" s="9" t="s">
        <v>11</v>
      </c>
    </row>
    <row r="6154" spans="1:5" outlineLevel="1" x14ac:dyDescent="0.25">
      <c r="A6154" s="2"/>
      <c r="B6154" s="6" t="s">
        <v>11722</v>
      </c>
      <c r="C6154" s="8"/>
      <c r="D6154" s="8"/>
      <c r="E6154" s="8"/>
    </row>
    <row r="6155" spans="1:5" ht="15" customHeight="1" outlineLevel="2" x14ac:dyDescent="0.25">
      <c r="A6155" s="3" t="str">
        <f>HYPERLINK("http://mystore1.ru/price_items/search?utf8=%E2%9C%93&amp;oem=5987ABL","5987ABL")</f>
        <v>5987ABL</v>
      </c>
      <c r="B6155" s="1" t="s">
        <v>11723</v>
      </c>
      <c r="C6155" s="9" t="s">
        <v>1985</v>
      </c>
      <c r="D6155" s="14" t="s">
        <v>11724</v>
      </c>
      <c r="E6155" s="9" t="s">
        <v>8</v>
      </c>
    </row>
    <row r="6156" spans="1:5" ht="15" customHeight="1" outlineLevel="2" x14ac:dyDescent="0.25">
      <c r="A6156" s="3" t="str">
        <f>HYPERLINK("http://mystore1.ru/price_items/search?utf8=%E2%9C%93&amp;oem=5987ABLBL","5987ABLBL")</f>
        <v>5987ABLBL</v>
      </c>
      <c r="B6156" s="1" t="s">
        <v>11725</v>
      </c>
      <c r="C6156" s="9" t="s">
        <v>1985</v>
      </c>
      <c r="D6156" s="14" t="s">
        <v>11726</v>
      </c>
      <c r="E6156" s="9" t="s">
        <v>8</v>
      </c>
    </row>
    <row r="6157" spans="1:5" ht="15" customHeight="1" outlineLevel="2" x14ac:dyDescent="0.25">
      <c r="A6157" s="3" t="str">
        <f>HYPERLINK("http://mystore1.ru/price_items/search?utf8=%E2%9C%93&amp;oem=5987ASME","5987ASME")</f>
        <v>5987ASME</v>
      </c>
      <c r="B6157" s="1" t="s">
        <v>11727</v>
      </c>
      <c r="C6157" s="9" t="s">
        <v>25</v>
      </c>
      <c r="D6157" s="14" t="s">
        <v>11728</v>
      </c>
      <c r="E6157" s="9" t="s">
        <v>27</v>
      </c>
    </row>
    <row r="6158" spans="1:5" outlineLevel="1" x14ac:dyDescent="0.25">
      <c r="A6158" s="2"/>
      <c r="B6158" s="6" t="s">
        <v>11729</v>
      </c>
      <c r="C6158" s="8"/>
      <c r="D6158" s="8"/>
      <c r="E6158" s="8"/>
    </row>
    <row r="6159" spans="1:5" ht="15" customHeight="1" outlineLevel="2" x14ac:dyDescent="0.25">
      <c r="A6159" s="3" t="str">
        <f>HYPERLINK("http://mystore1.ru/price_items/search?utf8=%E2%9C%93&amp;oem=6070AGNBL","6070AGNBL")</f>
        <v>6070AGNBL</v>
      </c>
      <c r="B6159" s="1" t="s">
        <v>11730</v>
      </c>
      <c r="C6159" s="9" t="s">
        <v>2351</v>
      </c>
      <c r="D6159" s="14" t="s">
        <v>11731</v>
      </c>
      <c r="E6159" s="9" t="s">
        <v>8</v>
      </c>
    </row>
    <row r="6160" spans="1:5" outlineLevel="1" x14ac:dyDescent="0.25">
      <c r="A6160" s="2"/>
      <c r="B6160" s="6" t="s">
        <v>11732</v>
      </c>
      <c r="C6160" s="8"/>
      <c r="D6160" s="8"/>
      <c r="E6160" s="8"/>
    </row>
    <row r="6161" spans="1:5" ht="15" customHeight="1" outlineLevel="2" x14ac:dyDescent="0.25">
      <c r="A6161" s="3" t="str">
        <f>HYPERLINK("http://mystore1.ru/price_items/search?utf8=%E2%9C%93&amp;oem=6067AGNBL","6067AGNBL")</f>
        <v>6067AGNBL</v>
      </c>
      <c r="B6161" s="1" t="s">
        <v>11733</v>
      </c>
      <c r="C6161" s="9" t="s">
        <v>642</v>
      </c>
      <c r="D6161" s="14" t="s">
        <v>11734</v>
      </c>
      <c r="E6161" s="9" t="s">
        <v>8</v>
      </c>
    </row>
    <row r="6162" spans="1:5" outlineLevel="1" x14ac:dyDescent="0.25">
      <c r="A6162" s="2"/>
      <c r="B6162" s="6" t="s">
        <v>11735</v>
      </c>
      <c r="C6162" s="8"/>
      <c r="D6162" s="8"/>
      <c r="E6162" s="8"/>
    </row>
    <row r="6163" spans="1:5" ht="15" customHeight="1" outlineLevel="2" x14ac:dyDescent="0.25">
      <c r="A6163" s="3" t="str">
        <f>HYPERLINK("http://mystore1.ru/price_items/search?utf8=%E2%9C%93&amp;oem=5966ABL","5966ABL")</f>
        <v>5966ABL</v>
      </c>
      <c r="B6163" s="1" t="s">
        <v>11736</v>
      </c>
      <c r="C6163" s="9" t="s">
        <v>5462</v>
      </c>
      <c r="D6163" s="14" t="s">
        <v>11737</v>
      </c>
      <c r="E6163" s="9" t="s">
        <v>8</v>
      </c>
    </row>
    <row r="6164" spans="1:5" ht="15" customHeight="1" outlineLevel="2" x14ac:dyDescent="0.25">
      <c r="A6164" s="3" t="str">
        <f>HYPERLINK("http://mystore1.ru/price_items/search?utf8=%E2%9C%93&amp;oem=5966ABLBL","5966ABLBL")</f>
        <v>5966ABLBL</v>
      </c>
      <c r="B6164" s="1" t="s">
        <v>11738</v>
      </c>
      <c r="C6164" s="9" t="s">
        <v>5462</v>
      </c>
      <c r="D6164" s="14" t="s">
        <v>11739</v>
      </c>
      <c r="E6164" s="9" t="s">
        <v>8</v>
      </c>
    </row>
    <row r="6165" spans="1:5" ht="15" customHeight="1" outlineLevel="2" x14ac:dyDescent="0.25">
      <c r="A6165" s="3" t="str">
        <f>HYPERLINK("http://mystore1.ru/price_items/search?utf8=%E2%9C%93&amp;oem=5966ACL","5966ACL")</f>
        <v>5966ACL</v>
      </c>
      <c r="B6165" s="1" t="s">
        <v>11740</v>
      </c>
      <c r="C6165" s="9" t="s">
        <v>5462</v>
      </c>
      <c r="D6165" s="14" t="s">
        <v>11741</v>
      </c>
      <c r="E6165" s="9" t="s">
        <v>8</v>
      </c>
    </row>
    <row r="6166" spans="1:5" ht="15" customHeight="1" outlineLevel="2" x14ac:dyDescent="0.25">
      <c r="A6166" s="3" t="str">
        <f>HYPERLINK("http://mystore1.ru/price_items/search?utf8=%E2%9C%93&amp;oem=5966AGN1B","5966AGN1B")</f>
        <v>5966AGN1B</v>
      </c>
      <c r="B6166" s="1" t="s">
        <v>11742</v>
      </c>
      <c r="C6166" s="9" t="s">
        <v>631</v>
      </c>
      <c r="D6166" s="14" t="s">
        <v>11743</v>
      </c>
      <c r="E6166" s="9" t="s">
        <v>8</v>
      </c>
    </row>
    <row r="6167" spans="1:5" ht="15" customHeight="1" outlineLevel="2" x14ac:dyDescent="0.25">
      <c r="A6167" s="3" t="str">
        <f>HYPERLINK("http://mystore1.ru/price_items/search?utf8=%E2%9C%93&amp;oem=5966AGNGN","5966AGNGN")</f>
        <v>5966AGNGN</v>
      </c>
      <c r="B6167" s="1" t="s">
        <v>11744</v>
      </c>
      <c r="C6167" s="9" t="s">
        <v>5462</v>
      </c>
      <c r="D6167" s="14" t="s">
        <v>11745</v>
      </c>
      <c r="E6167" s="9" t="s">
        <v>8</v>
      </c>
    </row>
    <row r="6168" spans="1:5" ht="15" customHeight="1" outlineLevel="2" x14ac:dyDescent="0.25">
      <c r="A6168" s="3" t="str">
        <f>HYPERLINK("http://mystore1.ru/price_items/search?utf8=%E2%9C%93&amp;oem=5966BBLP","5966BBLP")</f>
        <v>5966BBLP</v>
      </c>
      <c r="B6168" s="1" t="s">
        <v>11746</v>
      </c>
      <c r="C6168" s="9" t="s">
        <v>5462</v>
      </c>
      <c r="D6168" s="14" t="s">
        <v>11747</v>
      </c>
      <c r="E6168" s="9" t="s">
        <v>30</v>
      </c>
    </row>
    <row r="6169" spans="1:5" ht="15" customHeight="1" outlineLevel="2" x14ac:dyDescent="0.25">
      <c r="A6169" s="3" t="str">
        <f>HYPERLINK("http://mystore1.ru/price_items/search?utf8=%E2%9C%93&amp;oem=5966BBLR","5966BBLR")</f>
        <v>5966BBLR</v>
      </c>
      <c r="B6169" s="1" t="s">
        <v>11748</v>
      </c>
      <c r="C6169" s="9" t="s">
        <v>631</v>
      </c>
      <c r="D6169" s="14" t="s">
        <v>11749</v>
      </c>
      <c r="E6169" s="9" t="s">
        <v>30</v>
      </c>
    </row>
    <row r="6170" spans="1:5" ht="15" customHeight="1" outlineLevel="2" x14ac:dyDescent="0.25">
      <c r="A6170" s="3" t="str">
        <f>HYPERLINK("http://mystore1.ru/price_items/search?utf8=%E2%9C%93&amp;oem=5966LBLP2FD","5966LBLP2FD")</f>
        <v>5966LBLP2FD</v>
      </c>
      <c r="B6170" s="1" t="s">
        <v>11750</v>
      </c>
      <c r="C6170" s="9" t="s">
        <v>5462</v>
      </c>
      <c r="D6170" s="14" t="s">
        <v>11751</v>
      </c>
      <c r="E6170" s="9" t="s">
        <v>11</v>
      </c>
    </row>
    <row r="6171" spans="1:5" ht="15" customHeight="1" outlineLevel="2" x14ac:dyDescent="0.25">
      <c r="A6171" s="3" t="str">
        <f>HYPERLINK("http://mystore1.ru/price_items/search?utf8=%E2%9C%93&amp;oem=5966RBLP2FD","5966RBLP2FD")</f>
        <v>5966RBLP2FD</v>
      </c>
      <c r="B6171" s="1" t="s">
        <v>11752</v>
      </c>
      <c r="C6171" s="9" t="s">
        <v>5462</v>
      </c>
      <c r="D6171" s="14" t="s">
        <v>11753</v>
      </c>
      <c r="E6171" s="9" t="s">
        <v>11</v>
      </c>
    </row>
    <row r="6172" spans="1:5" outlineLevel="1" x14ac:dyDescent="0.25">
      <c r="A6172" s="2"/>
      <c r="B6172" s="6" t="s">
        <v>11754</v>
      </c>
      <c r="C6172" s="8"/>
      <c r="D6172" s="8"/>
      <c r="E6172" s="8"/>
    </row>
    <row r="6173" spans="1:5" ht="15" customHeight="1" outlineLevel="2" x14ac:dyDescent="0.25">
      <c r="A6173" s="3" t="str">
        <f>HYPERLINK("http://mystore1.ru/price_items/search?utf8=%E2%9C%93&amp;oem=5990AGN","5990AGN")</f>
        <v>5990AGN</v>
      </c>
      <c r="B6173" s="1" t="s">
        <v>11755</v>
      </c>
      <c r="C6173" s="9" t="s">
        <v>11756</v>
      </c>
      <c r="D6173" s="14" t="s">
        <v>11757</v>
      </c>
      <c r="E6173" s="9" t="s">
        <v>8</v>
      </c>
    </row>
    <row r="6174" spans="1:5" ht="15" customHeight="1" outlineLevel="2" x14ac:dyDescent="0.25">
      <c r="A6174" s="3" t="str">
        <f>HYPERLINK("http://mystore1.ru/price_items/search?utf8=%E2%9C%93&amp;oem=5990AGN1B","5990AGN1B")</f>
        <v>5990AGN1B</v>
      </c>
      <c r="B6174" s="1" t="s">
        <v>11758</v>
      </c>
      <c r="C6174" s="9" t="s">
        <v>11756</v>
      </c>
      <c r="D6174" s="14" t="s">
        <v>11759</v>
      </c>
      <c r="E6174" s="9" t="s">
        <v>8</v>
      </c>
    </row>
    <row r="6175" spans="1:5" ht="15" customHeight="1" outlineLevel="2" x14ac:dyDescent="0.25">
      <c r="A6175" s="3" t="str">
        <f>HYPERLINK("http://mystore1.ru/price_items/search?utf8=%E2%9C%93&amp;oem=5990AGNBL","5990AGNBL")</f>
        <v>5990AGNBL</v>
      </c>
      <c r="B6175" s="1" t="s">
        <v>11760</v>
      </c>
      <c r="C6175" s="9" t="s">
        <v>11756</v>
      </c>
      <c r="D6175" s="14" t="s">
        <v>11761</v>
      </c>
      <c r="E6175" s="9" t="s">
        <v>8</v>
      </c>
    </row>
    <row r="6176" spans="1:5" ht="15" customHeight="1" outlineLevel="2" x14ac:dyDescent="0.25">
      <c r="A6176" s="3" t="str">
        <f>HYPERLINK("http://mystore1.ru/price_items/search?utf8=%E2%9C%93&amp;oem=5990AGNBL1B","5990AGNBL1B")</f>
        <v>5990AGNBL1B</v>
      </c>
      <c r="B6176" s="1" t="s">
        <v>11762</v>
      </c>
      <c r="C6176" s="9" t="s">
        <v>11756</v>
      </c>
      <c r="D6176" s="14" t="s">
        <v>11763</v>
      </c>
      <c r="E6176" s="9" t="s">
        <v>8</v>
      </c>
    </row>
    <row r="6177" spans="1:5" ht="15" customHeight="1" outlineLevel="2" x14ac:dyDescent="0.25">
      <c r="A6177" s="3" t="str">
        <f>HYPERLINK("http://mystore1.ru/price_items/search?utf8=%E2%9C%93&amp;oem=5990AGNGN1B","5990AGNGN1B")</f>
        <v>5990AGNGN1B</v>
      </c>
      <c r="B6177" s="1" t="s">
        <v>11764</v>
      </c>
      <c r="C6177" s="9" t="s">
        <v>11756</v>
      </c>
      <c r="D6177" s="14" t="s">
        <v>11765</v>
      </c>
      <c r="E6177" s="9" t="s">
        <v>8</v>
      </c>
    </row>
    <row r="6178" spans="1:5" ht="15" customHeight="1" outlineLevel="2" x14ac:dyDescent="0.25">
      <c r="A6178" s="3" t="str">
        <f>HYPERLINK("http://mystore1.ru/price_items/search?utf8=%E2%9C%93&amp;oem=5990ASMRT","5990ASMRT")</f>
        <v>5990ASMRT</v>
      </c>
      <c r="B6178" s="1" t="s">
        <v>11766</v>
      </c>
      <c r="C6178" s="9" t="s">
        <v>25</v>
      </c>
      <c r="D6178" s="14" t="s">
        <v>11767</v>
      </c>
      <c r="E6178" s="9" t="s">
        <v>27</v>
      </c>
    </row>
    <row r="6179" spans="1:5" ht="15" customHeight="1" outlineLevel="2" x14ac:dyDescent="0.25">
      <c r="A6179" s="3" t="str">
        <f>HYPERLINK("http://mystore1.ru/price_items/search?utf8=%E2%9C%93&amp;oem=5990LGNR3FDW","5990LGNR3FDW")</f>
        <v>5990LGNR3FDW</v>
      </c>
      <c r="B6179" s="1" t="s">
        <v>11768</v>
      </c>
      <c r="C6179" s="9" t="s">
        <v>11756</v>
      </c>
      <c r="D6179" s="14" t="s">
        <v>11769</v>
      </c>
      <c r="E6179" s="9" t="s">
        <v>11</v>
      </c>
    </row>
    <row r="6180" spans="1:5" ht="15" customHeight="1" outlineLevel="2" x14ac:dyDescent="0.25">
      <c r="A6180" s="3" t="str">
        <f>HYPERLINK("http://mystore1.ru/price_items/search?utf8=%E2%9C%93&amp;oem=5990LGNR5RDW","5990LGNR5RDW")</f>
        <v>5990LGNR5RDW</v>
      </c>
      <c r="B6180" s="1" t="s">
        <v>11770</v>
      </c>
      <c r="C6180" s="9" t="s">
        <v>11756</v>
      </c>
      <c r="D6180" s="14" t="s">
        <v>11771</v>
      </c>
      <c r="E6180" s="9" t="s">
        <v>11</v>
      </c>
    </row>
    <row r="6181" spans="1:5" ht="15" customHeight="1" outlineLevel="2" x14ac:dyDescent="0.25">
      <c r="A6181" s="3" t="str">
        <f>HYPERLINK("http://mystore1.ru/price_items/search?utf8=%E2%9C%93&amp;oem=5990RGNR3FDW","5990RGNR3FDW")</f>
        <v>5990RGNR3FDW</v>
      </c>
      <c r="B6181" s="1" t="s">
        <v>11772</v>
      </c>
      <c r="C6181" s="9" t="s">
        <v>11756</v>
      </c>
      <c r="D6181" s="14" t="s">
        <v>11773</v>
      </c>
      <c r="E6181" s="9" t="s">
        <v>11</v>
      </c>
    </row>
    <row r="6182" spans="1:5" ht="15" customHeight="1" outlineLevel="2" x14ac:dyDescent="0.25">
      <c r="A6182" s="3" t="str">
        <f>HYPERLINK("http://mystore1.ru/price_items/search?utf8=%E2%9C%93&amp;oem=5990RGNR5RDW","5990RGNR5RDW")</f>
        <v>5990RGNR5RDW</v>
      </c>
      <c r="B6182" s="1" t="s">
        <v>11774</v>
      </c>
      <c r="C6182" s="9" t="s">
        <v>11756</v>
      </c>
      <c r="D6182" s="14" t="s">
        <v>11775</v>
      </c>
      <c r="E6182" s="9" t="s">
        <v>11</v>
      </c>
    </row>
    <row r="6183" spans="1:5" ht="15" customHeight="1" outlineLevel="2" x14ac:dyDescent="0.25">
      <c r="A6183" s="3" t="str">
        <f>HYPERLINK("http://mystore1.ru/price_items/search?utf8=%E2%9C%93&amp;oem=5990RGNR5RQ","5990RGNR5RQ")</f>
        <v>5990RGNR5RQ</v>
      </c>
      <c r="B6183" s="1" t="s">
        <v>11776</v>
      </c>
      <c r="C6183" s="9" t="s">
        <v>11756</v>
      </c>
      <c r="D6183" s="14" t="s">
        <v>11777</v>
      </c>
      <c r="E6183" s="9" t="s">
        <v>11</v>
      </c>
    </row>
    <row r="6184" spans="1:5" outlineLevel="1" x14ac:dyDescent="0.25">
      <c r="A6184" s="2"/>
      <c r="B6184" s="6" t="s">
        <v>11778</v>
      </c>
      <c r="C6184" s="8"/>
      <c r="D6184" s="8"/>
      <c r="E6184" s="8"/>
    </row>
    <row r="6185" spans="1:5" ht="15" customHeight="1" outlineLevel="2" x14ac:dyDescent="0.25">
      <c r="A6185" s="3" t="str">
        <f>HYPERLINK("http://mystore1.ru/price_items/search?utf8=%E2%9C%93&amp;oem=6046AGSV","6046AGSV")</f>
        <v>6046AGSV</v>
      </c>
      <c r="B6185" s="1" t="s">
        <v>11779</v>
      </c>
      <c r="C6185" s="9" t="s">
        <v>747</v>
      </c>
      <c r="D6185" s="14" t="s">
        <v>11780</v>
      </c>
      <c r="E6185" s="9" t="s">
        <v>8</v>
      </c>
    </row>
    <row r="6186" spans="1:5" ht="15" customHeight="1" outlineLevel="2" x14ac:dyDescent="0.25">
      <c r="A6186" s="3" t="str">
        <f>HYPERLINK("http://mystore1.ru/price_items/search?utf8=%E2%9C%93&amp;oem=6046AGSM","6046AGSM")</f>
        <v>6046AGSM</v>
      </c>
      <c r="B6186" s="1" t="s">
        <v>11781</v>
      </c>
      <c r="C6186" s="9" t="s">
        <v>511</v>
      </c>
      <c r="D6186" s="14" t="s">
        <v>11782</v>
      </c>
      <c r="E6186" s="9" t="s">
        <v>8</v>
      </c>
    </row>
    <row r="6187" spans="1:5" ht="15" customHeight="1" outlineLevel="2" x14ac:dyDescent="0.25">
      <c r="A6187" s="3" t="str">
        <f>HYPERLINK("http://mystore1.ru/price_items/search?utf8=%E2%9C%93&amp;oem=6046AGSMV","6046AGSMV")</f>
        <v>6046AGSMV</v>
      </c>
      <c r="B6187" s="1" t="s">
        <v>11783</v>
      </c>
      <c r="C6187" s="9" t="s">
        <v>747</v>
      </c>
      <c r="D6187" s="14" t="s">
        <v>11784</v>
      </c>
      <c r="E6187" s="9" t="s">
        <v>8</v>
      </c>
    </row>
    <row r="6188" spans="1:5" ht="15" customHeight="1" outlineLevel="2" x14ac:dyDescent="0.25">
      <c r="A6188" s="3" t="str">
        <f>HYPERLINK("http://mystore1.ru/price_items/search?utf8=%E2%9C%93&amp;oem=6046BGSHW","6046BGSHW")</f>
        <v>6046BGSHW</v>
      </c>
      <c r="B6188" s="1" t="s">
        <v>11785</v>
      </c>
      <c r="C6188" s="9" t="s">
        <v>511</v>
      </c>
      <c r="D6188" s="14" t="s">
        <v>11786</v>
      </c>
      <c r="E6188" s="9" t="s">
        <v>30</v>
      </c>
    </row>
    <row r="6189" spans="1:5" ht="15" customHeight="1" outlineLevel="2" x14ac:dyDescent="0.25">
      <c r="A6189" s="3" t="str">
        <f>HYPERLINK("http://mystore1.ru/price_items/search?utf8=%E2%9C%93&amp;oem=6046BGSSW","6046BGSSW")</f>
        <v>6046BGSSW</v>
      </c>
      <c r="B6189" s="1" t="s">
        <v>11787</v>
      </c>
      <c r="C6189" s="9" t="s">
        <v>511</v>
      </c>
      <c r="D6189" s="14" t="s">
        <v>11788</v>
      </c>
      <c r="E6189" s="9" t="s">
        <v>30</v>
      </c>
    </row>
    <row r="6190" spans="1:5" ht="15" customHeight="1" outlineLevel="2" x14ac:dyDescent="0.25">
      <c r="A6190" s="3" t="str">
        <f>HYPERLINK("http://mystore1.ru/price_items/search?utf8=%E2%9C%93&amp;oem=6046LGSH5FDW","6046LGSH5FDW")</f>
        <v>6046LGSH5FDW</v>
      </c>
      <c r="B6190" s="1" t="s">
        <v>11789</v>
      </c>
      <c r="C6190" s="9" t="s">
        <v>511</v>
      </c>
      <c r="D6190" s="14" t="s">
        <v>11790</v>
      </c>
      <c r="E6190" s="9" t="s">
        <v>11</v>
      </c>
    </row>
    <row r="6191" spans="1:5" ht="15" customHeight="1" outlineLevel="2" x14ac:dyDescent="0.25">
      <c r="A6191" s="3" t="str">
        <f>HYPERLINK("http://mystore1.ru/price_items/search?utf8=%E2%9C%93&amp;oem=6046LGSH5RDW","6046LGSH5RDW")</f>
        <v>6046LGSH5RDW</v>
      </c>
      <c r="B6191" s="1" t="s">
        <v>11791</v>
      </c>
      <c r="C6191" s="9" t="s">
        <v>511</v>
      </c>
      <c r="D6191" s="14" t="s">
        <v>11792</v>
      </c>
      <c r="E6191" s="9" t="s">
        <v>11</v>
      </c>
    </row>
    <row r="6192" spans="1:5" ht="15" customHeight="1" outlineLevel="2" x14ac:dyDescent="0.25">
      <c r="A6192" s="3" t="str">
        <f>HYPERLINK("http://mystore1.ru/price_items/search?utf8=%E2%9C%93&amp;oem=6046RGSH5FDW","6046RGSH5FDW")</f>
        <v>6046RGSH5FDW</v>
      </c>
      <c r="B6192" s="1" t="s">
        <v>11793</v>
      </c>
      <c r="C6192" s="9" t="s">
        <v>511</v>
      </c>
      <c r="D6192" s="14" t="s">
        <v>11794</v>
      </c>
      <c r="E6192" s="9" t="s">
        <v>11</v>
      </c>
    </row>
    <row r="6193" spans="1:5" ht="15" customHeight="1" outlineLevel="2" x14ac:dyDescent="0.25">
      <c r="A6193" s="3" t="str">
        <f>HYPERLINK("http://mystore1.ru/price_items/search?utf8=%E2%9C%93&amp;oem=6046RGSH5RDW","6046RGSH5RDW")</f>
        <v>6046RGSH5RDW</v>
      </c>
      <c r="B6193" s="1" t="s">
        <v>11795</v>
      </c>
      <c r="C6193" s="9" t="s">
        <v>511</v>
      </c>
      <c r="D6193" s="14" t="s">
        <v>11796</v>
      </c>
      <c r="E6193" s="9" t="s">
        <v>11</v>
      </c>
    </row>
    <row r="6194" spans="1:5" outlineLevel="1" x14ac:dyDescent="0.25">
      <c r="A6194" s="2"/>
      <c r="B6194" s="6" t="s">
        <v>11797</v>
      </c>
      <c r="C6194" s="8"/>
      <c r="D6194" s="8"/>
      <c r="E6194" s="8"/>
    </row>
    <row r="6195" spans="1:5" ht="15" customHeight="1" outlineLevel="2" x14ac:dyDescent="0.25">
      <c r="A6195" s="3" t="str">
        <f>HYPERLINK("http://mystore1.ru/price_items/search?utf8=%E2%9C%93&amp;oem=5934ACL","5934ACL")</f>
        <v>5934ACL</v>
      </c>
      <c r="B6195" s="1" t="s">
        <v>11798</v>
      </c>
      <c r="C6195" s="9" t="s">
        <v>11799</v>
      </c>
      <c r="D6195" s="14" t="s">
        <v>11800</v>
      </c>
      <c r="E6195" s="9" t="s">
        <v>8</v>
      </c>
    </row>
    <row r="6196" spans="1:5" ht="15" customHeight="1" outlineLevel="2" x14ac:dyDescent="0.25">
      <c r="A6196" s="3" t="str">
        <f>HYPERLINK("http://mystore1.ru/price_items/search?utf8=%E2%9C%93&amp;oem=5934ASRV","5934ASRV")</f>
        <v>5934ASRV</v>
      </c>
      <c r="B6196" s="1" t="s">
        <v>11801</v>
      </c>
      <c r="C6196" s="9" t="s">
        <v>25</v>
      </c>
      <c r="D6196" s="14" t="s">
        <v>11802</v>
      </c>
      <c r="E6196" s="9" t="s">
        <v>27</v>
      </c>
    </row>
    <row r="6197" spans="1:5" outlineLevel="1" x14ac:dyDescent="0.25">
      <c r="A6197" s="2"/>
      <c r="B6197" s="6" t="s">
        <v>11803</v>
      </c>
      <c r="C6197" s="8"/>
      <c r="D6197" s="8"/>
      <c r="E6197" s="8"/>
    </row>
    <row r="6198" spans="1:5" ht="15" customHeight="1" outlineLevel="2" x14ac:dyDescent="0.25">
      <c r="A6198" s="3" t="str">
        <f>HYPERLINK("http://mystore1.ru/price_items/search?utf8=%E2%9C%93&amp;oem=5974ABL","5974ABL")</f>
        <v>5974ABL</v>
      </c>
      <c r="B6198" s="1" t="s">
        <v>11804</v>
      </c>
      <c r="C6198" s="9" t="s">
        <v>3279</v>
      </c>
      <c r="D6198" s="14" t="s">
        <v>11805</v>
      </c>
      <c r="E6198" s="9" t="s">
        <v>8</v>
      </c>
    </row>
    <row r="6199" spans="1:5" ht="15" customHeight="1" outlineLevel="2" x14ac:dyDescent="0.25">
      <c r="A6199" s="3" t="str">
        <f>HYPERLINK("http://mystore1.ru/price_items/search?utf8=%E2%9C%93&amp;oem=5974ACL","5974ACL")</f>
        <v>5974ACL</v>
      </c>
      <c r="B6199" s="1" t="s">
        <v>11806</v>
      </c>
      <c r="C6199" s="9" t="s">
        <v>3279</v>
      </c>
      <c r="D6199" s="14" t="s">
        <v>11807</v>
      </c>
      <c r="E6199" s="9" t="s">
        <v>8</v>
      </c>
    </row>
    <row r="6200" spans="1:5" ht="15" customHeight="1" outlineLevel="2" x14ac:dyDescent="0.25">
      <c r="A6200" s="3" t="str">
        <f>HYPERLINK("http://mystore1.ru/price_items/search?utf8=%E2%9C%93&amp;oem=5974LCLV2FD","5974LCLV2FD")</f>
        <v>5974LCLV2FD</v>
      </c>
      <c r="B6200" s="1" t="s">
        <v>11808</v>
      </c>
      <c r="C6200" s="9" t="s">
        <v>3279</v>
      </c>
      <c r="D6200" s="14" t="s">
        <v>11809</v>
      </c>
      <c r="E6200" s="9" t="s">
        <v>11</v>
      </c>
    </row>
    <row r="6201" spans="1:5" ht="15" customHeight="1" outlineLevel="2" x14ac:dyDescent="0.25">
      <c r="A6201" s="3" t="str">
        <f>HYPERLINK("http://mystore1.ru/price_items/search?utf8=%E2%9C%93&amp;oem=5974RCLV2FD","5974RCLV2FD")</f>
        <v>5974RCLV2FD</v>
      </c>
      <c r="B6201" s="1" t="s">
        <v>11810</v>
      </c>
      <c r="C6201" s="9" t="s">
        <v>3279</v>
      </c>
      <c r="D6201" s="14" t="s">
        <v>11811</v>
      </c>
      <c r="E6201" s="9" t="s">
        <v>11</v>
      </c>
    </row>
    <row r="6202" spans="1:5" outlineLevel="1" x14ac:dyDescent="0.25">
      <c r="A6202" s="2"/>
      <c r="B6202" s="6" t="s">
        <v>11812</v>
      </c>
      <c r="C6202" s="8"/>
      <c r="D6202" s="8"/>
      <c r="E6202" s="8"/>
    </row>
    <row r="6203" spans="1:5" ht="15" customHeight="1" outlineLevel="2" x14ac:dyDescent="0.25">
      <c r="A6203" s="3" t="str">
        <f>HYPERLINK("http://mystore1.ru/price_items/search?utf8=%E2%9C%93&amp;oem=5997ACL","5997ACL")</f>
        <v>5997ACL</v>
      </c>
      <c r="B6203" s="1" t="s">
        <v>11813</v>
      </c>
      <c r="C6203" s="9" t="s">
        <v>5837</v>
      </c>
      <c r="D6203" s="14" t="s">
        <v>11814</v>
      </c>
      <c r="E6203" s="9" t="s">
        <v>8</v>
      </c>
    </row>
    <row r="6204" spans="1:5" outlineLevel="1" x14ac:dyDescent="0.25">
      <c r="A6204" s="2"/>
      <c r="B6204" s="6" t="s">
        <v>11815</v>
      </c>
      <c r="C6204" s="8"/>
      <c r="D6204" s="8"/>
      <c r="E6204" s="8"/>
    </row>
    <row r="6205" spans="1:5" ht="15" customHeight="1" outlineLevel="2" x14ac:dyDescent="0.25">
      <c r="A6205" s="3" t="str">
        <f>HYPERLINK("http://mystore1.ru/price_items/search?utf8=%E2%9C%93&amp;oem=5970ACL","5970ACL")</f>
        <v>5970ACL</v>
      </c>
      <c r="B6205" s="1" t="s">
        <v>11816</v>
      </c>
      <c r="C6205" s="9" t="s">
        <v>11817</v>
      </c>
      <c r="D6205" s="14" t="s">
        <v>11818</v>
      </c>
      <c r="E6205" s="9" t="s">
        <v>8</v>
      </c>
    </row>
    <row r="6206" spans="1:5" outlineLevel="1" x14ac:dyDescent="0.25">
      <c r="A6206" s="2"/>
      <c r="B6206" s="6" t="s">
        <v>11819</v>
      </c>
      <c r="C6206" s="8"/>
      <c r="D6206" s="8"/>
      <c r="E6206" s="8"/>
    </row>
    <row r="6207" spans="1:5" ht="15" customHeight="1" outlineLevel="2" x14ac:dyDescent="0.25">
      <c r="A6207" s="3" t="str">
        <f>HYPERLINK("http://mystore1.ru/price_items/search?utf8=%E2%9C%93&amp;oem=6018AGN","6018AGN")</f>
        <v>6018AGN</v>
      </c>
      <c r="B6207" s="1" t="s">
        <v>11820</v>
      </c>
      <c r="C6207" s="9" t="s">
        <v>457</v>
      </c>
      <c r="D6207" s="14" t="s">
        <v>11821</v>
      </c>
      <c r="E6207" s="9" t="s">
        <v>8</v>
      </c>
    </row>
    <row r="6208" spans="1:5" ht="15" customHeight="1" outlineLevel="2" x14ac:dyDescent="0.25">
      <c r="A6208" s="3" t="str">
        <f>HYPERLINK("http://mystore1.ru/price_items/search?utf8=%E2%9C%93&amp;oem=6018AGNGY","6018AGNGY")</f>
        <v>6018AGNGY</v>
      </c>
      <c r="B6208" s="1" t="s">
        <v>11822</v>
      </c>
      <c r="C6208" s="9" t="s">
        <v>457</v>
      </c>
      <c r="D6208" s="14" t="s">
        <v>11823</v>
      </c>
      <c r="E6208" s="9" t="s">
        <v>8</v>
      </c>
    </row>
    <row r="6209" spans="1:5" ht="15" customHeight="1" outlineLevel="2" x14ac:dyDescent="0.25">
      <c r="A6209" s="3" t="str">
        <f>HYPERLINK("http://mystore1.ru/price_items/search?utf8=%E2%9C%93&amp;oem=6018AGNBL","6018AGNBL")</f>
        <v>6018AGNBL</v>
      </c>
      <c r="B6209" s="1" t="s">
        <v>11824</v>
      </c>
      <c r="C6209" s="9" t="s">
        <v>457</v>
      </c>
      <c r="D6209" s="14" t="s">
        <v>11825</v>
      </c>
      <c r="E6209" s="9" t="s">
        <v>8</v>
      </c>
    </row>
    <row r="6210" spans="1:5" ht="15" customHeight="1" outlineLevel="2" x14ac:dyDescent="0.25">
      <c r="A6210" s="3" t="str">
        <f>HYPERLINK("http://mystore1.ru/price_items/search?utf8=%E2%9C%93&amp;oem=6018ASMR","6018ASMR")</f>
        <v>6018ASMR</v>
      </c>
      <c r="B6210" s="1" t="s">
        <v>11826</v>
      </c>
      <c r="C6210" s="9" t="s">
        <v>25</v>
      </c>
      <c r="D6210" s="14" t="s">
        <v>11827</v>
      </c>
      <c r="E6210" s="9" t="s">
        <v>27</v>
      </c>
    </row>
    <row r="6211" spans="1:5" ht="15" customHeight="1" outlineLevel="2" x14ac:dyDescent="0.25">
      <c r="A6211" s="3" t="str">
        <f>HYPERLINK("http://mystore1.ru/price_items/search?utf8=%E2%9C%93&amp;oem=6018LGNR5FDW","6018LGNR5FDW")</f>
        <v>6018LGNR5FDW</v>
      </c>
      <c r="B6211" s="1" t="s">
        <v>11828</v>
      </c>
      <c r="C6211" s="9" t="s">
        <v>457</v>
      </c>
      <c r="D6211" s="14" t="s">
        <v>11829</v>
      </c>
      <c r="E6211" s="9" t="s">
        <v>11</v>
      </c>
    </row>
    <row r="6212" spans="1:5" ht="15" customHeight="1" outlineLevel="2" x14ac:dyDescent="0.25">
      <c r="A6212" s="3" t="str">
        <f>HYPERLINK("http://mystore1.ru/price_items/search?utf8=%E2%9C%93&amp;oem=6018LGNR5RDW","6018LGNR5RDW")</f>
        <v>6018LGNR5RDW</v>
      </c>
      <c r="B6212" s="1" t="s">
        <v>11830</v>
      </c>
      <c r="C6212" s="9" t="s">
        <v>457</v>
      </c>
      <c r="D6212" s="14" t="s">
        <v>11831</v>
      </c>
      <c r="E6212" s="9" t="s">
        <v>11</v>
      </c>
    </row>
    <row r="6213" spans="1:5" ht="15" customHeight="1" outlineLevel="2" x14ac:dyDescent="0.25">
      <c r="A6213" s="3" t="str">
        <f>HYPERLINK("http://mystore1.ru/price_items/search?utf8=%E2%9C%93&amp;oem=6018RGNR5FDW","6018RGNR5FDW")</f>
        <v>6018RGNR5FDW</v>
      </c>
      <c r="B6213" s="1" t="s">
        <v>11832</v>
      </c>
      <c r="C6213" s="9" t="s">
        <v>457</v>
      </c>
      <c r="D6213" s="14" t="s">
        <v>11833</v>
      </c>
      <c r="E6213" s="9" t="s">
        <v>11</v>
      </c>
    </row>
    <row r="6214" spans="1:5" ht="15" customHeight="1" outlineLevel="2" x14ac:dyDescent="0.25">
      <c r="A6214" s="3" t="str">
        <f>HYPERLINK("http://mystore1.ru/price_items/search?utf8=%E2%9C%93&amp;oem=6018RGNR5RDW","6018RGNR5RDW")</f>
        <v>6018RGNR5RDW</v>
      </c>
      <c r="B6214" s="1" t="s">
        <v>11834</v>
      </c>
      <c r="C6214" s="9" t="s">
        <v>457</v>
      </c>
      <c r="D6214" s="14" t="s">
        <v>11835</v>
      </c>
      <c r="E6214" s="9" t="s">
        <v>11</v>
      </c>
    </row>
    <row r="6215" spans="1:5" ht="15" customHeight="1" outlineLevel="2" x14ac:dyDescent="0.25">
      <c r="A6215" s="3" t="str">
        <f>HYPERLINK("http://mystore1.ru/price_items/search?utf8=%E2%9C%93&amp;oem=6008LGNR5FDW","6008LGNR5FDW")</f>
        <v>6008LGNR5FDW</v>
      </c>
      <c r="B6215" s="1" t="s">
        <v>11836</v>
      </c>
      <c r="C6215" s="9" t="s">
        <v>457</v>
      </c>
      <c r="D6215" s="14" t="s">
        <v>11829</v>
      </c>
      <c r="E6215" s="9" t="s">
        <v>11</v>
      </c>
    </row>
    <row r="6216" spans="1:5" ht="15" customHeight="1" outlineLevel="2" x14ac:dyDescent="0.25">
      <c r="A6216" s="3" t="str">
        <f>HYPERLINK("http://mystore1.ru/price_items/search?utf8=%E2%9C%93&amp;oem=6008RGNR5FDW","6008RGNR5FDW")</f>
        <v>6008RGNR5FDW</v>
      </c>
      <c r="B6216" s="1" t="s">
        <v>11837</v>
      </c>
      <c r="C6216" s="9" t="s">
        <v>457</v>
      </c>
      <c r="D6216" s="14" t="s">
        <v>11833</v>
      </c>
      <c r="E6216" s="9" t="s">
        <v>11</v>
      </c>
    </row>
    <row r="6217" spans="1:5" outlineLevel="1" x14ac:dyDescent="0.25">
      <c r="A6217" s="2"/>
      <c r="B6217" s="6" t="s">
        <v>11838</v>
      </c>
      <c r="C6217" s="8"/>
      <c r="D6217" s="8"/>
      <c r="E6217" s="8"/>
    </row>
    <row r="6218" spans="1:5" outlineLevel="2" x14ac:dyDescent="0.25">
      <c r="A6218" s="3" t="str">
        <f>HYPERLINK("http://mystore1.ru/price_items/search?utf8=%E2%9C%93&amp;oem=6047AGAM1B","6047AGAM1B")</f>
        <v>6047AGAM1B</v>
      </c>
      <c r="B6218" s="1" t="s">
        <v>11839</v>
      </c>
      <c r="C6218" s="9" t="s">
        <v>511</v>
      </c>
      <c r="D6218" s="14" t="s">
        <v>11840</v>
      </c>
      <c r="E6218" s="9" t="s">
        <v>8</v>
      </c>
    </row>
    <row r="6219" spans="1:5" outlineLevel="2" x14ac:dyDescent="0.25">
      <c r="A6219" s="3" t="str">
        <f>HYPERLINK("http://mystore1.ru/price_items/search?utf8=%E2%9C%93&amp;oem=6047AGNM1B","6047AGNM1B")</f>
        <v>6047AGNM1B</v>
      </c>
      <c r="B6219" s="1" t="s">
        <v>11841</v>
      </c>
      <c r="C6219" s="9" t="s">
        <v>511</v>
      </c>
      <c r="D6219" s="14" t="s">
        <v>11842</v>
      </c>
      <c r="E6219" s="9" t="s">
        <v>8</v>
      </c>
    </row>
    <row r="6220" spans="1:5" outlineLevel="2" x14ac:dyDescent="0.25">
      <c r="A6220" s="3" t="str">
        <f>HYPERLINK("http://mystore1.ru/price_items/search?utf8=%E2%9C%93&amp;oem=6047AGAM2B","6047AGAM2B")</f>
        <v>6047AGAM2B</v>
      </c>
      <c r="B6220" s="1" t="s">
        <v>11843</v>
      </c>
      <c r="C6220" s="9" t="s">
        <v>511</v>
      </c>
      <c r="D6220" s="14" t="s">
        <v>11844</v>
      </c>
      <c r="E6220" s="9" t="s">
        <v>8</v>
      </c>
    </row>
    <row r="6221" spans="1:5" outlineLevel="2" x14ac:dyDescent="0.25">
      <c r="A6221" s="3" t="str">
        <f>HYPERLINK("http://mystore1.ru/price_items/search?utf8=%E2%9C%93&amp;oem=6047RGNR5FDW","6047RGNR5FDW")</f>
        <v>6047RGNR5FDW</v>
      </c>
      <c r="B6221" s="1" t="s">
        <v>11845</v>
      </c>
      <c r="C6221" s="9" t="s">
        <v>511</v>
      </c>
      <c r="D6221" s="14" t="s">
        <v>11846</v>
      </c>
      <c r="E6221" s="9" t="s">
        <v>11</v>
      </c>
    </row>
    <row r="6222" spans="1:5" outlineLevel="2" x14ac:dyDescent="0.25">
      <c r="A6222" s="3" t="str">
        <f>HYPERLINK("http://mystore1.ru/price_items/search?utf8=%E2%9C%93&amp;oem=6047LGNR5FDW","6047LGNR5FDW")</f>
        <v>6047LGNR5FDW</v>
      </c>
      <c r="B6222" s="1" t="s">
        <v>11847</v>
      </c>
      <c r="C6222" s="9" t="s">
        <v>511</v>
      </c>
      <c r="D6222" s="14" t="s">
        <v>11848</v>
      </c>
      <c r="E6222" s="9" t="s">
        <v>11</v>
      </c>
    </row>
    <row r="6223" spans="1:5" outlineLevel="2" x14ac:dyDescent="0.25">
      <c r="A6223" s="3" t="str">
        <f>HYPERLINK("http://mystore1.ru/price_items/search?utf8=%E2%9C%93&amp;oem=6047RGNR5RDW","6047RGNR5RDW")</f>
        <v>6047RGNR5RDW</v>
      </c>
      <c r="B6223" s="1" t="s">
        <v>11849</v>
      </c>
      <c r="C6223" s="9" t="s">
        <v>511</v>
      </c>
      <c r="D6223" s="14" t="s">
        <v>11850</v>
      </c>
      <c r="E6223" s="9" t="s">
        <v>11</v>
      </c>
    </row>
    <row r="6224" spans="1:5" outlineLevel="2" x14ac:dyDescent="0.25">
      <c r="A6224" s="3" t="str">
        <f>HYPERLINK("http://mystore1.ru/price_items/search?utf8=%E2%9C%93&amp;oem=6047LGNR5RDW","6047LGNR5RDW")</f>
        <v>6047LGNR5RDW</v>
      </c>
      <c r="B6224" s="1" t="s">
        <v>11851</v>
      </c>
      <c r="C6224" s="9" t="s">
        <v>511</v>
      </c>
      <c r="D6224" s="14" t="s">
        <v>11852</v>
      </c>
      <c r="E6224" s="9" t="s">
        <v>11</v>
      </c>
    </row>
    <row r="6225" spans="1:5" outlineLevel="2" x14ac:dyDescent="0.25">
      <c r="A6225" s="3" t="str">
        <f>HYPERLINK("http://mystore1.ru/price_items/search?utf8=%E2%9C%93&amp;oem=6047RYPR5RD","6047RYPR5RD")</f>
        <v>6047RYPR5RD</v>
      </c>
      <c r="B6225" s="1" t="s">
        <v>11853</v>
      </c>
      <c r="C6225" s="9" t="s">
        <v>511</v>
      </c>
      <c r="D6225" s="14" t="s">
        <v>11854</v>
      </c>
      <c r="E6225" s="9" t="s">
        <v>11</v>
      </c>
    </row>
    <row r="6226" spans="1:5" outlineLevel="2" x14ac:dyDescent="0.25">
      <c r="A6226" s="3" t="str">
        <f>HYPERLINK("http://mystore1.ru/price_items/search?utf8=%E2%9C%93&amp;oem=6047LYPR5RD","6047LYPR5RD")</f>
        <v>6047LYPR5RD</v>
      </c>
      <c r="B6226" s="1" t="s">
        <v>11855</v>
      </c>
      <c r="C6226" s="9" t="s">
        <v>511</v>
      </c>
      <c r="D6226" s="14" t="s">
        <v>11856</v>
      </c>
      <c r="E6226" s="9" t="s">
        <v>11</v>
      </c>
    </row>
    <row r="6227" spans="1:5" outlineLevel="2" x14ac:dyDescent="0.25">
      <c r="A6227" s="3" t="str">
        <f>HYPERLINK("http://mystore1.ru/price_items/search?utf8=%E2%9C%93&amp;oem=6047AGN","6047AGN")</f>
        <v>6047AGN</v>
      </c>
      <c r="B6227" s="1" t="s">
        <v>11857</v>
      </c>
      <c r="C6227" s="9" t="s">
        <v>511</v>
      </c>
      <c r="D6227" s="14" t="s">
        <v>11858</v>
      </c>
      <c r="E6227" s="9" t="s">
        <v>8</v>
      </c>
    </row>
    <row r="6228" spans="1:5" outlineLevel="2" x14ac:dyDescent="0.25">
      <c r="A6228" s="3" t="str">
        <f>HYPERLINK("http://mystore1.ru/price_items/search?utf8=%E2%9C%93&amp;oem=6047AGNM","6047AGNM")</f>
        <v>6047AGNM</v>
      </c>
      <c r="B6228" s="1" t="s">
        <v>11859</v>
      </c>
      <c r="C6228" s="9" t="s">
        <v>511</v>
      </c>
      <c r="D6228" s="14" t="s">
        <v>11842</v>
      </c>
      <c r="E6228" s="9" t="s">
        <v>8</v>
      </c>
    </row>
    <row r="6229" spans="1:5" outlineLevel="2" x14ac:dyDescent="0.25">
      <c r="A6229" s="3" t="str">
        <f>HYPERLINK("http://mystore1.ru/price_items/search?utf8=%E2%9C%93&amp;oem=6047ASMR","6047ASMR")</f>
        <v>6047ASMR</v>
      </c>
      <c r="B6229" s="1" t="s">
        <v>11860</v>
      </c>
      <c r="C6229" s="9" t="s">
        <v>25</v>
      </c>
      <c r="D6229" s="14" t="s">
        <v>11861</v>
      </c>
      <c r="E6229" s="9" t="s">
        <v>27</v>
      </c>
    </row>
    <row r="6230" spans="1:5" outlineLevel="2" x14ac:dyDescent="0.25">
      <c r="A6230" s="3" t="str">
        <f>HYPERLINK("http://mystore1.ru/price_items/search?utf8=%E2%9C%93&amp;oem=6047BGNR","6047BGNR")</f>
        <v>6047BGNR</v>
      </c>
      <c r="B6230" s="1" t="s">
        <v>11862</v>
      </c>
      <c r="C6230" s="9" t="s">
        <v>511</v>
      </c>
      <c r="D6230" s="14" t="s">
        <v>11863</v>
      </c>
      <c r="E6230" s="9" t="s">
        <v>30</v>
      </c>
    </row>
    <row r="6231" spans="1:5" x14ac:dyDescent="0.25">
      <c r="A6231" s="61" t="s">
        <v>11864</v>
      </c>
      <c r="B6231" s="61"/>
      <c r="C6231" s="61"/>
      <c r="D6231" s="61"/>
      <c r="E6231" s="61"/>
    </row>
    <row r="6232" spans="1:5" outlineLevel="1" x14ac:dyDescent="0.25">
      <c r="A6232" s="2"/>
      <c r="B6232" s="6" t="s">
        <v>11865</v>
      </c>
      <c r="C6232" s="8"/>
      <c r="D6232" s="8"/>
      <c r="E6232" s="8"/>
    </row>
    <row r="6233" spans="1:5" ht="15" customHeight="1" outlineLevel="2" x14ac:dyDescent="0.25">
      <c r="A6233" s="3" t="str">
        <f>HYPERLINK("http://mystore1.ru/price_items/search?utf8=%E2%9C%93&amp;oem=6291ACL","6291ACL")</f>
        <v>6291ACL</v>
      </c>
      <c r="B6233" s="1" t="s">
        <v>11866</v>
      </c>
      <c r="C6233" s="9" t="s">
        <v>5361</v>
      </c>
      <c r="D6233" s="14" t="s">
        <v>11867</v>
      </c>
      <c r="E6233" s="9" t="s">
        <v>8</v>
      </c>
    </row>
    <row r="6234" spans="1:5" ht="15" customHeight="1" outlineLevel="2" x14ac:dyDescent="0.25">
      <c r="A6234" s="3" t="str">
        <f>HYPERLINK("http://mystore1.ru/price_items/search?utf8=%E2%9C%93&amp;oem=6291AGS","6291AGS")</f>
        <v>6291AGS</v>
      </c>
      <c r="B6234" s="1" t="s">
        <v>11868</v>
      </c>
      <c r="C6234" s="9" t="s">
        <v>5361</v>
      </c>
      <c r="D6234" s="14" t="s">
        <v>11869</v>
      </c>
      <c r="E6234" s="9" t="s">
        <v>8</v>
      </c>
    </row>
    <row r="6235" spans="1:5" ht="15" customHeight="1" outlineLevel="2" x14ac:dyDescent="0.25">
      <c r="A6235" s="3" t="str">
        <f>HYPERLINK("http://mystore1.ru/price_items/search?utf8=%E2%9C%93&amp;oem=6291AGS1B","6291AGS1B")</f>
        <v>6291AGS1B</v>
      </c>
      <c r="B6235" s="1" t="s">
        <v>11870</v>
      </c>
      <c r="C6235" s="9" t="s">
        <v>1617</v>
      </c>
      <c r="D6235" s="14" t="s">
        <v>11871</v>
      </c>
      <c r="E6235" s="9" t="s">
        <v>8</v>
      </c>
    </row>
    <row r="6236" spans="1:5" ht="15" customHeight="1" outlineLevel="2" x14ac:dyDescent="0.25">
      <c r="A6236" s="3" t="str">
        <f>HYPERLINK("http://mystore1.ru/price_items/search?utf8=%E2%9C%93&amp;oem=6291ASMV","6291ASMV")</f>
        <v>6291ASMV</v>
      </c>
      <c r="B6236" s="1" t="s">
        <v>11872</v>
      </c>
      <c r="C6236" s="9" t="s">
        <v>25</v>
      </c>
      <c r="D6236" s="14" t="s">
        <v>11873</v>
      </c>
      <c r="E6236" s="9" t="s">
        <v>27</v>
      </c>
    </row>
    <row r="6237" spans="1:5" ht="15" customHeight="1" outlineLevel="2" x14ac:dyDescent="0.25">
      <c r="A6237" s="3" t="str">
        <f>HYPERLINK("http://mystore1.ru/price_items/search?utf8=%E2%9C%93&amp;oem=6291BCLVW","6291BCLVW")</f>
        <v>6291BCLVW</v>
      </c>
      <c r="B6237" s="1" t="s">
        <v>11874</v>
      </c>
      <c r="C6237" s="9" t="s">
        <v>5361</v>
      </c>
      <c r="D6237" s="14" t="s">
        <v>11875</v>
      </c>
      <c r="E6237" s="9" t="s">
        <v>30</v>
      </c>
    </row>
    <row r="6238" spans="1:5" ht="15" customHeight="1" outlineLevel="2" x14ac:dyDescent="0.25">
      <c r="A6238" s="3" t="str">
        <f>HYPERLINK("http://mystore1.ru/price_items/search?utf8=%E2%9C%93&amp;oem=6291BGSVW","6291BGSVW")</f>
        <v>6291BGSVW</v>
      </c>
      <c r="B6238" s="1" t="s">
        <v>11876</v>
      </c>
      <c r="C6238" s="9" t="s">
        <v>5361</v>
      </c>
      <c r="D6238" s="14" t="s">
        <v>11877</v>
      </c>
      <c r="E6238" s="9" t="s">
        <v>30</v>
      </c>
    </row>
    <row r="6239" spans="1:5" ht="15" customHeight="1" outlineLevel="2" x14ac:dyDescent="0.25">
      <c r="A6239" s="3" t="str">
        <f>HYPERLINK("http://mystore1.ru/price_items/search?utf8=%E2%9C%93&amp;oem=6291LCLV5FDW","6291LCLV5FDW")</f>
        <v>6291LCLV5FDW</v>
      </c>
      <c r="B6239" s="1" t="s">
        <v>11878</v>
      </c>
      <c r="C6239" s="9" t="s">
        <v>5361</v>
      </c>
      <c r="D6239" s="14" t="s">
        <v>11879</v>
      </c>
      <c r="E6239" s="9" t="s">
        <v>11</v>
      </c>
    </row>
    <row r="6240" spans="1:5" ht="15" customHeight="1" outlineLevel="2" x14ac:dyDescent="0.25">
      <c r="A6240" s="3" t="str">
        <f>HYPERLINK("http://mystore1.ru/price_items/search?utf8=%E2%9C%93&amp;oem=6291LCLV5FV","6291LCLV5FV")</f>
        <v>6291LCLV5FV</v>
      </c>
      <c r="B6240" s="1" t="s">
        <v>11880</v>
      </c>
      <c r="C6240" s="9" t="s">
        <v>5361</v>
      </c>
      <c r="D6240" s="14" t="s">
        <v>11881</v>
      </c>
      <c r="E6240" s="9" t="s">
        <v>11</v>
      </c>
    </row>
    <row r="6241" spans="1:5" ht="15" customHeight="1" outlineLevel="2" x14ac:dyDescent="0.25">
      <c r="A6241" s="3" t="str">
        <f>HYPERLINK("http://mystore1.ru/price_items/search?utf8=%E2%9C%93&amp;oem=6291LCLV5RDW","6291LCLV5RDW")</f>
        <v>6291LCLV5RDW</v>
      </c>
      <c r="B6241" s="1" t="s">
        <v>11882</v>
      </c>
      <c r="C6241" s="9" t="s">
        <v>5361</v>
      </c>
      <c r="D6241" s="14" t="s">
        <v>11883</v>
      </c>
      <c r="E6241" s="9" t="s">
        <v>11</v>
      </c>
    </row>
    <row r="6242" spans="1:5" ht="15" customHeight="1" outlineLevel="2" x14ac:dyDescent="0.25">
      <c r="A6242" s="3" t="str">
        <f>HYPERLINK("http://mystore1.ru/price_items/search?utf8=%E2%9C%93&amp;oem=6291LCLV5RQZ","6291LCLV5RQZ")</f>
        <v>6291LCLV5RQZ</v>
      </c>
      <c r="B6242" s="1" t="s">
        <v>11884</v>
      </c>
      <c r="C6242" s="9" t="s">
        <v>5361</v>
      </c>
      <c r="D6242" s="14" t="s">
        <v>11885</v>
      </c>
      <c r="E6242" s="9" t="s">
        <v>11</v>
      </c>
    </row>
    <row r="6243" spans="1:5" ht="15" customHeight="1" outlineLevel="2" x14ac:dyDescent="0.25">
      <c r="A6243" s="3" t="str">
        <f>HYPERLINK("http://mystore1.ru/price_items/search?utf8=%E2%9C%93&amp;oem=6291LGSV5FDW","6291LGSV5FDW")</f>
        <v>6291LGSV5FDW</v>
      </c>
      <c r="B6243" s="1" t="s">
        <v>11886</v>
      </c>
      <c r="C6243" s="9" t="s">
        <v>5361</v>
      </c>
      <c r="D6243" s="14" t="s">
        <v>11887</v>
      </c>
      <c r="E6243" s="9" t="s">
        <v>11</v>
      </c>
    </row>
    <row r="6244" spans="1:5" ht="15" customHeight="1" outlineLevel="2" x14ac:dyDescent="0.25">
      <c r="A6244" s="3" t="str">
        <f>HYPERLINK("http://mystore1.ru/price_items/search?utf8=%E2%9C%93&amp;oem=6291LGSV5FV","6291LGSV5FV")</f>
        <v>6291LGSV5FV</v>
      </c>
      <c r="B6244" s="1" t="s">
        <v>11888</v>
      </c>
      <c r="C6244" s="9" t="s">
        <v>5361</v>
      </c>
      <c r="D6244" s="14" t="s">
        <v>11889</v>
      </c>
      <c r="E6244" s="9" t="s">
        <v>11</v>
      </c>
    </row>
    <row r="6245" spans="1:5" ht="15" customHeight="1" outlineLevel="2" x14ac:dyDescent="0.25">
      <c r="A6245" s="3" t="str">
        <f>HYPERLINK("http://mystore1.ru/price_items/search?utf8=%E2%9C%93&amp;oem=6291LGSV5RDW","6291LGSV5RDW")</f>
        <v>6291LGSV5RDW</v>
      </c>
      <c r="B6245" s="1" t="s">
        <v>11890</v>
      </c>
      <c r="C6245" s="9" t="s">
        <v>5361</v>
      </c>
      <c r="D6245" s="14" t="s">
        <v>11891</v>
      </c>
      <c r="E6245" s="9" t="s">
        <v>11</v>
      </c>
    </row>
    <row r="6246" spans="1:5" ht="15" customHeight="1" outlineLevel="2" x14ac:dyDescent="0.25">
      <c r="A6246" s="3" t="str">
        <f>HYPERLINK("http://mystore1.ru/price_items/search?utf8=%E2%9C%93&amp;oem=6291LGSV5RQZ","6291LGSV5RQZ")</f>
        <v>6291LGSV5RQZ</v>
      </c>
      <c r="B6246" s="1" t="s">
        <v>11892</v>
      </c>
      <c r="C6246" s="9" t="s">
        <v>5361</v>
      </c>
      <c r="D6246" s="14" t="s">
        <v>11893</v>
      </c>
      <c r="E6246" s="9" t="s">
        <v>11</v>
      </c>
    </row>
    <row r="6247" spans="1:5" ht="15" customHeight="1" outlineLevel="2" x14ac:dyDescent="0.25">
      <c r="A6247" s="3" t="str">
        <f>HYPERLINK("http://mystore1.ru/price_items/search?utf8=%E2%9C%93&amp;oem=6291RCLV5FDW","6291RCLV5FDW")</f>
        <v>6291RCLV5FDW</v>
      </c>
      <c r="B6247" s="1" t="s">
        <v>11894</v>
      </c>
      <c r="C6247" s="9" t="s">
        <v>5361</v>
      </c>
      <c r="D6247" s="14" t="s">
        <v>11895</v>
      </c>
      <c r="E6247" s="9" t="s">
        <v>11</v>
      </c>
    </row>
    <row r="6248" spans="1:5" ht="15" customHeight="1" outlineLevel="2" x14ac:dyDescent="0.25">
      <c r="A6248" s="3" t="str">
        <f>HYPERLINK("http://mystore1.ru/price_items/search?utf8=%E2%9C%93&amp;oem=6291RCLV5FV","6291RCLV5FV")</f>
        <v>6291RCLV5FV</v>
      </c>
      <c r="B6248" s="1" t="s">
        <v>11896</v>
      </c>
      <c r="C6248" s="9" t="s">
        <v>5361</v>
      </c>
      <c r="D6248" s="14" t="s">
        <v>11897</v>
      </c>
      <c r="E6248" s="9" t="s">
        <v>11</v>
      </c>
    </row>
    <row r="6249" spans="1:5" ht="15" customHeight="1" outlineLevel="2" x14ac:dyDescent="0.25">
      <c r="A6249" s="3" t="str">
        <f>HYPERLINK("http://mystore1.ru/price_items/search?utf8=%E2%9C%93&amp;oem=6291RCLV5RDW","6291RCLV5RDW")</f>
        <v>6291RCLV5RDW</v>
      </c>
      <c r="B6249" s="1" t="s">
        <v>11898</v>
      </c>
      <c r="C6249" s="9" t="s">
        <v>5361</v>
      </c>
      <c r="D6249" s="14" t="s">
        <v>11899</v>
      </c>
      <c r="E6249" s="9" t="s">
        <v>11</v>
      </c>
    </row>
    <row r="6250" spans="1:5" ht="15" customHeight="1" outlineLevel="2" x14ac:dyDescent="0.25">
      <c r="A6250" s="3" t="str">
        <f>HYPERLINK("http://mystore1.ru/price_items/search?utf8=%E2%9C%93&amp;oem=6291RCLV5RQZ","6291RCLV5RQZ")</f>
        <v>6291RCLV5RQZ</v>
      </c>
      <c r="B6250" s="1" t="s">
        <v>11900</v>
      </c>
      <c r="C6250" s="9" t="s">
        <v>5361</v>
      </c>
      <c r="D6250" s="14" t="s">
        <v>11901</v>
      </c>
      <c r="E6250" s="9" t="s">
        <v>11</v>
      </c>
    </row>
    <row r="6251" spans="1:5" ht="15" customHeight="1" outlineLevel="2" x14ac:dyDescent="0.25">
      <c r="A6251" s="3" t="str">
        <f>HYPERLINK("http://mystore1.ru/price_items/search?utf8=%E2%9C%93&amp;oem=6291RGSV5FDW","6291RGSV5FDW")</f>
        <v>6291RGSV5FDW</v>
      </c>
      <c r="B6251" s="1" t="s">
        <v>11902</v>
      </c>
      <c r="C6251" s="9" t="s">
        <v>5361</v>
      </c>
      <c r="D6251" s="14" t="s">
        <v>11903</v>
      </c>
      <c r="E6251" s="9" t="s">
        <v>11</v>
      </c>
    </row>
    <row r="6252" spans="1:5" ht="15" customHeight="1" outlineLevel="2" x14ac:dyDescent="0.25">
      <c r="A6252" s="3" t="str">
        <f>HYPERLINK("http://mystore1.ru/price_items/search?utf8=%E2%9C%93&amp;oem=6291RGSV5FV","6291RGSV5FV")</f>
        <v>6291RGSV5FV</v>
      </c>
      <c r="B6252" s="1" t="s">
        <v>11904</v>
      </c>
      <c r="C6252" s="9" t="s">
        <v>5361</v>
      </c>
      <c r="D6252" s="14" t="s">
        <v>11905</v>
      </c>
      <c r="E6252" s="9" t="s">
        <v>11</v>
      </c>
    </row>
    <row r="6253" spans="1:5" ht="15" customHeight="1" outlineLevel="2" x14ac:dyDescent="0.25">
      <c r="A6253" s="3" t="str">
        <f>HYPERLINK("http://mystore1.ru/price_items/search?utf8=%E2%9C%93&amp;oem=6291RGSV5RDW","6291RGSV5RDW")</f>
        <v>6291RGSV5RDW</v>
      </c>
      <c r="B6253" s="1" t="s">
        <v>11906</v>
      </c>
      <c r="C6253" s="9" t="s">
        <v>5361</v>
      </c>
      <c r="D6253" s="14" t="s">
        <v>11907</v>
      </c>
      <c r="E6253" s="9" t="s">
        <v>11</v>
      </c>
    </row>
    <row r="6254" spans="1:5" ht="15" customHeight="1" outlineLevel="2" x14ac:dyDescent="0.25">
      <c r="A6254" s="3" t="str">
        <f>HYPERLINK("http://mystore1.ru/price_items/search?utf8=%E2%9C%93&amp;oem=6291RGSV5RQZ","6291RGSV5RQZ")</f>
        <v>6291RGSV5RQZ</v>
      </c>
      <c r="B6254" s="1" t="s">
        <v>11908</v>
      </c>
      <c r="C6254" s="9" t="s">
        <v>5361</v>
      </c>
      <c r="D6254" s="14" t="s">
        <v>11909</v>
      </c>
      <c r="E6254" s="9" t="s">
        <v>11</v>
      </c>
    </row>
    <row r="6255" spans="1:5" outlineLevel="1" x14ac:dyDescent="0.25">
      <c r="A6255" s="2"/>
      <c r="B6255" s="6" t="s">
        <v>11910</v>
      </c>
      <c r="C6255" s="8"/>
      <c r="D6255" s="8"/>
      <c r="E6255" s="8"/>
    </row>
    <row r="6256" spans="1:5" ht="15" customHeight="1" outlineLevel="2" x14ac:dyDescent="0.25">
      <c r="A6256" s="3" t="str">
        <f>HYPERLINK("http://mystore1.ru/price_items/search?utf8=%E2%9C%93&amp;oem=6318BGDHW","6318BGDHW")</f>
        <v>6318BGDHW</v>
      </c>
      <c r="B6256" s="1" t="s">
        <v>11911</v>
      </c>
      <c r="C6256" s="9" t="s">
        <v>642</v>
      </c>
      <c r="D6256" s="14" t="s">
        <v>11912</v>
      </c>
      <c r="E6256" s="9" t="s">
        <v>30</v>
      </c>
    </row>
    <row r="6257" spans="1:5" ht="15" customHeight="1" outlineLevel="2" x14ac:dyDescent="0.25">
      <c r="A6257" s="3" t="str">
        <f>HYPERLINK("http://mystore1.ru/price_items/search?utf8=%E2%9C%93&amp;oem=6318BGNHW","6318BGNHW")</f>
        <v>6318BGNHW</v>
      </c>
      <c r="B6257" s="1" t="s">
        <v>11913</v>
      </c>
      <c r="C6257" s="9" t="s">
        <v>642</v>
      </c>
      <c r="D6257" s="14" t="s">
        <v>11914</v>
      </c>
      <c r="E6257" s="9" t="s">
        <v>30</v>
      </c>
    </row>
    <row r="6258" spans="1:5" outlineLevel="1" x14ac:dyDescent="0.25">
      <c r="A6258" s="2"/>
      <c r="B6258" s="6" t="s">
        <v>11915</v>
      </c>
      <c r="C6258" s="8"/>
      <c r="D6258" s="8"/>
      <c r="E6258" s="8"/>
    </row>
    <row r="6259" spans="1:5" ht="15" customHeight="1" outlineLevel="2" x14ac:dyDescent="0.25">
      <c r="A6259" s="3" t="str">
        <f>HYPERLINK("http://mystore1.ru/price_items/search?utf8=%E2%9C%93&amp;oem=6314AGNBLHMV1B","6314AGNBLHMV1B")</f>
        <v>6314AGNBLHMV1B</v>
      </c>
      <c r="B6259" s="1" t="s">
        <v>11916</v>
      </c>
      <c r="C6259" s="9" t="s">
        <v>511</v>
      </c>
      <c r="D6259" s="14" t="s">
        <v>11917</v>
      </c>
      <c r="E6259" s="9" t="s">
        <v>8</v>
      </c>
    </row>
    <row r="6260" spans="1:5" ht="15" customHeight="1" outlineLevel="2" x14ac:dyDescent="0.25">
      <c r="A6260" s="3" t="str">
        <f>HYPERLINK("http://mystore1.ru/price_items/search?utf8=%E2%9C%93&amp;oem=6314AGNBLMV1B","6314AGNBLMV1B")</f>
        <v>6314AGNBLMV1B</v>
      </c>
      <c r="B6260" s="1" t="s">
        <v>11918</v>
      </c>
      <c r="C6260" s="9" t="s">
        <v>511</v>
      </c>
      <c r="D6260" s="14" t="s">
        <v>11919</v>
      </c>
      <c r="E6260" s="9" t="s">
        <v>8</v>
      </c>
    </row>
    <row r="6261" spans="1:5" ht="15" customHeight="1" outlineLevel="2" x14ac:dyDescent="0.25">
      <c r="A6261" s="3" t="str">
        <f>HYPERLINK("http://mystore1.ru/price_items/search?utf8=%E2%9C%93&amp;oem=6314ASMR","6314ASMR")</f>
        <v>6314ASMR</v>
      </c>
      <c r="B6261" s="1" t="s">
        <v>11920</v>
      </c>
      <c r="C6261" s="9" t="s">
        <v>511</v>
      </c>
      <c r="D6261" s="14" t="s">
        <v>11921</v>
      </c>
      <c r="E6261" s="9" t="s">
        <v>27</v>
      </c>
    </row>
    <row r="6262" spans="1:5" outlineLevel="1" x14ac:dyDescent="0.25">
      <c r="A6262" s="2"/>
      <c r="B6262" s="6" t="s">
        <v>11922</v>
      </c>
      <c r="C6262" s="8"/>
      <c r="D6262" s="8"/>
      <c r="E6262" s="8"/>
    </row>
    <row r="6263" spans="1:5" ht="15" customHeight="1" outlineLevel="2" x14ac:dyDescent="0.25">
      <c r="A6263" s="3" t="str">
        <f>HYPERLINK("http://mystore1.ru/price_items/search?utf8=%E2%9C%93&amp;oem=6282LCLV2FV","6282LCLV2FV")</f>
        <v>6282LCLV2FV</v>
      </c>
      <c r="B6263" s="1" t="s">
        <v>11923</v>
      </c>
      <c r="C6263" s="9" t="s">
        <v>3061</v>
      </c>
      <c r="D6263" s="14" t="s">
        <v>11924</v>
      </c>
      <c r="E6263" s="9" t="s">
        <v>11</v>
      </c>
    </row>
    <row r="6264" spans="1:5" ht="15" customHeight="1" outlineLevel="2" x14ac:dyDescent="0.25">
      <c r="A6264" s="3" t="str">
        <f>HYPERLINK("http://mystore1.ru/price_items/search?utf8=%E2%9C%93&amp;oem=6282RCLV2FV","6282RCLV2FV")</f>
        <v>6282RCLV2FV</v>
      </c>
      <c r="B6264" s="1" t="s">
        <v>11925</v>
      </c>
      <c r="C6264" s="9" t="s">
        <v>3061</v>
      </c>
      <c r="D6264" s="14" t="s">
        <v>11926</v>
      </c>
      <c r="E6264" s="9" t="s">
        <v>11</v>
      </c>
    </row>
    <row r="6265" spans="1:5" outlineLevel="1" x14ac:dyDescent="0.25">
      <c r="A6265" s="2"/>
      <c r="B6265" s="6" t="s">
        <v>11927</v>
      </c>
      <c r="C6265" s="47"/>
      <c r="D6265" s="8"/>
      <c r="E6265" s="8"/>
    </row>
    <row r="6266" spans="1:5" ht="15" customHeight="1" outlineLevel="2" x14ac:dyDescent="0.25">
      <c r="A6266" s="3" t="str">
        <f>HYPERLINK("http://mystore1.ru/price_items/search?utf8=%E2%9C%93&amp;oem=6244ACL","6244ACL")</f>
        <v>6244ACL</v>
      </c>
      <c r="B6266" s="1" t="s">
        <v>11928</v>
      </c>
      <c r="C6266" s="9" t="s">
        <v>11929</v>
      </c>
      <c r="D6266" s="14" t="s">
        <v>11930</v>
      </c>
      <c r="E6266" s="9" t="s">
        <v>8</v>
      </c>
    </row>
    <row r="6267" spans="1:5" ht="15" customHeight="1" outlineLevel="2" x14ac:dyDescent="0.25">
      <c r="A6267" s="3" t="str">
        <f>HYPERLINK("http://mystore1.ru/price_items/search?utf8=%E2%9C%93&amp;oem=6244ACL1C","6244ACL1C")</f>
        <v>6244ACL1C</v>
      </c>
      <c r="B6267" s="1" t="s">
        <v>11931</v>
      </c>
      <c r="C6267" s="9" t="s">
        <v>11929</v>
      </c>
      <c r="D6267" s="14" t="s">
        <v>11930</v>
      </c>
      <c r="E6267" s="9" t="s">
        <v>8</v>
      </c>
    </row>
    <row r="6268" spans="1:5" ht="15" customHeight="1" outlineLevel="2" x14ac:dyDescent="0.25">
      <c r="A6268" s="3" t="str">
        <f>HYPERLINK("http://mystore1.ru/price_items/search?utf8=%E2%9C%93&amp;oem=6244AGNBL","6244AGNBL")</f>
        <v>6244AGNBL</v>
      </c>
      <c r="B6268" s="1" t="s">
        <v>11932</v>
      </c>
      <c r="C6268" s="9" t="s">
        <v>11929</v>
      </c>
      <c r="D6268" s="14" t="s">
        <v>11933</v>
      </c>
      <c r="E6268" s="9" t="s">
        <v>8</v>
      </c>
    </row>
    <row r="6269" spans="1:5" ht="15" customHeight="1" outlineLevel="2" x14ac:dyDescent="0.25">
      <c r="A6269" s="3" t="str">
        <f>HYPERLINK("http://mystore1.ru/price_items/search?utf8=%E2%9C%93&amp;oem=6244AGNBL1C","6244AGNBL1C")</f>
        <v>6244AGNBL1C</v>
      </c>
      <c r="B6269" s="1" t="s">
        <v>11934</v>
      </c>
      <c r="C6269" s="9" t="s">
        <v>11929</v>
      </c>
      <c r="D6269" s="14" t="s">
        <v>11933</v>
      </c>
      <c r="E6269" s="9" t="s">
        <v>8</v>
      </c>
    </row>
    <row r="6270" spans="1:5" ht="15" customHeight="1" outlineLevel="2" x14ac:dyDescent="0.25">
      <c r="A6270" s="3" t="str">
        <f>HYPERLINK("http://mystore1.ru/price_items/search?utf8=%E2%9C%93&amp;oem=6244ASRH","6244ASRH")</f>
        <v>6244ASRH</v>
      </c>
      <c r="B6270" s="1" t="s">
        <v>11935</v>
      </c>
      <c r="C6270" s="9" t="s">
        <v>25</v>
      </c>
      <c r="D6270" s="14" t="s">
        <v>11936</v>
      </c>
      <c r="E6270" s="9" t="s">
        <v>27</v>
      </c>
    </row>
    <row r="6271" spans="1:5" ht="15" customHeight="1" outlineLevel="2" x14ac:dyDescent="0.25">
      <c r="A6271" s="3" t="str">
        <f>HYPERLINK("http://mystore1.ru/price_items/search?utf8=%E2%9C%93&amp;oem=6244BCLH","6244BCLH")</f>
        <v>6244BCLH</v>
      </c>
      <c r="B6271" s="1" t="s">
        <v>11937</v>
      </c>
      <c r="C6271" s="9" t="s">
        <v>11929</v>
      </c>
      <c r="D6271" s="14" t="s">
        <v>11938</v>
      </c>
      <c r="E6271" s="9" t="s">
        <v>30</v>
      </c>
    </row>
    <row r="6272" spans="1:5" ht="15" customHeight="1" outlineLevel="2" x14ac:dyDescent="0.25">
      <c r="A6272" s="3" t="str">
        <f>HYPERLINK("http://mystore1.ru/price_items/search?utf8=%E2%9C%93&amp;oem=6244LCLS4FD","6244LCLS4FD")</f>
        <v>6244LCLS4FD</v>
      </c>
      <c r="B6272" s="1" t="s">
        <v>11939</v>
      </c>
      <c r="C6272" s="9" t="s">
        <v>11929</v>
      </c>
      <c r="D6272" s="14" t="s">
        <v>11940</v>
      </c>
      <c r="E6272" s="9" t="s">
        <v>11</v>
      </c>
    </row>
    <row r="6273" spans="1:5" ht="15" customHeight="1" outlineLevel="2" x14ac:dyDescent="0.25">
      <c r="A6273" s="3" t="str">
        <f>HYPERLINK("http://mystore1.ru/price_items/search?utf8=%E2%9C%93&amp;oem=6244LGNH5FD","6244LGNH5FD")</f>
        <v>6244LGNH5FD</v>
      </c>
      <c r="B6273" s="1" t="s">
        <v>11941</v>
      </c>
      <c r="C6273" s="9" t="s">
        <v>11929</v>
      </c>
      <c r="D6273" s="14" t="s">
        <v>11942</v>
      </c>
      <c r="E6273" s="9" t="s">
        <v>11</v>
      </c>
    </row>
    <row r="6274" spans="1:5" ht="15" customHeight="1" outlineLevel="2" x14ac:dyDescent="0.25">
      <c r="A6274" s="3" t="str">
        <f>HYPERLINK("http://mystore1.ru/price_items/search?utf8=%E2%9C%93&amp;oem=6244RCLH5RV","6244RCLH5RV")</f>
        <v>6244RCLH5RV</v>
      </c>
      <c r="B6274" s="1" t="s">
        <v>11943</v>
      </c>
      <c r="C6274" s="9" t="s">
        <v>11929</v>
      </c>
      <c r="D6274" s="14" t="s">
        <v>11944</v>
      </c>
      <c r="E6274" s="9" t="s">
        <v>11</v>
      </c>
    </row>
    <row r="6275" spans="1:5" ht="15" customHeight="1" outlineLevel="2" x14ac:dyDescent="0.25">
      <c r="A6275" s="3" t="str">
        <f>HYPERLINK("http://mystore1.ru/price_items/search?utf8=%E2%9C%93&amp;oem=6244RCLS4FD","6244RCLS4FD")</f>
        <v>6244RCLS4FD</v>
      </c>
      <c r="B6275" s="1" t="s">
        <v>11945</v>
      </c>
      <c r="C6275" s="9" t="s">
        <v>11929</v>
      </c>
      <c r="D6275" s="14" t="s">
        <v>11946</v>
      </c>
      <c r="E6275" s="9" t="s">
        <v>11</v>
      </c>
    </row>
    <row r="6276" spans="1:5" ht="15" customHeight="1" outlineLevel="2" x14ac:dyDescent="0.25">
      <c r="A6276" s="3" t="str">
        <f>HYPERLINK("http://mystore1.ru/price_items/search?utf8=%E2%9C%93&amp;oem=6244RCLS4RV","6244RCLS4RV")</f>
        <v>6244RCLS4RV</v>
      </c>
      <c r="B6276" s="1" t="s">
        <v>11947</v>
      </c>
      <c r="C6276" s="9" t="s">
        <v>11929</v>
      </c>
      <c r="D6276" s="14" t="s">
        <v>11948</v>
      </c>
      <c r="E6276" s="9" t="s">
        <v>11</v>
      </c>
    </row>
    <row r="6277" spans="1:5" outlineLevel="1" x14ac:dyDescent="0.25">
      <c r="A6277" s="2"/>
      <c r="B6277" s="6" t="s">
        <v>11949</v>
      </c>
      <c r="C6277" s="8"/>
      <c r="D6277" s="8"/>
      <c r="E6277" s="8"/>
    </row>
    <row r="6278" spans="1:5" ht="15" customHeight="1" outlineLevel="2" x14ac:dyDescent="0.25">
      <c r="A6278" s="3" t="str">
        <f>HYPERLINK("http://mystore1.ru/price_items/search?utf8=%E2%9C%93&amp;oem=6257ACLW","6257ACLW")</f>
        <v>6257ACLW</v>
      </c>
      <c r="B6278" s="1" t="s">
        <v>11950</v>
      </c>
      <c r="C6278" s="9" t="s">
        <v>335</v>
      </c>
      <c r="D6278" s="14" t="s">
        <v>11951</v>
      </c>
      <c r="E6278" s="9" t="s">
        <v>8</v>
      </c>
    </row>
    <row r="6279" spans="1:5" ht="15" customHeight="1" outlineLevel="2" x14ac:dyDescent="0.25">
      <c r="A6279" s="3" t="str">
        <f>HYPERLINK("http://mystore1.ru/price_items/search?utf8=%E2%9C%93&amp;oem=6257ACLW1C","6257ACLW1C")</f>
        <v>6257ACLW1C</v>
      </c>
      <c r="B6279" s="1" t="s">
        <v>11952</v>
      </c>
      <c r="C6279" s="9" t="s">
        <v>335</v>
      </c>
      <c r="D6279" s="14" t="s">
        <v>11953</v>
      </c>
      <c r="E6279" s="9" t="s">
        <v>8</v>
      </c>
    </row>
    <row r="6280" spans="1:5" ht="15" customHeight="1" outlineLevel="2" x14ac:dyDescent="0.25">
      <c r="A6280" s="3" t="str">
        <f>HYPERLINK("http://mystore1.ru/price_items/search?utf8=%E2%9C%93&amp;oem=6257AGNBLW","6257AGNBLW")</f>
        <v>6257AGNBLW</v>
      </c>
      <c r="B6280" s="1" t="s">
        <v>11954</v>
      </c>
      <c r="C6280" s="9" t="s">
        <v>335</v>
      </c>
      <c r="D6280" s="14" t="s">
        <v>11955</v>
      </c>
      <c r="E6280" s="9" t="s">
        <v>8</v>
      </c>
    </row>
    <row r="6281" spans="1:5" ht="15" customHeight="1" outlineLevel="2" x14ac:dyDescent="0.25">
      <c r="A6281" s="3" t="str">
        <f>HYPERLINK("http://mystore1.ru/price_items/search?utf8=%E2%9C%93&amp;oem=6257AGNBLW1C","6257AGNBLW1C")</f>
        <v>6257AGNBLW1C</v>
      </c>
      <c r="B6281" s="1" t="s">
        <v>11956</v>
      </c>
      <c r="C6281" s="9" t="s">
        <v>335</v>
      </c>
      <c r="D6281" s="14" t="s">
        <v>11957</v>
      </c>
      <c r="E6281" s="9" t="s">
        <v>8</v>
      </c>
    </row>
    <row r="6282" spans="1:5" ht="15" customHeight="1" outlineLevel="2" x14ac:dyDescent="0.25">
      <c r="A6282" s="3" t="str">
        <f>HYPERLINK("http://mystore1.ru/price_items/search?utf8=%E2%9C%93&amp;oem=6257ASMH","6257ASMH")</f>
        <v>6257ASMH</v>
      </c>
      <c r="B6282" s="1" t="s">
        <v>11958</v>
      </c>
      <c r="C6282" s="9" t="s">
        <v>25</v>
      </c>
      <c r="D6282" s="14" t="s">
        <v>11959</v>
      </c>
      <c r="E6282" s="9" t="s">
        <v>27</v>
      </c>
    </row>
    <row r="6283" spans="1:5" ht="15" customHeight="1" outlineLevel="2" x14ac:dyDescent="0.25">
      <c r="A6283" s="3" t="str">
        <f>HYPERLINK("http://mystore1.ru/price_items/search?utf8=%E2%9C%93&amp;oem=6257BCLE","6257BCLE")</f>
        <v>6257BCLE</v>
      </c>
      <c r="B6283" s="1" t="s">
        <v>11960</v>
      </c>
      <c r="C6283" s="9" t="s">
        <v>335</v>
      </c>
      <c r="D6283" s="14" t="s">
        <v>11961</v>
      </c>
      <c r="E6283" s="9" t="s">
        <v>30</v>
      </c>
    </row>
    <row r="6284" spans="1:5" ht="15" customHeight="1" outlineLevel="2" x14ac:dyDescent="0.25">
      <c r="A6284" s="3" t="str">
        <f>HYPERLINK("http://mystore1.ru/price_items/search?utf8=%E2%9C%93&amp;oem=6257BCLH","6257BCLH")</f>
        <v>6257BCLH</v>
      </c>
      <c r="B6284" s="1" t="s">
        <v>11962</v>
      </c>
      <c r="C6284" s="9" t="s">
        <v>335</v>
      </c>
      <c r="D6284" s="14" t="s">
        <v>11963</v>
      </c>
      <c r="E6284" s="9" t="s">
        <v>30</v>
      </c>
    </row>
    <row r="6285" spans="1:5" ht="15" customHeight="1" outlineLevel="2" x14ac:dyDescent="0.25">
      <c r="A6285" s="3" t="str">
        <f>HYPERLINK("http://mystore1.ru/price_items/search?utf8=%E2%9C%93&amp;oem=6257BGNE","6257BGNE")</f>
        <v>6257BGNE</v>
      </c>
      <c r="B6285" s="1" t="s">
        <v>11964</v>
      </c>
      <c r="C6285" s="9" t="s">
        <v>335</v>
      </c>
      <c r="D6285" s="14" t="s">
        <v>11965</v>
      </c>
      <c r="E6285" s="9" t="s">
        <v>30</v>
      </c>
    </row>
    <row r="6286" spans="1:5" ht="15" customHeight="1" outlineLevel="2" x14ac:dyDescent="0.25">
      <c r="A6286" s="3" t="str">
        <f>HYPERLINK("http://mystore1.ru/price_items/search?utf8=%E2%9C%93&amp;oem=6257BGNH","6257BGNH")</f>
        <v>6257BGNH</v>
      </c>
      <c r="B6286" s="1" t="s">
        <v>11966</v>
      </c>
      <c r="C6286" s="9" t="s">
        <v>335</v>
      </c>
      <c r="D6286" s="14" t="s">
        <v>11967</v>
      </c>
      <c r="E6286" s="9" t="s">
        <v>30</v>
      </c>
    </row>
    <row r="6287" spans="1:5" ht="15" customHeight="1" outlineLevel="2" x14ac:dyDescent="0.25">
      <c r="A6287" s="3" t="str">
        <f>HYPERLINK("http://mystore1.ru/price_items/search?utf8=%E2%9C%93&amp;oem=6257BGNS","6257BGNS")</f>
        <v>6257BGNS</v>
      </c>
      <c r="B6287" s="1" t="s">
        <v>11968</v>
      </c>
      <c r="C6287" s="9" t="s">
        <v>335</v>
      </c>
      <c r="D6287" s="14" t="s">
        <v>11969</v>
      </c>
      <c r="E6287" s="9" t="s">
        <v>30</v>
      </c>
    </row>
    <row r="6288" spans="1:5" ht="15" customHeight="1" outlineLevel="2" x14ac:dyDescent="0.25">
      <c r="A6288" s="3" t="str">
        <f>HYPERLINK("http://mystore1.ru/price_items/search?utf8=%E2%9C%93&amp;oem=6257BSME","6257BSME")</f>
        <v>6257BSME</v>
      </c>
      <c r="B6288" s="1" t="s">
        <v>11970</v>
      </c>
      <c r="C6288" s="9" t="s">
        <v>25</v>
      </c>
      <c r="D6288" s="14" t="s">
        <v>11971</v>
      </c>
      <c r="E6288" s="9" t="s">
        <v>27</v>
      </c>
    </row>
    <row r="6289" spans="1:5" ht="15" customHeight="1" outlineLevel="2" x14ac:dyDescent="0.25">
      <c r="A6289" s="3" t="str">
        <f>HYPERLINK("http://mystore1.ru/price_items/search?utf8=%E2%9C%93&amp;oem=6257BSMH","6257BSMH")</f>
        <v>6257BSMH</v>
      </c>
      <c r="B6289" s="1" t="s">
        <v>11972</v>
      </c>
      <c r="C6289" s="9" t="s">
        <v>25</v>
      </c>
      <c r="D6289" s="14" t="s">
        <v>11973</v>
      </c>
      <c r="E6289" s="9" t="s">
        <v>27</v>
      </c>
    </row>
    <row r="6290" spans="1:5" ht="15" customHeight="1" outlineLevel="2" x14ac:dyDescent="0.25">
      <c r="A6290" s="3" t="str">
        <f>HYPERLINK("http://mystore1.ru/price_items/search?utf8=%E2%9C%93&amp;oem=6257LCLE5RD","6257LCLE5RD")</f>
        <v>6257LCLE5RD</v>
      </c>
      <c r="B6290" s="1" t="s">
        <v>11974</v>
      </c>
      <c r="C6290" s="9" t="s">
        <v>335</v>
      </c>
      <c r="D6290" s="14" t="s">
        <v>11975</v>
      </c>
      <c r="E6290" s="9" t="s">
        <v>11</v>
      </c>
    </row>
    <row r="6291" spans="1:5" ht="15" customHeight="1" outlineLevel="2" x14ac:dyDescent="0.25">
      <c r="A6291" s="3" t="str">
        <f>HYPERLINK("http://mystore1.ru/price_items/search?utf8=%E2%9C%93&amp;oem=6257LCLE5RV","6257LCLE5RV")</f>
        <v>6257LCLE5RV</v>
      </c>
      <c r="B6291" s="1" t="s">
        <v>11976</v>
      </c>
      <c r="C6291" s="9" t="s">
        <v>335</v>
      </c>
      <c r="D6291" s="14" t="s">
        <v>11977</v>
      </c>
      <c r="E6291" s="9" t="s">
        <v>11</v>
      </c>
    </row>
    <row r="6292" spans="1:5" ht="15" customHeight="1" outlineLevel="2" x14ac:dyDescent="0.25">
      <c r="A6292" s="3" t="str">
        <f>HYPERLINK("http://mystore1.ru/price_items/search?utf8=%E2%9C%93&amp;oem=6257LCLH3FD","6257LCLH3FD")</f>
        <v>6257LCLH3FD</v>
      </c>
      <c r="B6292" s="1" t="s">
        <v>11978</v>
      </c>
      <c r="C6292" s="9" t="s">
        <v>335</v>
      </c>
      <c r="D6292" s="14" t="s">
        <v>11979</v>
      </c>
      <c r="E6292" s="9" t="s">
        <v>11</v>
      </c>
    </row>
    <row r="6293" spans="1:5" ht="15" customHeight="1" outlineLevel="2" x14ac:dyDescent="0.25">
      <c r="A6293" s="3" t="str">
        <f>HYPERLINK("http://mystore1.ru/price_items/search?utf8=%E2%9C%93&amp;oem=6257LCLH5FD","6257LCLH5FD")</f>
        <v>6257LCLH5FD</v>
      </c>
      <c r="B6293" s="1" t="s">
        <v>11980</v>
      </c>
      <c r="C6293" s="9" t="s">
        <v>335</v>
      </c>
      <c r="D6293" s="14" t="s">
        <v>11981</v>
      </c>
      <c r="E6293" s="9" t="s">
        <v>11</v>
      </c>
    </row>
    <row r="6294" spans="1:5" ht="15" customHeight="1" outlineLevel="2" x14ac:dyDescent="0.25">
      <c r="A6294" s="3" t="str">
        <f>HYPERLINK("http://mystore1.ru/price_items/search?utf8=%E2%9C%93&amp;oem=6257LGNE5RD","6257LGNE5RD")</f>
        <v>6257LGNE5RD</v>
      </c>
      <c r="B6294" s="1" t="s">
        <v>11982</v>
      </c>
      <c r="C6294" s="9" t="s">
        <v>335</v>
      </c>
      <c r="D6294" s="14" t="s">
        <v>11983</v>
      </c>
      <c r="E6294" s="9" t="s">
        <v>11</v>
      </c>
    </row>
    <row r="6295" spans="1:5" ht="15" customHeight="1" outlineLevel="2" x14ac:dyDescent="0.25">
      <c r="A6295" s="3" t="str">
        <f>HYPERLINK("http://mystore1.ru/price_items/search?utf8=%E2%9C%93&amp;oem=6257LGNE5RQZ","6257LGNE5RQZ")</f>
        <v>6257LGNE5RQZ</v>
      </c>
      <c r="B6295" s="1" t="s">
        <v>11984</v>
      </c>
      <c r="C6295" s="9" t="s">
        <v>335</v>
      </c>
      <c r="D6295" s="14" t="s">
        <v>11985</v>
      </c>
      <c r="E6295" s="9" t="s">
        <v>11</v>
      </c>
    </row>
    <row r="6296" spans="1:5" ht="15" customHeight="1" outlineLevel="2" x14ac:dyDescent="0.25">
      <c r="A6296" s="3" t="str">
        <f>HYPERLINK("http://mystore1.ru/price_items/search?utf8=%E2%9C%93&amp;oem=6257LGNE5RV","6257LGNE5RV")</f>
        <v>6257LGNE5RV</v>
      </c>
      <c r="B6296" s="1" t="s">
        <v>11986</v>
      </c>
      <c r="C6296" s="9" t="s">
        <v>335</v>
      </c>
      <c r="D6296" s="14" t="s">
        <v>11987</v>
      </c>
      <c r="E6296" s="9" t="s">
        <v>11</v>
      </c>
    </row>
    <row r="6297" spans="1:5" ht="15" customHeight="1" outlineLevel="2" x14ac:dyDescent="0.25">
      <c r="A6297" s="3" t="str">
        <f>HYPERLINK("http://mystore1.ru/price_items/search?utf8=%E2%9C%93&amp;oem=6257LGNH3FD","6257LGNH3FD")</f>
        <v>6257LGNH3FD</v>
      </c>
      <c r="B6297" s="1" t="s">
        <v>11988</v>
      </c>
      <c r="C6297" s="9" t="s">
        <v>335</v>
      </c>
      <c r="D6297" s="14" t="s">
        <v>11989</v>
      </c>
      <c r="E6297" s="9" t="s">
        <v>11</v>
      </c>
    </row>
    <row r="6298" spans="1:5" ht="15" customHeight="1" outlineLevel="2" x14ac:dyDescent="0.25">
      <c r="A6298" s="3" t="str">
        <f>HYPERLINK("http://mystore1.ru/price_items/search?utf8=%E2%9C%93&amp;oem=6257LGNH5FD","6257LGNH5FD")</f>
        <v>6257LGNH5FD</v>
      </c>
      <c r="B6298" s="1" t="s">
        <v>11990</v>
      </c>
      <c r="C6298" s="9" t="s">
        <v>335</v>
      </c>
      <c r="D6298" s="14" t="s">
        <v>11991</v>
      </c>
      <c r="E6298" s="9" t="s">
        <v>11</v>
      </c>
    </row>
    <row r="6299" spans="1:5" ht="15" customHeight="1" outlineLevel="2" x14ac:dyDescent="0.25">
      <c r="A6299" s="3" t="str">
        <f>HYPERLINK("http://mystore1.ru/price_items/search?utf8=%E2%9C%93&amp;oem=6257LGNH5RD","6257LGNH5RD")</f>
        <v>6257LGNH5RD</v>
      </c>
      <c r="B6299" s="1" t="s">
        <v>11992</v>
      </c>
      <c r="C6299" s="9" t="s">
        <v>335</v>
      </c>
      <c r="D6299" s="14" t="s">
        <v>11993</v>
      </c>
      <c r="E6299" s="9" t="s">
        <v>11</v>
      </c>
    </row>
    <row r="6300" spans="1:5" ht="15" customHeight="1" outlineLevel="2" x14ac:dyDescent="0.25">
      <c r="A6300" s="3" t="str">
        <f>HYPERLINK("http://mystore1.ru/price_items/search?utf8=%E2%9C%93&amp;oem=6257RCLE5RD","6257RCLE5RD")</f>
        <v>6257RCLE5RD</v>
      </c>
      <c r="B6300" s="1" t="s">
        <v>11994</v>
      </c>
      <c r="C6300" s="9" t="s">
        <v>335</v>
      </c>
      <c r="D6300" s="14" t="s">
        <v>11995</v>
      </c>
      <c r="E6300" s="9" t="s">
        <v>11</v>
      </c>
    </row>
    <row r="6301" spans="1:5" ht="15" customHeight="1" outlineLevel="2" x14ac:dyDescent="0.25">
      <c r="A6301" s="3" t="str">
        <f>HYPERLINK("http://mystore1.ru/price_items/search?utf8=%E2%9C%93&amp;oem=6257RCLE5RV","6257RCLE5RV")</f>
        <v>6257RCLE5RV</v>
      </c>
      <c r="B6301" s="1" t="s">
        <v>11996</v>
      </c>
      <c r="C6301" s="9" t="s">
        <v>335</v>
      </c>
      <c r="D6301" s="14" t="s">
        <v>11997</v>
      </c>
      <c r="E6301" s="9" t="s">
        <v>11</v>
      </c>
    </row>
    <row r="6302" spans="1:5" ht="15" customHeight="1" outlineLevel="2" x14ac:dyDescent="0.25">
      <c r="A6302" s="3" t="str">
        <f>HYPERLINK("http://mystore1.ru/price_items/search?utf8=%E2%9C%93&amp;oem=6257RCLH3FD","6257RCLH3FD")</f>
        <v>6257RCLH3FD</v>
      </c>
      <c r="B6302" s="1" t="s">
        <v>11998</v>
      </c>
      <c r="C6302" s="9" t="s">
        <v>335</v>
      </c>
      <c r="D6302" s="14" t="s">
        <v>11999</v>
      </c>
      <c r="E6302" s="9" t="s">
        <v>11</v>
      </c>
    </row>
    <row r="6303" spans="1:5" ht="15" customHeight="1" outlineLevel="2" x14ac:dyDescent="0.25">
      <c r="A6303" s="3" t="str">
        <f>HYPERLINK("http://mystore1.ru/price_items/search?utf8=%E2%9C%93&amp;oem=6257RCLH5FD","6257RCLH5FD")</f>
        <v>6257RCLH5FD</v>
      </c>
      <c r="B6303" s="1" t="s">
        <v>12000</v>
      </c>
      <c r="C6303" s="9" t="s">
        <v>335</v>
      </c>
      <c r="D6303" s="14" t="s">
        <v>12001</v>
      </c>
      <c r="E6303" s="9" t="s">
        <v>11</v>
      </c>
    </row>
    <row r="6304" spans="1:5" ht="15" customHeight="1" outlineLevel="2" x14ac:dyDescent="0.25">
      <c r="A6304" s="3" t="str">
        <f>HYPERLINK("http://mystore1.ru/price_items/search?utf8=%E2%9C%93&amp;oem=6257RCLH5RD","6257RCLH5RD")</f>
        <v>6257RCLH5RD</v>
      </c>
      <c r="B6304" s="1" t="s">
        <v>12002</v>
      </c>
      <c r="C6304" s="9" t="s">
        <v>335</v>
      </c>
      <c r="D6304" s="14" t="s">
        <v>12003</v>
      </c>
      <c r="E6304" s="9" t="s">
        <v>11</v>
      </c>
    </row>
    <row r="6305" spans="1:5" ht="15" customHeight="1" outlineLevel="2" x14ac:dyDescent="0.25">
      <c r="A6305" s="3" t="str">
        <f>HYPERLINK("http://mystore1.ru/price_items/search?utf8=%E2%9C%93&amp;oem=6257RGNE5RD","6257RGNE5RD")</f>
        <v>6257RGNE5RD</v>
      </c>
      <c r="B6305" s="1" t="s">
        <v>12004</v>
      </c>
      <c r="C6305" s="9" t="s">
        <v>335</v>
      </c>
      <c r="D6305" s="14" t="s">
        <v>12005</v>
      </c>
      <c r="E6305" s="9" t="s">
        <v>11</v>
      </c>
    </row>
    <row r="6306" spans="1:5" ht="15" customHeight="1" outlineLevel="2" x14ac:dyDescent="0.25">
      <c r="A6306" s="3" t="str">
        <f>HYPERLINK("http://mystore1.ru/price_items/search?utf8=%E2%9C%93&amp;oem=6257RGNE5RV","6257RGNE5RV")</f>
        <v>6257RGNE5RV</v>
      </c>
      <c r="B6306" s="1" t="s">
        <v>12006</v>
      </c>
      <c r="C6306" s="9" t="s">
        <v>335</v>
      </c>
      <c r="D6306" s="14" t="s">
        <v>12007</v>
      </c>
      <c r="E6306" s="9" t="s">
        <v>11</v>
      </c>
    </row>
    <row r="6307" spans="1:5" ht="15" customHeight="1" outlineLevel="2" x14ac:dyDescent="0.25">
      <c r="A6307" s="3" t="str">
        <f>HYPERLINK("http://mystore1.ru/price_items/search?utf8=%E2%9C%93&amp;oem=6257RGNH3FD","6257RGNH3FD")</f>
        <v>6257RGNH3FD</v>
      </c>
      <c r="B6307" s="1" t="s">
        <v>12008</v>
      </c>
      <c r="C6307" s="9" t="s">
        <v>335</v>
      </c>
      <c r="D6307" s="14" t="s">
        <v>12009</v>
      </c>
      <c r="E6307" s="9" t="s">
        <v>11</v>
      </c>
    </row>
    <row r="6308" spans="1:5" ht="15" customHeight="1" outlineLevel="2" x14ac:dyDescent="0.25">
      <c r="A6308" s="3" t="str">
        <f>HYPERLINK("http://mystore1.ru/price_items/search?utf8=%E2%9C%93&amp;oem=6257RGNH5FD","6257RGNH5FD")</f>
        <v>6257RGNH5FD</v>
      </c>
      <c r="B6308" s="1" t="s">
        <v>12010</v>
      </c>
      <c r="C6308" s="9" t="s">
        <v>335</v>
      </c>
      <c r="D6308" s="14" t="s">
        <v>12011</v>
      </c>
      <c r="E6308" s="9" t="s">
        <v>11</v>
      </c>
    </row>
    <row r="6309" spans="1:5" ht="15" customHeight="1" outlineLevel="2" x14ac:dyDescent="0.25">
      <c r="A6309" s="3" t="str">
        <f>HYPERLINK("http://mystore1.ru/price_items/search?utf8=%E2%9C%93&amp;oem=6257RGNH5RD","6257RGNH5RD")</f>
        <v>6257RGNH5RD</v>
      </c>
      <c r="B6309" s="1" t="s">
        <v>12012</v>
      </c>
      <c r="C6309" s="9" t="s">
        <v>335</v>
      </c>
      <c r="D6309" s="14" t="s">
        <v>12013</v>
      </c>
      <c r="E6309" s="9" t="s">
        <v>11</v>
      </c>
    </row>
    <row r="6310" spans="1:5" outlineLevel="1" x14ac:dyDescent="0.25">
      <c r="A6310" s="2"/>
      <c r="B6310" s="6" t="s">
        <v>12014</v>
      </c>
      <c r="C6310" s="8"/>
      <c r="D6310" s="8"/>
      <c r="E6310" s="8"/>
    </row>
    <row r="6311" spans="1:5" ht="15" customHeight="1" outlineLevel="2" x14ac:dyDescent="0.25">
      <c r="A6311" s="3" t="str">
        <f>HYPERLINK("http://mystore1.ru/price_items/search?utf8=%E2%9C%93&amp;oem=6260AGNBL1C","6260AGNBL1C")</f>
        <v>6260AGNBL1C</v>
      </c>
      <c r="B6311" s="1" t="s">
        <v>12015</v>
      </c>
      <c r="C6311" s="9" t="s">
        <v>52</v>
      </c>
      <c r="D6311" s="14" t="s">
        <v>12016</v>
      </c>
      <c r="E6311" s="9" t="s">
        <v>8</v>
      </c>
    </row>
    <row r="6312" spans="1:5" ht="15" customHeight="1" outlineLevel="2" x14ac:dyDescent="0.25">
      <c r="A6312" s="3" t="str">
        <f>HYPERLINK("http://mystore1.ru/price_items/search?utf8=%E2%9C%93&amp;oem=6260ASMT","6260ASMT")</f>
        <v>6260ASMT</v>
      </c>
      <c r="B6312" s="1" t="s">
        <v>12017</v>
      </c>
      <c r="C6312" s="9" t="s">
        <v>25</v>
      </c>
      <c r="D6312" s="14" t="s">
        <v>12018</v>
      </c>
      <c r="E6312" s="9" t="s">
        <v>27</v>
      </c>
    </row>
    <row r="6313" spans="1:5" outlineLevel="1" x14ac:dyDescent="0.25">
      <c r="A6313" s="2"/>
      <c r="B6313" s="6" t="s">
        <v>12019</v>
      </c>
      <c r="C6313" s="8"/>
      <c r="D6313" s="8"/>
      <c r="E6313" s="8"/>
    </row>
    <row r="6314" spans="1:5" ht="15" customHeight="1" outlineLevel="2" x14ac:dyDescent="0.25">
      <c r="A6314" s="3" t="str">
        <f>HYPERLINK("http://mystore1.ru/price_items/search?utf8=%E2%9C%93&amp;oem=6284ACL","6284ACL")</f>
        <v>6284ACL</v>
      </c>
      <c r="B6314" s="1" t="s">
        <v>12020</v>
      </c>
      <c r="C6314" s="9" t="s">
        <v>570</v>
      </c>
      <c r="D6314" s="14" t="s">
        <v>12021</v>
      </c>
      <c r="E6314" s="9" t="s">
        <v>8</v>
      </c>
    </row>
    <row r="6315" spans="1:5" ht="15" customHeight="1" outlineLevel="2" x14ac:dyDescent="0.25">
      <c r="A6315" s="3" t="str">
        <f>HYPERLINK("http://mystore1.ru/price_items/search?utf8=%E2%9C%93&amp;oem=6284ACL1B","6284ACL1B")</f>
        <v>6284ACL1B</v>
      </c>
      <c r="B6315" s="1" t="s">
        <v>12022</v>
      </c>
      <c r="C6315" s="9" t="s">
        <v>570</v>
      </c>
      <c r="D6315" s="14" t="s">
        <v>12021</v>
      </c>
      <c r="E6315" s="9" t="s">
        <v>8</v>
      </c>
    </row>
    <row r="6316" spans="1:5" ht="15" customHeight="1" outlineLevel="2" x14ac:dyDescent="0.25">
      <c r="A6316" s="3" t="str">
        <f>HYPERLINK("http://mystore1.ru/price_items/search?utf8=%E2%9C%93&amp;oem=6284AGN","6284AGN")</f>
        <v>6284AGN</v>
      </c>
      <c r="B6316" s="1" t="s">
        <v>12023</v>
      </c>
      <c r="C6316" s="9" t="s">
        <v>570</v>
      </c>
      <c r="D6316" s="14" t="s">
        <v>12024</v>
      </c>
      <c r="E6316" s="9" t="s">
        <v>8</v>
      </c>
    </row>
    <row r="6317" spans="1:5" ht="15" customHeight="1" outlineLevel="2" x14ac:dyDescent="0.25">
      <c r="A6317" s="3" t="str">
        <f>HYPERLINK("http://mystore1.ru/price_items/search?utf8=%E2%9C%93&amp;oem=6284AGN1B","6284AGN1B")</f>
        <v>6284AGN1B</v>
      </c>
      <c r="B6317" s="1" t="s">
        <v>12025</v>
      </c>
      <c r="C6317" s="9" t="s">
        <v>570</v>
      </c>
      <c r="D6317" s="14" t="s">
        <v>12026</v>
      </c>
      <c r="E6317" s="9" t="s">
        <v>8</v>
      </c>
    </row>
    <row r="6318" spans="1:5" ht="15" customHeight="1" outlineLevel="2" x14ac:dyDescent="0.25">
      <c r="A6318" s="3" t="str">
        <f>HYPERLINK("http://mystore1.ru/price_items/search?utf8=%E2%9C%93&amp;oem=6284AGNBL","6284AGNBL")</f>
        <v>6284AGNBL</v>
      </c>
      <c r="B6318" s="1" t="s">
        <v>12027</v>
      </c>
      <c r="C6318" s="9" t="s">
        <v>570</v>
      </c>
      <c r="D6318" s="14" t="s">
        <v>12028</v>
      </c>
      <c r="E6318" s="9" t="s">
        <v>8</v>
      </c>
    </row>
    <row r="6319" spans="1:5" ht="15" customHeight="1" outlineLevel="2" x14ac:dyDescent="0.25">
      <c r="A6319" s="3" t="str">
        <f>HYPERLINK("http://mystore1.ru/price_items/search?utf8=%E2%9C%93&amp;oem=6284AGNBL1B","6284AGNBL1B")</f>
        <v>6284AGNBL1B</v>
      </c>
      <c r="B6319" s="1" t="s">
        <v>12029</v>
      </c>
      <c r="C6319" s="9" t="s">
        <v>570</v>
      </c>
      <c r="D6319" s="14" t="s">
        <v>12028</v>
      </c>
      <c r="E6319" s="9" t="s">
        <v>8</v>
      </c>
    </row>
    <row r="6320" spans="1:5" ht="15" customHeight="1" outlineLevel="2" x14ac:dyDescent="0.25">
      <c r="A6320" s="3" t="str">
        <f>HYPERLINK("http://mystore1.ru/price_items/search?utf8=%E2%9C%93&amp;oem=6284AGSM2B","6284AGSM2B")</f>
        <v>6284AGSM2B</v>
      </c>
      <c r="B6320" s="1" t="s">
        <v>12030</v>
      </c>
      <c r="C6320" s="9" t="s">
        <v>570</v>
      </c>
      <c r="D6320" s="14" t="s">
        <v>12031</v>
      </c>
      <c r="E6320" s="9" t="s">
        <v>8</v>
      </c>
    </row>
    <row r="6321" spans="1:5" ht="15" customHeight="1" outlineLevel="2" x14ac:dyDescent="0.25">
      <c r="A6321" s="3" t="str">
        <f>HYPERLINK("http://mystore1.ru/price_items/search?utf8=%E2%9C%93&amp;oem=6284AKCH","6284AKCH")</f>
        <v>6284AKCH</v>
      </c>
      <c r="B6321" s="1" t="s">
        <v>12032</v>
      </c>
      <c r="C6321" s="9" t="s">
        <v>25</v>
      </c>
      <c r="D6321" s="14" t="s">
        <v>12033</v>
      </c>
      <c r="E6321" s="9" t="s">
        <v>27</v>
      </c>
    </row>
    <row r="6322" spans="1:5" ht="15" customHeight="1" outlineLevel="2" x14ac:dyDescent="0.25">
      <c r="A6322" s="3" t="str">
        <f>HYPERLINK("http://mystore1.ru/price_items/search?utf8=%E2%9C%93&amp;oem=6284AKCHS","6284AKCHS")</f>
        <v>6284AKCHS</v>
      </c>
      <c r="B6322" s="1" t="s">
        <v>12034</v>
      </c>
      <c r="C6322" s="9" t="s">
        <v>25</v>
      </c>
      <c r="D6322" s="14" t="s">
        <v>12035</v>
      </c>
      <c r="E6322" s="9" t="s">
        <v>27</v>
      </c>
    </row>
    <row r="6323" spans="1:5" ht="15" customHeight="1" outlineLevel="2" x14ac:dyDescent="0.25">
      <c r="A6323" s="3" t="str">
        <f>HYPERLINK("http://mystore1.ru/price_items/search?utf8=%E2%9C%93&amp;oem=6284AKMH","6284AKMH")</f>
        <v>6284AKMH</v>
      </c>
      <c r="B6323" s="1" t="s">
        <v>12036</v>
      </c>
      <c r="C6323" s="9" t="s">
        <v>25</v>
      </c>
      <c r="D6323" s="14" t="s">
        <v>12037</v>
      </c>
      <c r="E6323" s="9" t="s">
        <v>27</v>
      </c>
    </row>
    <row r="6324" spans="1:5" ht="15" customHeight="1" outlineLevel="2" x14ac:dyDescent="0.25">
      <c r="A6324" s="3" t="str">
        <f>HYPERLINK("http://mystore1.ru/price_items/search?utf8=%E2%9C%93&amp;oem=6284ASMHB","6284ASMHB")</f>
        <v>6284ASMHB</v>
      </c>
      <c r="B6324" s="1" t="s">
        <v>12038</v>
      </c>
      <c r="C6324" s="9" t="s">
        <v>25</v>
      </c>
      <c r="D6324" s="14" t="s">
        <v>12039</v>
      </c>
      <c r="E6324" s="9" t="s">
        <v>27</v>
      </c>
    </row>
    <row r="6325" spans="1:5" ht="15" customHeight="1" outlineLevel="2" x14ac:dyDescent="0.25">
      <c r="A6325" s="3" t="str">
        <f>HYPERLINK("http://mystore1.ru/price_items/search?utf8=%E2%9C%93&amp;oem=6284ASMHT","6284ASMHT")</f>
        <v>6284ASMHT</v>
      </c>
      <c r="B6325" s="1" t="s">
        <v>12040</v>
      </c>
      <c r="C6325" s="9" t="s">
        <v>25</v>
      </c>
      <c r="D6325" s="14" t="s">
        <v>12041</v>
      </c>
      <c r="E6325" s="9" t="s">
        <v>27</v>
      </c>
    </row>
    <row r="6326" spans="1:5" ht="15" customHeight="1" outlineLevel="2" x14ac:dyDescent="0.25">
      <c r="A6326" s="3" t="str">
        <f>HYPERLINK("http://mystore1.ru/price_items/search?utf8=%E2%9C%93&amp;oem=6284ASMHT6C","6284ASMHT6C")</f>
        <v>6284ASMHT6C</v>
      </c>
      <c r="B6326" s="1" t="s">
        <v>12042</v>
      </c>
      <c r="C6326" s="9" t="s">
        <v>25</v>
      </c>
      <c r="D6326" s="14" t="s">
        <v>12043</v>
      </c>
      <c r="E6326" s="9" t="s">
        <v>27</v>
      </c>
    </row>
    <row r="6327" spans="1:5" ht="15" customHeight="1" outlineLevel="2" x14ac:dyDescent="0.25">
      <c r="A6327" s="3" t="str">
        <f>HYPERLINK("http://mystore1.ru/price_items/search?utf8=%E2%9C%93&amp;oem=6284BGNE","6284BGNE")</f>
        <v>6284BGNE</v>
      </c>
      <c r="B6327" s="1" t="s">
        <v>12044</v>
      </c>
      <c r="C6327" s="9" t="s">
        <v>570</v>
      </c>
      <c r="D6327" s="14" t="s">
        <v>12045</v>
      </c>
      <c r="E6327" s="9" t="s">
        <v>30</v>
      </c>
    </row>
    <row r="6328" spans="1:5" ht="15" customHeight="1" outlineLevel="2" x14ac:dyDescent="0.25">
      <c r="A6328" s="3" t="str">
        <f>HYPERLINK("http://mystore1.ru/price_items/search?utf8=%E2%9C%93&amp;oem=6284BCLS","6284BCLS")</f>
        <v>6284BCLS</v>
      </c>
      <c r="B6328" s="1" t="s">
        <v>12046</v>
      </c>
      <c r="C6328" s="9" t="s">
        <v>570</v>
      </c>
      <c r="D6328" s="14" t="s">
        <v>12047</v>
      </c>
      <c r="E6328" s="9" t="s">
        <v>30</v>
      </c>
    </row>
    <row r="6329" spans="1:5" ht="15" customHeight="1" outlineLevel="2" x14ac:dyDescent="0.25">
      <c r="A6329" s="3" t="str">
        <f>HYPERLINK("http://mystore1.ru/price_items/search?utf8=%E2%9C%93&amp;oem=6284BGNHZ","6284BGNHZ")</f>
        <v>6284BGNHZ</v>
      </c>
      <c r="B6329" s="1" t="s">
        <v>12048</v>
      </c>
      <c r="C6329" s="9" t="s">
        <v>570</v>
      </c>
      <c r="D6329" s="14" t="s">
        <v>12049</v>
      </c>
      <c r="E6329" s="9" t="s">
        <v>30</v>
      </c>
    </row>
    <row r="6330" spans="1:5" ht="15" customHeight="1" outlineLevel="2" x14ac:dyDescent="0.25">
      <c r="A6330" s="3" t="str">
        <f>HYPERLINK("http://mystore1.ru/price_items/search?utf8=%E2%9C%93&amp;oem=6284BGNS","6284BGNS")</f>
        <v>6284BGNS</v>
      </c>
      <c r="B6330" s="1" t="s">
        <v>12050</v>
      </c>
      <c r="C6330" s="9" t="s">
        <v>570</v>
      </c>
      <c r="D6330" s="14" t="s">
        <v>12051</v>
      </c>
      <c r="E6330" s="9" t="s">
        <v>30</v>
      </c>
    </row>
    <row r="6331" spans="1:5" ht="15" customHeight="1" outlineLevel="2" x14ac:dyDescent="0.25">
      <c r="A6331" s="3" t="str">
        <f>HYPERLINK("http://mystore1.ru/price_items/search?utf8=%E2%9C%93&amp;oem=6284BSME","6284BSME")</f>
        <v>6284BSME</v>
      </c>
      <c r="B6331" s="1" t="s">
        <v>12052</v>
      </c>
      <c r="C6331" s="9" t="s">
        <v>25</v>
      </c>
      <c r="D6331" s="14" t="s">
        <v>12053</v>
      </c>
      <c r="E6331" s="9" t="s">
        <v>27</v>
      </c>
    </row>
    <row r="6332" spans="1:5" ht="15" customHeight="1" outlineLevel="2" x14ac:dyDescent="0.25">
      <c r="A6332" s="3" t="str">
        <f>HYPERLINK("http://mystore1.ru/price_items/search?utf8=%E2%9C%93&amp;oem=6284BSMH","6284BSMH")</f>
        <v>6284BSMH</v>
      </c>
      <c r="B6332" s="1" t="s">
        <v>12054</v>
      </c>
      <c r="C6332" s="9" t="s">
        <v>25</v>
      </c>
      <c r="D6332" s="14" t="s">
        <v>12055</v>
      </c>
      <c r="E6332" s="9" t="s">
        <v>27</v>
      </c>
    </row>
    <row r="6333" spans="1:5" ht="15" customHeight="1" outlineLevel="2" x14ac:dyDescent="0.25">
      <c r="A6333" s="3" t="str">
        <f>HYPERLINK("http://mystore1.ru/price_items/search?utf8=%E2%9C%93&amp;oem=6284LGNE5RDW","6284LGNE5RDW")</f>
        <v>6284LGNE5RDW</v>
      </c>
      <c r="B6333" s="1" t="s">
        <v>12056</v>
      </c>
      <c r="C6333" s="9" t="s">
        <v>570</v>
      </c>
      <c r="D6333" s="14" t="s">
        <v>12057</v>
      </c>
      <c r="E6333" s="9" t="s">
        <v>11</v>
      </c>
    </row>
    <row r="6334" spans="1:5" ht="15" customHeight="1" outlineLevel="2" x14ac:dyDescent="0.25">
      <c r="A6334" s="3" t="str">
        <f>HYPERLINK("http://mystore1.ru/price_items/search?utf8=%E2%9C%93&amp;oem=6284LGNH3FDW","6284LGNH3FDW")</f>
        <v>6284LGNH3FDW</v>
      </c>
      <c r="B6334" s="1" t="s">
        <v>12058</v>
      </c>
      <c r="C6334" s="9" t="s">
        <v>570</v>
      </c>
      <c r="D6334" s="14" t="s">
        <v>12059</v>
      </c>
      <c r="E6334" s="9" t="s">
        <v>11</v>
      </c>
    </row>
    <row r="6335" spans="1:5" ht="15" customHeight="1" outlineLevel="2" x14ac:dyDescent="0.25">
      <c r="A6335" s="3" t="str">
        <f>HYPERLINK("http://mystore1.ru/price_items/search?utf8=%E2%9C%93&amp;oem=6284LGNH5FDW","6284LGNH5FDW")</f>
        <v>6284LGNH5FDW</v>
      </c>
      <c r="B6335" s="1" t="s">
        <v>12060</v>
      </c>
      <c r="C6335" s="9" t="s">
        <v>570</v>
      </c>
      <c r="D6335" s="14" t="s">
        <v>12061</v>
      </c>
      <c r="E6335" s="9" t="s">
        <v>11</v>
      </c>
    </row>
    <row r="6336" spans="1:5" ht="15" customHeight="1" outlineLevel="2" x14ac:dyDescent="0.25">
      <c r="A6336" s="3" t="str">
        <f>HYPERLINK("http://mystore1.ru/price_items/search?utf8=%E2%9C%93&amp;oem=6284LGNH5RDW","6284LGNH5RDW")</f>
        <v>6284LGNH5RDW</v>
      </c>
      <c r="B6336" s="1" t="s">
        <v>12062</v>
      </c>
      <c r="C6336" s="9" t="s">
        <v>570</v>
      </c>
      <c r="D6336" s="14" t="s">
        <v>12063</v>
      </c>
      <c r="E6336" s="9" t="s">
        <v>11</v>
      </c>
    </row>
    <row r="6337" spans="1:5" ht="15" customHeight="1" outlineLevel="2" x14ac:dyDescent="0.25">
      <c r="A6337" s="3" t="str">
        <f>HYPERLINK("http://mystore1.ru/price_items/search?utf8=%E2%9C%93&amp;oem=6284LGNH5RV","6284LGNH5RV")</f>
        <v>6284LGNH5RV</v>
      </c>
      <c r="B6337" s="1" t="s">
        <v>12064</v>
      </c>
      <c r="C6337" s="9" t="s">
        <v>570</v>
      </c>
      <c r="D6337" s="14" t="s">
        <v>12065</v>
      </c>
      <c r="E6337" s="9" t="s">
        <v>11</v>
      </c>
    </row>
    <row r="6338" spans="1:5" ht="15" customHeight="1" outlineLevel="2" x14ac:dyDescent="0.25">
      <c r="A6338" s="3" t="str">
        <f>HYPERLINK("http://mystore1.ru/price_items/search?utf8=%E2%9C%93&amp;oem=6284RGNE5RDW","6284RGNE5RDW")</f>
        <v>6284RGNE5RDW</v>
      </c>
      <c r="B6338" s="1" t="s">
        <v>12066</v>
      </c>
      <c r="C6338" s="9" t="s">
        <v>570</v>
      </c>
      <c r="D6338" s="14" t="s">
        <v>12067</v>
      </c>
      <c r="E6338" s="9" t="s">
        <v>11</v>
      </c>
    </row>
    <row r="6339" spans="1:5" ht="15" customHeight="1" outlineLevel="2" x14ac:dyDescent="0.25">
      <c r="A6339" s="3" t="str">
        <f>HYPERLINK("http://mystore1.ru/price_items/search?utf8=%E2%9C%93&amp;oem=6284RGNE5RV","6284RGNE5RV")</f>
        <v>6284RGNE5RV</v>
      </c>
      <c r="B6339" s="1" t="s">
        <v>12068</v>
      </c>
      <c r="C6339" s="9" t="s">
        <v>570</v>
      </c>
      <c r="D6339" s="14" t="s">
        <v>12069</v>
      </c>
      <c r="E6339" s="9" t="s">
        <v>11</v>
      </c>
    </row>
    <row r="6340" spans="1:5" ht="15" customHeight="1" outlineLevel="2" x14ac:dyDescent="0.25">
      <c r="A6340" s="3" t="str">
        <f>HYPERLINK("http://mystore1.ru/price_items/search?utf8=%E2%9C%93&amp;oem=6284RGNH3FDW","6284RGNH3FDW")</f>
        <v>6284RGNH3FDW</v>
      </c>
      <c r="B6340" s="1" t="s">
        <v>12070</v>
      </c>
      <c r="C6340" s="9" t="s">
        <v>570</v>
      </c>
      <c r="D6340" s="14" t="s">
        <v>12071</v>
      </c>
      <c r="E6340" s="9" t="s">
        <v>11</v>
      </c>
    </row>
    <row r="6341" spans="1:5" ht="15" customHeight="1" outlineLevel="2" x14ac:dyDescent="0.25">
      <c r="A6341" s="3" t="str">
        <f>HYPERLINK("http://mystore1.ru/price_items/search?utf8=%E2%9C%93&amp;oem=6284RGNH5FDW","6284RGNH5FDW")</f>
        <v>6284RGNH5FDW</v>
      </c>
      <c r="B6341" s="1" t="s">
        <v>12072</v>
      </c>
      <c r="C6341" s="9" t="s">
        <v>570</v>
      </c>
      <c r="D6341" s="14" t="s">
        <v>12073</v>
      </c>
      <c r="E6341" s="9" t="s">
        <v>11</v>
      </c>
    </row>
    <row r="6342" spans="1:5" ht="15" customHeight="1" outlineLevel="2" x14ac:dyDescent="0.25">
      <c r="A6342" s="3" t="str">
        <f>HYPERLINK("http://mystore1.ru/price_items/search?utf8=%E2%9C%93&amp;oem=6284RGNH5RDW","6284RGNH5RDW")</f>
        <v>6284RGNH5RDW</v>
      </c>
      <c r="B6342" s="1" t="s">
        <v>12074</v>
      </c>
      <c r="C6342" s="9" t="s">
        <v>570</v>
      </c>
      <c r="D6342" s="14" t="s">
        <v>12075</v>
      </c>
      <c r="E6342" s="9" t="s">
        <v>11</v>
      </c>
    </row>
    <row r="6343" spans="1:5" ht="15" customHeight="1" outlineLevel="2" x14ac:dyDescent="0.25">
      <c r="A6343" s="3" t="str">
        <f>HYPERLINK("http://mystore1.ru/price_items/search?utf8=%E2%9C%93&amp;oem=6284RGNH5RV","6284RGNH5RV")</f>
        <v>6284RGNH5RV</v>
      </c>
      <c r="B6343" s="1" t="s">
        <v>12076</v>
      </c>
      <c r="C6343" s="9" t="s">
        <v>570</v>
      </c>
      <c r="D6343" s="14" t="s">
        <v>12077</v>
      </c>
      <c r="E6343" s="9" t="s">
        <v>11</v>
      </c>
    </row>
    <row r="6344" spans="1:5" outlineLevel="1" x14ac:dyDescent="0.25">
      <c r="A6344" s="2"/>
      <c r="B6344" s="6" t="s">
        <v>12078</v>
      </c>
      <c r="C6344" s="8"/>
      <c r="D6344" s="8"/>
      <c r="E6344" s="8"/>
    </row>
    <row r="6345" spans="1:5" ht="15" customHeight="1" outlineLevel="2" x14ac:dyDescent="0.25">
      <c r="A6345" s="3" t="str">
        <f>HYPERLINK("http://mystore1.ru/price_items/search?utf8=%E2%9C%93&amp;oem=6289ACC1B","6289ACC1B")</f>
        <v>6289ACC1B</v>
      </c>
      <c r="B6345" s="1" t="s">
        <v>12079</v>
      </c>
      <c r="C6345" s="9" t="s">
        <v>7279</v>
      </c>
      <c r="D6345" s="14" t="s">
        <v>12080</v>
      </c>
      <c r="E6345" s="9" t="s">
        <v>8</v>
      </c>
    </row>
    <row r="6346" spans="1:5" ht="15" customHeight="1" outlineLevel="2" x14ac:dyDescent="0.25">
      <c r="A6346" s="3" t="str">
        <f>HYPERLINK("http://mystore1.ru/price_items/search?utf8=%E2%9C%93&amp;oem=6289AGS1V","6289AGS1V")</f>
        <v>6289AGS1V</v>
      </c>
      <c r="B6346" s="1" t="s">
        <v>12081</v>
      </c>
      <c r="C6346" s="9" t="s">
        <v>2351</v>
      </c>
      <c r="D6346" s="14" t="s">
        <v>12082</v>
      </c>
      <c r="E6346" s="9" t="s">
        <v>8</v>
      </c>
    </row>
    <row r="6347" spans="1:5" outlineLevel="1" x14ac:dyDescent="0.25">
      <c r="A6347" s="2"/>
      <c r="B6347" s="6" t="s">
        <v>12083</v>
      </c>
      <c r="C6347" s="8"/>
      <c r="D6347" s="8"/>
      <c r="E6347" s="8"/>
    </row>
    <row r="6348" spans="1:5" ht="15" customHeight="1" outlineLevel="2" x14ac:dyDescent="0.25">
      <c r="A6348" s="3" t="str">
        <f>HYPERLINK("http://mystore1.ru/price_items/search?utf8=%E2%9C%93&amp;oem=6306AGNMVZ1R","6306AGNMVZ1R")</f>
        <v>6306AGNMVZ1R</v>
      </c>
      <c r="B6348" s="1" t="s">
        <v>12084</v>
      </c>
      <c r="C6348" s="9" t="s">
        <v>6077</v>
      </c>
      <c r="D6348" s="14" t="s">
        <v>12085</v>
      </c>
      <c r="E6348" s="9" t="s">
        <v>8</v>
      </c>
    </row>
    <row r="6349" spans="1:5" ht="15" customHeight="1" outlineLevel="2" x14ac:dyDescent="0.25">
      <c r="A6349" s="3" t="str">
        <f>HYPERLINK("http://mystore1.ru/price_items/search?utf8=%E2%9C%93&amp;oem=6306AGNVZ1M","6306AGNVZ1M")</f>
        <v>6306AGNVZ1M</v>
      </c>
      <c r="B6349" s="1" t="s">
        <v>12086</v>
      </c>
      <c r="C6349" s="9" t="s">
        <v>6077</v>
      </c>
      <c r="D6349" s="14" t="s">
        <v>12087</v>
      </c>
      <c r="E6349" s="9" t="s">
        <v>8</v>
      </c>
    </row>
    <row r="6350" spans="1:5" ht="15" customHeight="1" outlineLevel="2" x14ac:dyDescent="0.25">
      <c r="A6350" s="3" t="str">
        <f>HYPERLINK("http://mystore1.ru/price_items/search?utf8=%E2%9C%93&amp;oem=6306AGNVZ1Q","6306AGNVZ1Q")</f>
        <v>6306AGNVZ1Q</v>
      </c>
      <c r="B6350" s="1" t="s">
        <v>12088</v>
      </c>
      <c r="C6350" s="9" t="s">
        <v>6077</v>
      </c>
      <c r="D6350" s="14" t="s">
        <v>12087</v>
      </c>
      <c r="E6350" s="9" t="s">
        <v>8</v>
      </c>
    </row>
    <row r="6351" spans="1:5" ht="15" customHeight="1" outlineLevel="2" x14ac:dyDescent="0.25">
      <c r="A6351" s="3" t="str">
        <f>HYPERLINK("http://mystore1.ru/price_items/search?utf8=%E2%9C%93&amp;oem=6306BGNHZ","6306BGNHZ")</f>
        <v>6306BGNHZ</v>
      </c>
      <c r="B6351" s="1" t="s">
        <v>12089</v>
      </c>
      <c r="C6351" s="9" t="s">
        <v>6077</v>
      </c>
      <c r="D6351" s="14" t="s">
        <v>12090</v>
      </c>
      <c r="E6351" s="9" t="s">
        <v>30</v>
      </c>
    </row>
    <row r="6352" spans="1:5" ht="15" customHeight="1" outlineLevel="2" x14ac:dyDescent="0.25">
      <c r="A6352" s="3" t="str">
        <f>HYPERLINK("http://mystore1.ru/price_items/search?utf8=%E2%9C%93&amp;oem=6306LGNH3FDW","6306LGNH3FDW")</f>
        <v>6306LGNH3FDW</v>
      </c>
      <c r="B6352" s="1" t="s">
        <v>12091</v>
      </c>
      <c r="C6352" s="9" t="s">
        <v>6077</v>
      </c>
      <c r="D6352" s="14" t="s">
        <v>12092</v>
      </c>
      <c r="E6352" s="9" t="s">
        <v>11</v>
      </c>
    </row>
    <row r="6353" spans="1:5" ht="15" customHeight="1" outlineLevel="2" x14ac:dyDescent="0.25">
      <c r="A6353" s="3" t="str">
        <f>HYPERLINK("http://mystore1.ru/price_items/search?utf8=%E2%9C%93&amp;oem=6306RGNH3FDW","6306RGNH3FDW")</f>
        <v>6306RGNH3FDW</v>
      </c>
      <c r="B6353" s="1" t="s">
        <v>12093</v>
      </c>
      <c r="C6353" s="9" t="s">
        <v>6077</v>
      </c>
      <c r="D6353" s="14" t="s">
        <v>12094</v>
      </c>
      <c r="E6353" s="9" t="s">
        <v>11</v>
      </c>
    </row>
    <row r="6354" spans="1:5" outlineLevel="1" x14ac:dyDescent="0.25">
      <c r="A6354" s="2"/>
      <c r="B6354" s="6" t="s">
        <v>12095</v>
      </c>
      <c r="C6354" s="8"/>
      <c r="D6354" s="8"/>
      <c r="E6354" s="8"/>
    </row>
    <row r="6355" spans="1:5" ht="15" customHeight="1" outlineLevel="2" x14ac:dyDescent="0.25">
      <c r="A6355" s="3" t="str">
        <f>HYPERLINK("http://mystore1.ru/price_items/search?utf8=%E2%9C%93&amp;oem=6302AGNBLVZ1M","6302AGNBLVZ1M")</f>
        <v>6302AGNBLVZ1M</v>
      </c>
      <c r="B6355" s="1" t="s">
        <v>12096</v>
      </c>
      <c r="C6355" s="9" t="s">
        <v>6059</v>
      </c>
      <c r="D6355" s="14" t="s">
        <v>12097</v>
      </c>
      <c r="E6355" s="9" t="s">
        <v>8</v>
      </c>
    </row>
    <row r="6356" spans="1:5" ht="15" customHeight="1" outlineLevel="2" x14ac:dyDescent="0.25">
      <c r="A6356" s="3" t="str">
        <f>HYPERLINK("http://mystore1.ru/price_items/search?utf8=%E2%9C%93&amp;oem=6302AGNBLVZ6I","6302AGNBLVZ6I")</f>
        <v>6302AGNBLVZ6I</v>
      </c>
      <c r="B6356" s="1" t="s">
        <v>12098</v>
      </c>
      <c r="C6356" s="9" t="s">
        <v>6077</v>
      </c>
      <c r="D6356" s="14" t="s">
        <v>12099</v>
      </c>
      <c r="E6356" s="9" t="s">
        <v>8</v>
      </c>
    </row>
    <row r="6357" spans="1:5" ht="15" customHeight="1" outlineLevel="2" x14ac:dyDescent="0.25">
      <c r="A6357" s="3" t="str">
        <f>HYPERLINK("http://mystore1.ru/price_items/search?utf8=%E2%9C%93&amp;oem=6302AGNMVZ1R","6302AGNMVZ1R")</f>
        <v>6302AGNMVZ1R</v>
      </c>
      <c r="B6357" s="1" t="s">
        <v>12100</v>
      </c>
      <c r="C6357" s="9" t="s">
        <v>6238</v>
      </c>
      <c r="D6357" s="14" t="s">
        <v>12101</v>
      </c>
      <c r="E6357" s="9" t="s">
        <v>8</v>
      </c>
    </row>
    <row r="6358" spans="1:5" ht="15" customHeight="1" outlineLevel="2" x14ac:dyDescent="0.25">
      <c r="A6358" s="3" t="str">
        <f>HYPERLINK("http://mystore1.ru/price_items/search?utf8=%E2%9C%93&amp;oem=6302AGNVZ1M","6302AGNVZ1M")</f>
        <v>6302AGNVZ1M</v>
      </c>
      <c r="B6358" s="1" t="s">
        <v>12102</v>
      </c>
      <c r="C6358" s="9" t="s">
        <v>6059</v>
      </c>
      <c r="D6358" s="14" t="s">
        <v>12103</v>
      </c>
      <c r="E6358" s="9" t="s">
        <v>8</v>
      </c>
    </row>
    <row r="6359" spans="1:5" ht="15" customHeight="1" outlineLevel="2" x14ac:dyDescent="0.25">
      <c r="A6359" s="3" t="str">
        <f>HYPERLINK("http://mystore1.ru/price_items/search?utf8=%E2%9C%93&amp;oem=6302AGNVZ6I","6302AGNVZ6I")</f>
        <v>6302AGNVZ6I</v>
      </c>
      <c r="B6359" s="1" t="s">
        <v>12104</v>
      </c>
      <c r="C6359" s="9" t="s">
        <v>6077</v>
      </c>
      <c r="D6359" s="14" t="s">
        <v>12105</v>
      </c>
      <c r="E6359" s="9" t="s">
        <v>8</v>
      </c>
    </row>
    <row r="6360" spans="1:5" ht="15" customHeight="1" outlineLevel="2" x14ac:dyDescent="0.25">
      <c r="A6360" s="3" t="str">
        <f>HYPERLINK("http://mystore1.ru/price_items/search?utf8=%E2%9C%93&amp;oem=6302BGDEZ","6302BGDEZ")</f>
        <v>6302BGDEZ</v>
      </c>
      <c r="B6360" s="1" t="s">
        <v>12106</v>
      </c>
      <c r="C6360" s="9" t="s">
        <v>6238</v>
      </c>
      <c r="D6360" s="14" t="s">
        <v>12107</v>
      </c>
      <c r="E6360" s="9" t="s">
        <v>30</v>
      </c>
    </row>
    <row r="6361" spans="1:5" ht="15" customHeight="1" outlineLevel="2" x14ac:dyDescent="0.25">
      <c r="A6361" s="3" t="str">
        <f>HYPERLINK("http://mystore1.ru/price_items/search?utf8=%E2%9C%93&amp;oem=6302BGNE1E","6302BGNE1E")</f>
        <v>6302BGNE1E</v>
      </c>
      <c r="B6361" s="1" t="s">
        <v>12108</v>
      </c>
      <c r="C6361" s="9" t="s">
        <v>6238</v>
      </c>
      <c r="D6361" s="14" t="s">
        <v>12109</v>
      </c>
      <c r="E6361" s="9" t="s">
        <v>30</v>
      </c>
    </row>
    <row r="6362" spans="1:5" ht="15" customHeight="1" outlineLevel="2" x14ac:dyDescent="0.25">
      <c r="A6362" s="3" t="str">
        <f>HYPERLINK("http://mystore1.ru/price_items/search?utf8=%E2%9C%93&amp;oem=6302BGNEZ","6302BGNEZ")</f>
        <v>6302BGNEZ</v>
      </c>
      <c r="B6362" s="1" t="s">
        <v>12110</v>
      </c>
      <c r="C6362" s="9" t="s">
        <v>6238</v>
      </c>
      <c r="D6362" s="14" t="s">
        <v>12111</v>
      </c>
      <c r="E6362" s="9" t="s">
        <v>30</v>
      </c>
    </row>
    <row r="6363" spans="1:5" ht="15" customHeight="1" outlineLevel="2" x14ac:dyDescent="0.25">
      <c r="A6363" s="3" t="str">
        <f>HYPERLINK("http://mystore1.ru/price_items/search?utf8=%E2%9C%93&amp;oem=6302BGNHZ1E","6302BGNHZ1E")</f>
        <v>6302BGNHZ1E</v>
      </c>
      <c r="B6363" s="1" t="s">
        <v>12112</v>
      </c>
      <c r="C6363" s="9" t="s">
        <v>6238</v>
      </c>
      <c r="D6363" s="14" t="s">
        <v>12113</v>
      </c>
      <c r="E6363" s="9" t="s">
        <v>30</v>
      </c>
    </row>
    <row r="6364" spans="1:5" ht="15" customHeight="1" outlineLevel="2" x14ac:dyDescent="0.25">
      <c r="A6364" s="3" t="str">
        <f>HYPERLINK("http://mystore1.ru/price_items/search?utf8=%E2%9C%93&amp;oem=6302BGNHZ","6302BGNHZ")</f>
        <v>6302BGNHZ</v>
      </c>
      <c r="B6364" s="1" t="s">
        <v>12114</v>
      </c>
      <c r="C6364" s="9" t="s">
        <v>6238</v>
      </c>
      <c r="D6364" s="14" t="s">
        <v>12115</v>
      </c>
      <c r="E6364" s="9" t="s">
        <v>30</v>
      </c>
    </row>
    <row r="6365" spans="1:5" ht="15" customHeight="1" outlineLevel="2" x14ac:dyDescent="0.25">
      <c r="A6365" s="3" t="str">
        <f>HYPERLINK("http://mystore1.ru/price_items/search?utf8=%E2%9C%93&amp;oem=6302LGDE5RDW","6302LGDE5RDW")</f>
        <v>6302LGDE5RDW</v>
      </c>
      <c r="B6365" s="1" t="s">
        <v>12116</v>
      </c>
      <c r="C6365" s="9" t="s">
        <v>6238</v>
      </c>
      <c r="D6365" s="14" t="s">
        <v>12117</v>
      </c>
      <c r="E6365" s="9" t="s">
        <v>11</v>
      </c>
    </row>
    <row r="6366" spans="1:5" ht="15" customHeight="1" outlineLevel="2" x14ac:dyDescent="0.25">
      <c r="A6366" s="3" t="str">
        <f>HYPERLINK("http://mystore1.ru/price_items/search?utf8=%E2%9C%93&amp;oem=6302LGDE5RV","6302LGDE5RV")</f>
        <v>6302LGDE5RV</v>
      </c>
      <c r="B6366" s="1" t="s">
        <v>12118</v>
      </c>
      <c r="C6366" s="9" t="s">
        <v>6238</v>
      </c>
      <c r="D6366" s="14" t="s">
        <v>12119</v>
      </c>
      <c r="E6366" s="9" t="s">
        <v>11</v>
      </c>
    </row>
    <row r="6367" spans="1:5" ht="15" customHeight="1" outlineLevel="2" x14ac:dyDescent="0.25">
      <c r="A6367" s="3" t="str">
        <f>HYPERLINK("http://mystore1.ru/price_items/search?utf8=%E2%9C%93&amp;oem=6302LGNE5RDW","6302LGNE5RDW")</f>
        <v>6302LGNE5RDW</v>
      </c>
      <c r="B6367" s="1" t="s">
        <v>12120</v>
      </c>
      <c r="C6367" s="9" t="s">
        <v>6238</v>
      </c>
      <c r="D6367" s="14" t="s">
        <v>12121</v>
      </c>
      <c r="E6367" s="9" t="s">
        <v>11</v>
      </c>
    </row>
    <row r="6368" spans="1:5" ht="15" customHeight="1" outlineLevel="2" x14ac:dyDescent="0.25">
      <c r="A6368" s="3" t="str">
        <f>HYPERLINK("http://mystore1.ru/price_items/search?utf8=%E2%9C%93&amp;oem=6302LGNE5RV","6302LGNE5RV")</f>
        <v>6302LGNE5RV</v>
      </c>
      <c r="B6368" s="1" t="s">
        <v>12122</v>
      </c>
      <c r="C6368" s="9" t="s">
        <v>6238</v>
      </c>
      <c r="D6368" s="14" t="s">
        <v>12123</v>
      </c>
      <c r="E6368" s="9" t="s">
        <v>11</v>
      </c>
    </row>
    <row r="6369" spans="1:5" ht="15" customHeight="1" outlineLevel="2" x14ac:dyDescent="0.25">
      <c r="A6369" s="3" t="str">
        <f>HYPERLINK("http://mystore1.ru/price_items/search?utf8=%E2%9C%93&amp;oem=6302LGNH5FDW","6302LGNH5FDW")</f>
        <v>6302LGNH5FDW</v>
      </c>
      <c r="B6369" s="1" t="s">
        <v>12124</v>
      </c>
      <c r="C6369" s="9" t="s">
        <v>6238</v>
      </c>
      <c r="D6369" s="14" t="s">
        <v>12125</v>
      </c>
      <c r="E6369" s="9" t="s">
        <v>11</v>
      </c>
    </row>
    <row r="6370" spans="1:5" ht="15" customHeight="1" outlineLevel="2" x14ac:dyDescent="0.25">
      <c r="A6370" s="3" t="str">
        <f>HYPERLINK("http://mystore1.ru/price_items/search?utf8=%E2%9C%93&amp;oem=6302LGNH5RDW","6302LGNH5RDW")</f>
        <v>6302LGNH5RDW</v>
      </c>
      <c r="B6370" s="1" t="s">
        <v>12126</v>
      </c>
      <c r="C6370" s="9" t="s">
        <v>6238</v>
      </c>
      <c r="D6370" s="14" t="s">
        <v>12127</v>
      </c>
      <c r="E6370" s="9" t="s">
        <v>11</v>
      </c>
    </row>
    <row r="6371" spans="1:5" ht="15" customHeight="1" outlineLevel="2" x14ac:dyDescent="0.25">
      <c r="A6371" s="3" t="str">
        <f>HYPERLINK("http://mystore1.ru/price_items/search?utf8=%E2%9C%93&amp;oem=6302LGNH5RV","6302LGNH5RV")</f>
        <v>6302LGNH5RV</v>
      </c>
      <c r="B6371" s="1" t="s">
        <v>12128</v>
      </c>
      <c r="C6371" s="9" t="s">
        <v>6238</v>
      </c>
      <c r="D6371" s="14" t="s">
        <v>12129</v>
      </c>
      <c r="E6371" s="9" t="s">
        <v>11</v>
      </c>
    </row>
    <row r="6372" spans="1:5" ht="15" customHeight="1" outlineLevel="2" x14ac:dyDescent="0.25">
      <c r="A6372" s="3" t="str">
        <f>HYPERLINK("http://mystore1.ru/price_items/search?utf8=%E2%9C%93&amp;oem=6302RGDE5RDW","6302RGDE5RDW")</f>
        <v>6302RGDE5RDW</v>
      </c>
      <c r="B6372" s="1" t="s">
        <v>12130</v>
      </c>
      <c r="C6372" s="9" t="s">
        <v>6238</v>
      </c>
      <c r="D6372" s="14" t="s">
        <v>12131</v>
      </c>
      <c r="E6372" s="9" t="s">
        <v>11</v>
      </c>
    </row>
    <row r="6373" spans="1:5" ht="15" customHeight="1" outlineLevel="2" x14ac:dyDescent="0.25">
      <c r="A6373" s="3" t="str">
        <f>HYPERLINK("http://mystore1.ru/price_items/search?utf8=%E2%9C%93&amp;oem=6302RGNE5RDW","6302RGNE5RDW")</f>
        <v>6302RGNE5RDW</v>
      </c>
      <c r="B6373" s="1" t="s">
        <v>12132</v>
      </c>
      <c r="C6373" s="9" t="s">
        <v>6238</v>
      </c>
      <c r="D6373" s="14" t="s">
        <v>12133</v>
      </c>
      <c r="E6373" s="9" t="s">
        <v>11</v>
      </c>
    </row>
    <row r="6374" spans="1:5" ht="15" customHeight="1" outlineLevel="2" x14ac:dyDescent="0.25">
      <c r="A6374" s="3" t="str">
        <f>HYPERLINK("http://mystore1.ru/price_items/search?utf8=%E2%9C%93&amp;oem=6302RGNE5RV","6302RGNE5RV")</f>
        <v>6302RGNE5RV</v>
      </c>
      <c r="B6374" s="1" t="s">
        <v>12134</v>
      </c>
      <c r="C6374" s="9" t="s">
        <v>6238</v>
      </c>
      <c r="D6374" s="14" t="s">
        <v>12135</v>
      </c>
      <c r="E6374" s="9" t="s">
        <v>11</v>
      </c>
    </row>
    <row r="6375" spans="1:5" ht="15" customHeight="1" outlineLevel="2" x14ac:dyDescent="0.25">
      <c r="A6375" s="3" t="str">
        <f>HYPERLINK("http://mystore1.ru/price_items/search?utf8=%E2%9C%93&amp;oem=6302RGNH5FD","6302RGNH5FD")</f>
        <v>6302RGNH5FD</v>
      </c>
      <c r="B6375" s="1" t="s">
        <v>12136</v>
      </c>
      <c r="C6375" s="9" t="s">
        <v>6238</v>
      </c>
      <c r="D6375" s="14" t="s">
        <v>12137</v>
      </c>
      <c r="E6375" s="9" t="s">
        <v>11</v>
      </c>
    </row>
    <row r="6376" spans="1:5" ht="15" customHeight="1" outlineLevel="2" x14ac:dyDescent="0.25">
      <c r="A6376" s="3" t="str">
        <f>HYPERLINK("http://mystore1.ru/price_items/search?utf8=%E2%9C%93&amp;oem=6302RGNH5RDW","6302RGNH5RDW")</f>
        <v>6302RGNH5RDW</v>
      </c>
      <c r="B6376" s="1" t="s">
        <v>12138</v>
      </c>
      <c r="C6376" s="9" t="s">
        <v>6238</v>
      </c>
      <c r="D6376" s="14" t="s">
        <v>12139</v>
      </c>
      <c r="E6376" s="9" t="s">
        <v>11</v>
      </c>
    </row>
    <row r="6377" spans="1:5" ht="15" customHeight="1" outlineLevel="2" x14ac:dyDescent="0.25">
      <c r="A6377" s="3" t="str">
        <f>HYPERLINK("http://mystore1.ru/price_items/search?utf8=%E2%9C%93&amp;oem=6302RGNH5RV","6302RGNH5RV")</f>
        <v>6302RGNH5RV</v>
      </c>
      <c r="B6377" s="1" t="s">
        <v>12140</v>
      </c>
      <c r="C6377" s="9" t="s">
        <v>6238</v>
      </c>
      <c r="D6377" s="14" t="s">
        <v>12141</v>
      </c>
      <c r="E6377" s="9" t="s">
        <v>11</v>
      </c>
    </row>
    <row r="6378" spans="1:5" outlineLevel="1" x14ac:dyDescent="0.25">
      <c r="A6378" s="2"/>
      <c r="B6378" s="6" t="s">
        <v>12142</v>
      </c>
      <c r="C6378" s="8"/>
      <c r="D6378" s="8"/>
      <c r="E6378" s="8"/>
    </row>
    <row r="6379" spans="1:5" ht="15" customHeight="1" outlineLevel="2" x14ac:dyDescent="0.25">
      <c r="A6379" s="3" t="str">
        <f>HYPERLINK("http://mystore1.ru/price_items/search?utf8=%E2%9C%93&amp;oem=6324AGSIMVWZ1I","6324AGSIMVWZ1I")</f>
        <v>6324AGSIMVWZ1I</v>
      </c>
      <c r="B6379" s="1" t="s">
        <v>12143</v>
      </c>
      <c r="C6379" s="9" t="s">
        <v>369</v>
      </c>
      <c r="D6379" s="14" t="s">
        <v>12144</v>
      </c>
      <c r="E6379" s="9" t="s">
        <v>8</v>
      </c>
    </row>
    <row r="6380" spans="1:5" ht="15" customHeight="1" outlineLevel="2" x14ac:dyDescent="0.25">
      <c r="A6380" s="3" t="str">
        <f>HYPERLINK("http://mystore1.ru/price_items/search?utf8=%E2%9C%93&amp;oem=6324AGSIVWZ1B","6324AGSIVWZ1B")</f>
        <v>6324AGSIVWZ1B</v>
      </c>
      <c r="B6380" s="1" t="s">
        <v>12145</v>
      </c>
      <c r="C6380" s="9" t="s">
        <v>369</v>
      </c>
      <c r="D6380" s="14" t="s">
        <v>12146</v>
      </c>
      <c r="E6380" s="9" t="s">
        <v>8</v>
      </c>
    </row>
    <row r="6381" spans="1:5" ht="15" customHeight="1" outlineLevel="2" x14ac:dyDescent="0.25">
      <c r="A6381" s="3" t="str">
        <f>HYPERLINK("http://mystore1.ru/price_items/search?utf8=%E2%9C%93&amp;oem=6324AGSIMVWZ2I","6324AGSIMVWZ2I")</f>
        <v>6324AGSIMVWZ2I</v>
      </c>
      <c r="B6381" s="1" t="s">
        <v>12147</v>
      </c>
      <c r="C6381" s="9" t="s">
        <v>369</v>
      </c>
      <c r="D6381" s="14" t="s">
        <v>12144</v>
      </c>
      <c r="E6381" s="9" t="s">
        <v>8</v>
      </c>
    </row>
    <row r="6382" spans="1:5" outlineLevel="1" x14ac:dyDescent="0.25">
      <c r="A6382" s="2"/>
      <c r="B6382" s="6" t="s">
        <v>12148</v>
      </c>
      <c r="C6382" s="8"/>
      <c r="D6382" s="8"/>
      <c r="E6382" s="8"/>
    </row>
    <row r="6383" spans="1:5" ht="15" customHeight="1" outlineLevel="2" x14ac:dyDescent="0.25">
      <c r="A6383" s="3" t="str">
        <f>HYPERLINK("http://mystore1.ru/price_items/search?utf8=%E2%9C%93&amp;oem=6310AGSVZ1M","6310AGSVZ1M")</f>
        <v>6310AGSVZ1M</v>
      </c>
      <c r="B6383" s="1" t="s">
        <v>12149</v>
      </c>
      <c r="C6383" s="9" t="s">
        <v>687</v>
      </c>
      <c r="D6383" s="14" t="s">
        <v>12150</v>
      </c>
      <c r="E6383" s="9" t="s">
        <v>8</v>
      </c>
    </row>
    <row r="6384" spans="1:5" outlineLevel="1" x14ac:dyDescent="0.25">
      <c r="A6384" s="2"/>
      <c r="B6384" s="6" t="s">
        <v>740</v>
      </c>
      <c r="C6384" s="8"/>
      <c r="D6384" s="8"/>
      <c r="E6384" s="8"/>
    </row>
    <row r="6385" spans="1:5" ht="15" customHeight="1" outlineLevel="2" x14ac:dyDescent="0.25">
      <c r="A6385" s="3" t="str">
        <f>HYPERLINK("http://mystore1.ru/price_items/search?utf8=%E2%9C%93&amp;oem=6255ACL","6255ACL")</f>
        <v>6255ACL</v>
      </c>
      <c r="B6385" s="1" t="s">
        <v>12151</v>
      </c>
      <c r="C6385" s="9" t="s">
        <v>742</v>
      </c>
      <c r="D6385" s="14" t="s">
        <v>12152</v>
      </c>
      <c r="E6385" s="9" t="s">
        <v>8</v>
      </c>
    </row>
    <row r="6386" spans="1:5" outlineLevel="1" x14ac:dyDescent="0.25">
      <c r="A6386" s="2"/>
      <c r="B6386" s="6" t="s">
        <v>12153</v>
      </c>
      <c r="C6386" s="8"/>
      <c r="D6386" s="8"/>
      <c r="E6386" s="8"/>
    </row>
    <row r="6387" spans="1:5" ht="15" customHeight="1" outlineLevel="2" x14ac:dyDescent="0.25">
      <c r="A6387" s="3" t="str">
        <f>HYPERLINK("http://mystore1.ru/price_items/search?utf8=%E2%9C%93&amp;oem=6256AGNBL","6256AGNBL")</f>
        <v>6256AGNBL</v>
      </c>
      <c r="B6387" s="1" t="s">
        <v>12154</v>
      </c>
      <c r="C6387" s="9" t="s">
        <v>22</v>
      </c>
      <c r="D6387" s="14" t="s">
        <v>12155</v>
      </c>
      <c r="E6387" s="9" t="s">
        <v>8</v>
      </c>
    </row>
    <row r="6388" spans="1:5" ht="15" customHeight="1" outlineLevel="2" x14ac:dyDescent="0.25">
      <c r="A6388" s="3" t="str">
        <f>HYPERLINK("http://mystore1.ru/price_items/search?utf8=%E2%9C%93&amp;oem=6256AGNBL1C","6256AGNBL1C")</f>
        <v>6256AGNBL1C</v>
      </c>
      <c r="B6388" s="1" t="s">
        <v>12156</v>
      </c>
      <c r="C6388" s="9" t="s">
        <v>5213</v>
      </c>
      <c r="D6388" s="14" t="s">
        <v>12157</v>
      </c>
      <c r="E6388" s="9" t="s">
        <v>8</v>
      </c>
    </row>
    <row r="6389" spans="1:5" ht="15" customHeight="1" outlineLevel="2" x14ac:dyDescent="0.25">
      <c r="A6389" s="3" t="str">
        <f>HYPERLINK("http://mystore1.ru/price_items/search?utf8=%E2%9C%93&amp;oem=6256ASMC","6256ASMC")</f>
        <v>6256ASMC</v>
      </c>
      <c r="B6389" s="1" t="s">
        <v>12158</v>
      </c>
      <c r="C6389" s="9" t="s">
        <v>25</v>
      </c>
      <c r="D6389" s="14" t="s">
        <v>12159</v>
      </c>
      <c r="E6389" s="9" t="s">
        <v>27</v>
      </c>
    </row>
    <row r="6390" spans="1:5" ht="15" customHeight="1" outlineLevel="2" x14ac:dyDescent="0.25">
      <c r="A6390" s="3" t="str">
        <f>HYPERLINK("http://mystore1.ru/price_items/search?utf8=%E2%9C%93&amp;oem=6256BGNCZ","6256BGNCZ")</f>
        <v>6256BGNCZ</v>
      </c>
      <c r="B6390" s="1" t="s">
        <v>12160</v>
      </c>
      <c r="C6390" s="9" t="s">
        <v>22</v>
      </c>
      <c r="D6390" s="14" t="s">
        <v>12161</v>
      </c>
      <c r="E6390" s="9" t="s">
        <v>30</v>
      </c>
    </row>
    <row r="6391" spans="1:5" outlineLevel="1" x14ac:dyDescent="0.25">
      <c r="A6391" s="2"/>
      <c r="B6391" s="6" t="s">
        <v>12162</v>
      </c>
      <c r="C6391" s="8"/>
      <c r="D6391" s="8"/>
      <c r="E6391" s="8"/>
    </row>
    <row r="6392" spans="1:5" ht="15" customHeight="1" outlineLevel="2" x14ac:dyDescent="0.25">
      <c r="A6392" s="3" t="str">
        <f>HYPERLINK("http://mystore1.ru/price_items/search?utf8=%E2%9C%93&amp;oem=6238ACL","6238ACL")</f>
        <v>6238ACL</v>
      </c>
      <c r="B6392" s="1" t="s">
        <v>12163</v>
      </c>
      <c r="C6392" s="9" t="s">
        <v>12164</v>
      </c>
      <c r="D6392" s="14" t="s">
        <v>12165</v>
      </c>
      <c r="E6392" s="9" t="s">
        <v>8</v>
      </c>
    </row>
    <row r="6393" spans="1:5" outlineLevel="1" x14ac:dyDescent="0.25">
      <c r="A6393" s="2"/>
      <c r="B6393" s="6" t="s">
        <v>12166</v>
      </c>
      <c r="C6393" s="8"/>
      <c r="D6393" s="8"/>
      <c r="E6393" s="8"/>
    </row>
    <row r="6394" spans="1:5" ht="15" customHeight="1" outlineLevel="2" x14ac:dyDescent="0.25">
      <c r="A6394" s="3" t="str">
        <f>HYPERLINK("http://mystore1.ru/price_items/search?utf8=%E2%9C%93&amp;oem=6292AGS","6292AGS")</f>
        <v>6292AGS</v>
      </c>
      <c r="B6394" s="1" t="s">
        <v>12167</v>
      </c>
      <c r="C6394" s="9" t="s">
        <v>1423</v>
      </c>
      <c r="D6394" s="14" t="s">
        <v>12168</v>
      </c>
      <c r="E6394" s="9" t="s">
        <v>8</v>
      </c>
    </row>
    <row r="6395" spans="1:5" ht="15" customHeight="1" outlineLevel="2" x14ac:dyDescent="0.25">
      <c r="A6395" s="3" t="str">
        <f>HYPERLINK("http://mystore1.ru/price_items/search?utf8=%E2%9C%93&amp;oem=6292AGSBL","6292AGSBL")</f>
        <v>6292AGSBL</v>
      </c>
      <c r="B6395" s="1" t="s">
        <v>12169</v>
      </c>
      <c r="C6395" s="9" t="s">
        <v>1423</v>
      </c>
      <c r="D6395" s="14" t="s">
        <v>12170</v>
      </c>
      <c r="E6395" s="9" t="s">
        <v>8</v>
      </c>
    </row>
    <row r="6396" spans="1:5" ht="15" customHeight="1" outlineLevel="2" x14ac:dyDescent="0.25">
      <c r="A6396" s="3" t="str">
        <f>HYPERLINK("http://mystore1.ru/price_items/search?utf8=%E2%9C%93&amp;oem=6292ASMVT","6292ASMVT")</f>
        <v>6292ASMVT</v>
      </c>
      <c r="B6396" s="1" t="s">
        <v>12171</v>
      </c>
      <c r="C6396" s="9" t="s">
        <v>25</v>
      </c>
      <c r="D6396" s="14" t="s">
        <v>12172</v>
      </c>
      <c r="E6396" s="9" t="s">
        <v>27</v>
      </c>
    </row>
    <row r="6397" spans="1:5" ht="15" customHeight="1" outlineLevel="2" x14ac:dyDescent="0.25">
      <c r="A6397" s="3" t="str">
        <f>HYPERLINK("http://mystore1.ru/price_items/search?utf8=%E2%9C%93&amp;oem=6292BGSVBL","6292BGSVBL")</f>
        <v>6292BGSVBL</v>
      </c>
      <c r="B6397" s="1" t="s">
        <v>12173</v>
      </c>
      <c r="C6397" s="9" t="s">
        <v>1423</v>
      </c>
      <c r="D6397" s="14" t="s">
        <v>12174</v>
      </c>
      <c r="E6397" s="9" t="s">
        <v>30</v>
      </c>
    </row>
    <row r="6398" spans="1:5" ht="15" customHeight="1" outlineLevel="2" x14ac:dyDescent="0.25">
      <c r="A6398" s="3" t="str">
        <f>HYPERLINK("http://mystore1.ru/price_items/search?utf8=%E2%9C%93&amp;oem=6292BGSVBR","6292BGSVBR")</f>
        <v>6292BGSVBR</v>
      </c>
      <c r="B6398" s="1" t="s">
        <v>12175</v>
      </c>
      <c r="C6398" s="9" t="s">
        <v>1423</v>
      </c>
      <c r="D6398" s="14" t="s">
        <v>12176</v>
      </c>
      <c r="E6398" s="9" t="s">
        <v>30</v>
      </c>
    </row>
    <row r="6399" spans="1:5" outlineLevel="1" x14ac:dyDescent="0.25">
      <c r="A6399" s="2"/>
      <c r="B6399" s="6" t="s">
        <v>12177</v>
      </c>
      <c r="C6399" s="8"/>
      <c r="D6399" s="8"/>
      <c r="E6399" s="8"/>
    </row>
    <row r="6400" spans="1:5" ht="15" customHeight="1" outlineLevel="2" x14ac:dyDescent="0.25">
      <c r="A6400" s="3" t="str">
        <f>HYPERLINK("http://mystore1.ru/price_items/search?utf8=%E2%9C%93&amp;oem=6245ACL","6245ACL")</f>
        <v>6245ACL</v>
      </c>
      <c r="B6400" s="1" t="s">
        <v>12178</v>
      </c>
      <c r="C6400" s="9" t="s">
        <v>1749</v>
      </c>
      <c r="D6400" s="14" t="s">
        <v>12179</v>
      </c>
      <c r="E6400" s="9" t="s">
        <v>8</v>
      </c>
    </row>
    <row r="6401" spans="1:5" ht="15" customHeight="1" outlineLevel="2" x14ac:dyDescent="0.25">
      <c r="A6401" s="3" t="str">
        <f>HYPERLINK("http://mystore1.ru/price_items/search?utf8=%E2%9C%93&amp;oem=6245AGNBL","6245AGNBL")</f>
        <v>6245AGNBL</v>
      </c>
      <c r="B6401" s="1" t="s">
        <v>12180</v>
      </c>
      <c r="C6401" s="9" t="s">
        <v>1749</v>
      </c>
      <c r="D6401" s="14" t="s">
        <v>12181</v>
      </c>
      <c r="E6401" s="9" t="s">
        <v>8</v>
      </c>
    </row>
    <row r="6402" spans="1:5" ht="15" customHeight="1" outlineLevel="2" x14ac:dyDescent="0.25">
      <c r="A6402" s="3" t="str">
        <f>HYPERLINK("http://mystore1.ru/price_items/search?utf8=%E2%9C%93&amp;oem=6245AGNGN","6245AGNGN")</f>
        <v>6245AGNGN</v>
      </c>
      <c r="B6402" s="1" t="s">
        <v>12182</v>
      </c>
      <c r="C6402" s="9" t="s">
        <v>1749</v>
      </c>
      <c r="D6402" s="14" t="s">
        <v>12183</v>
      </c>
      <c r="E6402" s="9" t="s">
        <v>8</v>
      </c>
    </row>
    <row r="6403" spans="1:5" ht="15" customHeight="1" outlineLevel="2" x14ac:dyDescent="0.25">
      <c r="A6403" s="3" t="str">
        <f>HYPERLINK("http://mystore1.ru/price_items/search?utf8=%E2%9C%93&amp;oem=6245ASRH","6245ASRH")</f>
        <v>6245ASRH</v>
      </c>
      <c r="B6403" s="1" t="s">
        <v>12184</v>
      </c>
      <c r="C6403" s="9" t="s">
        <v>25</v>
      </c>
      <c r="D6403" s="14" t="s">
        <v>12185</v>
      </c>
      <c r="E6403" s="9" t="s">
        <v>27</v>
      </c>
    </row>
    <row r="6404" spans="1:5" ht="15" customHeight="1" outlineLevel="2" x14ac:dyDescent="0.25">
      <c r="A6404" s="3" t="str">
        <f>HYPERLINK("http://mystore1.ru/price_items/search?utf8=%E2%9C%93&amp;oem=6245BCLH","6245BCLH")</f>
        <v>6245BCLH</v>
      </c>
      <c r="B6404" s="1" t="s">
        <v>12186</v>
      </c>
      <c r="C6404" s="9" t="s">
        <v>1749</v>
      </c>
      <c r="D6404" s="14" t="s">
        <v>12187</v>
      </c>
      <c r="E6404" s="9" t="s">
        <v>30</v>
      </c>
    </row>
    <row r="6405" spans="1:5" ht="15" customHeight="1" outlineLevel="2" x14ac:dyDescent="0.25">
      <c r="A6405" s="3" t="str">
        <f>HYPERLINK("http://mystore1.ru/price_items/search?utf8=%E2%9C%93&amp;oem=6245LCLH3FD","6245LCLH3FD")</f>
        <v>6245LCLH3FD</v>
      </c>
      <c r="B6405" s="1" t="s">
        <v>12188</v>
      </c>
      <c r="C6405" s="9" t="s">
        <v>1749</v>
      </c>
      <c r="D6405" s="14" t="s">
        <v>12189</v>
      </c>
      <c r="E6405" s="9" t="s">
        <v>11</v>
      </c>
    </row>
    <row r="6406" spans="1:5" ht="15" customHeight="1" outlineLevel="2" x14ac:dyDescent="0.25">
      <c r="A6406" s="3" t="str">
        <f>HYPERLINK("http://mystore1.ru/price_items/search?utf8=%E2%9C%93&amp;oem=6245LCLH3FV","6245LCLH3FV")</f>
        <v>6245LCLH3FV</v>
      </c>
      <c r="B6406" s="1" t="s">
        <v>12190</v>
      </c>
      <c r="C6406" s="9" t="s">
        <v>1749</v>
      </c>
      <c r="D6406" s="14" t="s">
        <v>12191</v>
      </c>
      <c r="E6406" s="9" t="s">
        <v>11</v>
      </c>
    </row>
    <row r="6407" spans="1:5" ht="15" customHeight="1" outlineLevel="2" x14ac:dyDescent="0.25">
      <c r="A6407" s="3" t="str">
        <f>HYPERLINK("http://mystore1.ru/price_items/search?utf8=%E2%9C%93&amp;oem=6245LCLH3RQ","6245LCLH3RQ")</f>
        <v>6245LCLH3RQ</v>
      </c>
      <c r="B6407" s="1" t="s">
        <v>12192</v>
      </c>
      <c r="C6407" s="9" t="s">
        <v>1749</v>
      </c>
      <c r="D6407" s="14" t="s">
        <v>12193</v>
      </c>
      <c r="E6407" s="9" t="s">
        <v>11</v>
      </c>
    </row>
    <row r="6408" spans="1:5" ht="15" customHeight="1" outlineLevel="2" x14ac:dyDescent="0.25">
      <c r="A6408" s="3" t="str">
        <f>HYPERLINK("http://mystore1.ru/price_items/search?utf8=%E2%9C%93&amp;oem=6245LCLH5RV","6245LCLH5RV")</f>
        <v>6245LCLH5RV</v>
      </c>
      <c r="B6408" s="1" t="s">
        <v>12194</v>
      </c>
      <c r="C6408" s="9" t="s">
        <v>1749</v>
      </c>
      <c r="D6408" s="14" t="s">
        <v>12193</v>
      </c>
      <c r="E6408" s="9" t="s">
        <v>11</v>
      </c>
    </row>
    <row r="6409" spans="1:5" ht="15" customHeight="1" outlineLevel="2" x14ac:dyDescent="0.25">
      <c r="A6409" s="3" t="str">
        <f>HYPERLINK("http://mystore1.ru/price_items/search?utf8=%E2%9C%93&amp;oem=6245LGNH3FV","6245LGNH3FV")</f>
        <v>6245LGNH3FV</v>
      </c>
      <c r="B6409" s="1" t="s">
        <v>12195</v>
      </c>
      <c r="C6409" s="9" t="s">
        <v>1749</v>
      </c>
      <c r="D6409" s="14" t="s">
        <v>12196</v>
      </c>
      <c r="E6409" s="9" t="s">
        <v>11</v>
      </c>
    </row>
    <row r="6410" spans="1:5" ht="15" customHeight="1" outlineLevel="2" x14ac:dyDescent="0.25">
      <c r="A6410" s="3" t="str">
        <f>HYPERLINK("http://mystore1.ru/price_items/search?utf8=%E2%9C%93&amp;oem=6245LGNH5FD","6245LGNH5FD")</f>
        <v>6245LGNH5FD</v>
      </c>
      <c r="B6410" s="1" t="s">
        <v>12197</v>
      </c>
      <c r="C6410" s="9" t="s">
        <v>1749</v>
      </c>
      <c r="D6410" s="14" t="s">
        <v>12198</v>
      </c>
      <c r="E6410" s="9" t="s">
        <v>11</v>
      </c>
    </row>
    <row r="6411" spans="1:5" ht="15" customHeight="1" outlineLevel="2" x14ac:dyDescent="0.25">
      <c r="A6411" s="3" t="str">
        <f>HYPERLINK("http://mystore1.ru/price_items/search?utf8=%E2%9C%93&amp;oem=6245RCLH3FD","6245RCLH3FD")</f>
        <v>6245RCLH3FD</v>
      </c>
      <c r="B6411" s="1" t="s">
        <v>12199</v>
      </c>
      <c r="C6411" s="9" t="s">
        <v>1749</v>
      </c>
      <c r="D6411" s="14" t="s">
        <v>12200</v>
      </c>
      <c r="E6411" s="9" t="s">
        <v>11</v>
      </c>
    </row>
    <row r="6412" spans="1:5" ht="15" customHeight="1" outlineLevel="2" x14ac:dyDescent="0.25">
      <c r="A6412" s="3" t="str">
        <f>HYPERLINK("http://mystore1.ru/price_items/search?utf8=%E2%9C%93&amp;oem=6245RCLH3FV","6245RCLH3FV")</f>
        <v>6245RCLH3FV</v>
      </c>
      <c r="B6412" s="1" t="s">
        <v>12201</v>
      </c>
      <c r="C6412" s="9" t="s">
        <v>1749</v>
      </c>
      <c r="D6412" s="14" t="s">
        <v>12202</v>
      </c>
      <c r="E6412" s="9" t="s">
        <v>11</v>
      </c>
    </row>
    <row r="6413" spans="1:5" ht="15" customHeight="1" outlineLevel="2" x14ac:dyDescent="0.25">
      <c r="A6413" s="3" t="str">
        <f>HYPERLINK("http://mystore1.ru/price_items/search?utf8=%E2%9C%93&amp;oem=6245RCLH3RQ","6245RCLH3RQ")</f>
        <v>6245RCLH3RQ</v>
      </c>
      <c r="B6413" s="1" t="s">
        <v>12203</v>
      </c>
      <c r="C6413" s="9" t="s">
        <v>1749</v>
      </c>
      <c r="D6413" s="14" t="s">
        <v>12204</v>
      </c>
      <c r="E6413" s="9" t="s">
        <v>11</v>
      </c>
    </row>
    <row r="6414" spans="1:5" ht="15" customHeight="1" outlineLevel="2" x14ac:dyDescent="0.25">
      <c r="A6414" s="3" t="str">
        <f>HYPERLINK("http://mystore1.ru/price_items/search?utf8=%E2%9C%93&amp;oem=6245RCLH5FD","6245RCLH5FD")</f>
        <v>6245RCLH5FD</v>
      </c>
      <c r="B6414" s="1" t="s">
        <v>12205</v>
      </c>
      <c r="C6414" s="9" t="s">
        <v>1749</v>
      </c>
      <c r="D6414" s="14" t="s">
        <v>12200</v>
      </c>
      <c r="E6414" s="9" t="s">
        <v>11</v>
      </c>
    </row>
    <row r="6415" spans="1:5" ht="15" customHeight="1" outlineLevel="2" x14ac:dyDescent="0.25">
      <c r="A6415" s="3" t="str">
        <f>HYPERLINK("http://mystore1.ru/price_items/search?utf8=%E2%9C%93&amp;oem=6245RCLH5RV","6245RCLH5RV")</f>
        <v>6245RCLH5RV</v>
      </c>
      <c r="B6415" s="1" t="s">
        <v>12206</v>
      </c>
      <c r="C6415" s="9" t="s">
        <v>1749</v>
      </c>
      <c r="D6415" s="14" t="s">
        <v>12207</v>
      </c>
      <c r="E6415" s="9" t="s">
        <v>11</v>
      </c>
    </row>
    <row r="6416" spans="1:5" ht="15" customHeight="1" outlineLevel="2" x14ac:dyDescent="0.25">
      <c r="A6416" s="3" t="str">
        <f>HYPERLINK("http://mystore1.ru/price_items/search?utf8=%E2%9C%93&amp;oem=6245RGNH3FV","6245RGNH3FV")</f>
        <v>6245RGNH3FV</v>
      </c>
      <c r="B6416" s="1" t="s">
        <v>12208</v>
      </c>
      <c r="C6416" s="9" t="s">
        <v>1749</v>
      </c>
      <c r="D6416" s="14" t="s">
        <v>12209</v>
      </c>
      <c r="E6416" s="9" t="s">
        <v>11</v>
      </c>
    </row>
    <row r="6417" spans="1:5" ht="15" customHeight="1" outlineLevel="2" x14ac:dyDescent="0.25">
      <c r="A6417" s="3" t="str">
        <f>HYPERLINK("http://mystore1.ru/price_items/search?utf8=%E2%9C%93&amp;oem=6245RGNH5FD","6245RGNH5FD")</f>
        <v>6245RGNH5FD</v>
      </c>
      <c r="B6417" s="1" t="s">
        <v>12210</v>
      </c>
      <c r="C6417" s="9" t="s">
        <v>1749</v>
      </c>
      <c r="D6417" s="14" t="s">
        <v>12211</v>
      </c>
      <c r="E6417" s="9" t="s">
        <v>11</v>
      </c>
    </row>
    <row r="6418" spans="1:5" outlineLevel="1" x14ac:dyDescent="0.25">
      <c r="A6418" s="2"/>
      <c r="B6418" s="6" t="s">
        <v>12212</v>
      </c>
      <c r="C6418" s="8"/>
      <c r="D6418" s="8"/>
      <c r="E6418" s="8"/>
    </row>
    <row r="6419" spans="1:5" ht="15" customHeight="1" outlineLevel="2" x14ac:dyDescent="0.25">
      <c r="A6419" s="3" t="str">
        <f>HYPERLINK("http://mystore1.ru/price_items/search?utf8=%E2%9C%93&amp;oem=6259ACL","6259ACL")</f>
        <v>6259ACL</v>
      </c>
      <c r="B6419" s="1" t="s">
        <v>12213</v>
      </c>
      <c r="C6419" s="9" t="s">
        <v>2846</v>
      </c>
      <c r="D6419" s="14" t="s">
        <v>12214</v>
      </c>
      <c r="E6419" s="9" t="s">
        <v>8</v>
      </c>
    </row>
    <row r="6420" spans="1:5" ht="15" customHeight="1" outlineLevel="2" x14ac:dyDescent="0.25">
      <c r="A6420" s="3" t="str">
        <f>HYPERLINK("http://mystore1.ru/price_items/search?utf8=%E2%9C%93&amp;oem=6259AGN","6259AGN")</f>
        <v>6259AGN</v>
      </c>
      <c r="B6420" s="1" t="s">
        <v>12215</v>
      </c>
      <c r="C6420" s="9" t="s">
        <v>2846</v>
      </c>
      <c r="D6420" s="14" t="s">
        <v>12216</v>
      </c>
      <c r="E6420" s="9" t="s">
        <v>8</v>
      </c>
    </row>
    <row r="6421" spans="1:5" ht="15" customHeight="1" outlineLevel="2" x14ac:dyDescent="0.25">
      <c r="A6421" s="3" t="str">
        <f>HYPERLINK("http://mystore1.ru/price_items/search?utf8=%E2%9C%93&amp;oem=6259AGNBL","6259AGNBL")</f>
        <v>6259AGNBL</v>
      </c>
      <c r="B6421" s="1" t="s">
        <v>12217</v>
      </c>
      <c r="C6421" s="9" t="s">
        <v>2846</v>
      </c>
      <c r="D6421" s="14" t="s">
        <v>12218</v>
      </c>
      <c r="E6421" s="9" t="s">
        <v>8</v>
      </c>
    </row>
    <row r="6422" spans="1:5" ht="15" customHeight="1" outlineLevel="2" x14ac:dyDescent="0.25">
      <c r="A6422" s="3" t="str">
        <f>HYPERLINK("http://mystore1.ru/price_items/search?utf8=%E2%9C%93&amp;oem=6259AGNGN","6259AGNGN")</f>
        <v>6259AGNGN</v>
      </c>
      <c r="B6422" s="1" t="s">
        <v>12219</v>
      </c>
      <c r="C6422" s="9" t="s">
        <v>2846</v>
      </c>
      <c r="D6422" s="14" t="s">
        <v>12220</v>
      </c>
      <c r="E6422" s="9" t="s">
        <v>8</v>
      </c>
    </row>
    <row r="6423" spans="1:5" ht="15" customHeight="1" outlineLevel="2" x14ac:dyDescent="0.25">
      <c r="A6423" s="3" t="str">
        <f>HYPERLINK("http://mystore1.ru/price_items/search?utf8=%E2%9C%93&amp;oem=6259ASMH","6259ASMH")</f>
        <v>6259ASMH</v>
      </c>
      <c r="B6423" s="1" t="s">
        <v>12221</v>
      </c>
      <c r="C6423" s="9" t="s">
        <v>25</v>
      </c>
      <c r="D6423" s="14" t="s">
        <v>12222</v>
      </c>
      <c r="E6423" s="9" t="s">
        <v>27</v>
      </c>
    </row>
    <row r="6424" spans="1:5" ht="15" customHeight="1" outlineLevel="2" x14ac:dyDescent="0.25">
      <c r="A6424" s="3" t="str">
        <f>HYPERLINK("http://mystore1.ru/price_items/search?utf8=%E2%9C%93&amp;oem=6259BCLH","6259BCLH")</f>
        <v>6259BCLH</v>
      </c>
      <c r="B6424" s="1" t="s">
        <v>12223</v>
      </c>
      <c r="C6424" s="9" t="s">
        <v>2846</v>
      </c>
      <c r="D6424" s="14" t="s">
        <v>12224</v>
      </c>
      <c r="E6424" s="9" t="s">
        <v>30</v>
      </c>
    </row>
    <row r="6425" spans="1:5" ht="15" customHeight="1" outlineLevel="2" x14ac:dyDescent="0.25">
      <c r="A6425" s="3" t="str">
        <f>HYPERLINK("http://mystore1.ru/price_items/search?utf8=%E2%9C%93&amp;oem=6259BCLH1J","6259BCLH1J")</f>
        <v>6259BCLH1J</v>
      </c>
      <c r="B6425" s="1" t="s">
        <v>12225</v>
      </c>
      <c r="C6425" s="9" t="s">
        <v>2846</v>
      </c>
      <c r="D6425" s="14" t="s">
        <v>12226</v>
      </c>
      <c r="E6425" s="9" t="s">
        <v>30</v>
      </c>
    </row>
    <row r="6426" spans="1:5" ht="15" customHeight="1" outlineLevel="2" x14ac:dyDescent="0.25">
      <c r="A6426" s="3" t="str">
        <f>HYPERLINK("http://mystore1.ru/price_items/search?utf8=%E2%9C%93&amp;oem=6259BCLVL","6259BCLVL")</f>
        <v>6259BCLVL</v>
      </c>
      <c r="B6426" s="1" t="s">
        <v>12227</v>
      </c>
      <c r="C6426" s="9" t="s">
        <v>2846</v>
      </c>
      <c r="D6426" s="14" t="s">
        <v>12228</v>
      </c>
      <c r="E6426" s="9" t="s">
        <v>30</v>
      </c>
    </row>
    <row r="6427" spans="1:5" ht="15" customHeight="1" outlineLevel="2" x14ac:dyDescent="0.25">
      <c r="A6427" s="3" t="str">
        <f>HYPERLINK("http://mystore1.ru/price_items/search?utf8=%E2%9C%93&amp;oem=6259BCLVLU","6259BCLVLU")</f>
        <v>6259BCLVLU</v>
      </c>
      <c r="B6427" s="1" t="s">
        <v>12229</v>
      </c>
      <c r="C6427" s="9" t="s">
        <v>2846</v>
      </c>
      <c r="D6427" s="14" t="s">
        <v>12230</v>
      </c>
      <c r="E6427" s="9" t="s">
        <v>30</v>
      </c>
    </row>
    <row r="6428" spans="1:5" ht="15" customHeight="1" outlineLevel="2" x14ac:dyDescent="0.25">
      <c r="A6428" s="3" t="str">
        <f>HYPERLINK("http://mystore1.ru/price_items/search?utf8=%E2%9C%93&amp;oem=6259BCLVRU","6259BCLVRU")</f>
        <v>6259BCLVRU</v>
      </c>
      <c r="B6428" s="1" t="s">
        <v>12231</v>
      </c>
      <c r="C6428" s="9" t="s">
        <v>2846</v>
      </c>
      <c r="D6428" s="14" t="s">
        <v>12232</v>
      </c>
      <c r="E6428" s="9" t="s">
        <v>30</v>
      </c>
    </row>
    <row r="6429" spans="1:5" ht="15" customHeight="1" outlineLevel="2" x14ac:dyDescent="0.25">
      <c r="A6429" s="3" t="str">
        <f>HYPERLINK("http://mystore1.ru/price_items/search?utf8=%E2%9C%93&amp;oem=6259BGNH","6259BGNH")</f>
        <v>6259BGNH</v>
      </c>
      <c r="B6429" s="1" t="s">
        <v>12233</v>
      </c>
      <c r="C6429" s="9" t="s">
        <v>2846</v>
      </c>
      <c r="D6429" s="14" t="s">
        <v>12234</v>
      </c>
      <c r="E6429" s="9" t="s">
        <v>30</v>
      </c>
    </row>
    <row r="6430" spans="1:5" ht="15" customHeight="1" outlineLevel="2" x14ac:dyDescent="0.25">
      <c r="A6430" s="3" t="str">
        <f>HYPERLINK("http://mystore1.ru/price_items/search?utf8=%E2%9C%93&amp;oem=6259BGNHB","6259BGNHB")</f>
        <v>6259BGNHB</v>
      </c>
      <c r="B6430" s="1" t="s">
        <v>12235</v>
      </c>
      <c r="C6430" s="9" t="s">
        <v>25</v>
      </c>
      <c r="D6430" s="14" t="s">
        <v>12236</v>
      </c>
      <c r="E6430" s="9" t="s">
        <v>30</v>
      </c>
    </row>
    <row r="6431" spans="1:5" ht="15" customHeight="1" outlineLevel="2" x14ac:dyDescent="0.25">
      <c r="A6431" s="3" t="str">
        <f>HYPERLINK("http://mystore1.ru/price_items/search?utf8=%E2%9C%93&amp;oem=6259BGNH1J","6259BGNH1J")</f>
        <v>6259BGNH1J</v>
      </c>
      <c r="B6431" s="1" t="s">
        <v>12237</v>
      </c>
      <c r="C6431" s="9" t="s">
        <v>2846</v>
      </c>
      <c r="D6431" s="14" t="s">
        <v>12238</v>
      </c>
      <c r="E6431" s="9" t="s">
        <v>30</v>
      </c>
    </row>
    <row r="6432" spans="1:5" ht="15" customHeight="1" outlineLevel="2" x14ac:dyDescent="0.25">
      <c r="A6432" s="3" t="str">
        <f>HYPERLINK("http://mystore1.ru/price_items/search?utf8=%E2%9C%93&amp;oem=6259BGNVR","6259BGNVR")</f>
        <v>6259BGNVR</v>
      </c>
      <c r="B6432" s="1" t="s">
        <v>12239</v>
      </c>
      <c r="C6432" s="9" t="s">
        <v>2846</v>
      </c>
      <c r="D6432" s="14" t="s">
        <v>12240</v>
      </c>
      <c r="E6432" s="9" t="s">
        <v>30</v>
      </c>
    </row>
    <row r="6433" spans="1:5" ht="15" customHeight="1" outlineLevel="2" x14ac:dyDescent="0.25">
      <c r="A6433" s="3" t="str">
        <f>HYPERLINK("http://mystore1.ru/price_items/search?utf8=%E2%9C%93&amp;oem=6259BSMH","6259BSMH")</f>
        <v>6259BSMH</v>
      </c>
      <c r="B6433" s="1" t="s">
        <v>12241</v>
      </c>
      <c r="C6433" s="9" t="s">
        <v>25</v>
      </c>
      <c r="D6433" s="14" t="s">
        <v>12242</v>
      </c>
      <c r="E6433" s="9" t="s">
        <v>27</v>
      </c>
    </row>
    <row r="6434" spans="1:5" ht="15" customHeight="1" outlineLevel="2" x14ac:dyDescent="0.25">
      <c r="A6434" s="3" t="str">
        <f>HYPERLINK("http://mystore1.ru/price_items/search?utf8=%E2%9C%93&amp;oem=6259BSMV","6259BSMV")</f>
        <v>6259BSMV</v>
      </c>
      <c r="B6434" s="1" t="s">
        <v>12243</v>
      </c>
      <c r="C6434" s="9" t="s">
        <v>25</v>
      </c>
      <c r="D6434" s="14" t="s">
        <v>12244</v>
      </c>
      <c r="E6434" s="9" t="s">
        <v>27</v>
      </c>
    </row>
    <row r="6435" spans="1:5" ht="15" customHeight="1" outlineLevel="2" x14ac:dyDescent="0.25">
      <c r="A6435" s="3" t="str">
        <f>HYPERLINK("http://mystore1.ru/price_items/search?utf8=%E2%9C%93&amp;oem=6259LCLH3FD","6259LCLH3FD")</f>
        <v>6259LCLH3FD</v>
      </c>
      <c r="B6435" s="1" t="s">
        <v>12245</v>
      </c>
      <c r="C6435" s="9" t="s">
        <v>2846</v>
      </c>
      <c r="D6435" s="14" t="s">
        <v>12246</v>
      </c>
      <c r="E6435" s="9" t="s">
        <v>11</v>
      </c>
    </row>
    <row r="6436" spans="1:5" ht="15" customHeight="1" outlineLevel="2" x14ac:dyDescent="0.25">
      <c r="A6436" s="3" t="str">
        <f>HYPERLINK("http://mystore1.ru/price_items/search?utf8=%E2%9C%93&amp;oem=6259LCLH3RQ","6259LCLH3RQ")</f>
        <v>6259LCLH3RQ</v>
      </c>
      <c r="B6436" s="1" t="s">
        <v>12247</v>
      </c>
      <c r="C6436" s="9" t="s">
        <v>2846</v>
      </c>
      <c r="D6436" s="14" t="s">
        <v>12248</v>
      </c>
      <c r="E6436" s="9" t="s">
        <v>11</v>
      </c>
    </row>
    <row r="6437" spans="1:5" ht="15" customHeight="1" outlineLevel="2" x14ac:dyDescent="0.25">
      <c r="A6437" s="3" t="str">
        <f>HYPERLINK("http://mystore1.ru/price_items/search?utf8=%E2%9C%93&amp;oem=6259LCLH5FD","6259LCLH5FD")</f>
        <v>6259LCLH5FD</v>
      </c>
      <c r="B6437" s="1" t="s">
        <v>12249</v>
      </c>
      <c r="C6437" s="9" t="s">
        <v>2846</v>
      </c>
      <c r="D6437" s="14" t="s">
        <v>12250</v>
      </c>
      <c r="E6437" s="9" t="s">
        <v>11</v>
      </c>
    </row>
    <row r="6438" spans="1:5" ht="15" customHeight="1" outlineLevel="2" x14ac:dyDescent="0.25">
      <c r="A6438" s="3" t="str">
        <f>HYPERLINK("http://mystore1.ru/price_items/search?utf8=%E2%9C%93&amp;oem=6259LCLH5RD","6259LCLH5RD")</f>
        <v>6259LCLH5RD</v>
      </c>
      <c r="B6438" s="1" t="s">
        <v>12251</v>
      </c>
      <c r="C6438" s="9" t="s">
        <v>2846</v>
      </c>
      <c r="D6438" s="14" t="s">
        <v>12252</v>
      </c>
      <c r="E6438" s="9" t="s">
        <v>11</v>
      </c>
    </row>
    <row r="6439" spans="1:5" ht="15" customHeight="1" outlineLevel="2" x14ac:dyDescent="0.25">
      <c r="A6439" s="3" t="str">
        <f>HYPERLINK("http://mystore1.ru/price_items/search?utf8=%E2%9C%93&amp;oem=6259LGNH3FD","6259LGNH3FD")</f>
        <v>6259LGNH3FD</v>
      </c>
      <c r="B6439" s="1" t="s">
        <v>12253</v>
      </c>
      <c r="C6439" s="9" t="s">
        <v>2846</v>
      </c>
      <c r="D6439" s="14" t="s">
        <v>12254</v>
      </c>
      <c r="E6439" s="9" t="s">
        <v>11</v>
      </c>
    </row>
    <row r="6440" spans="1:5" ht="15" customHeight="1" outlineLevel="2" x14ac:dyDescent="0.25">
      <c r="A6440" s="3" t="str">
        <f>HYPERLINK("http://mystore1.ru/price_items/search?utf8=%E2%9C%93&amp;oem=6259LGNH3RQ","6259LGNH3RQ")</f>
        <v>6259LGNH3RQ</v>
      </c>
      <c r="B6440" s="1" t="s">
        <v>12255</v>
      </c>
      <c r="C6440" s="9" t="s">
        <v>2846</v>
      </c>
      <c r="D6440" s="14" t="s">
        <v>12256</v>
      </c>
      <c r="E6440" s="9" t="s">
        <v>11</v>
      </c>
    </row>
    <row r="6441" spans="1:5" ht="15" customHeight="1" outlineLevel="2" x14ac:dyDescent="0.25">
      <c r="A6441" s="3" t="str">
        <f>HYPERLINK("http://mystore1.ru/price_items/search?utf8=%E2%9C%93&amp;oem=6259LGNH5FD","6259LGNH5FD")</f>
        <v>6259LGNH5FD</v>
      </c>
      <c r="B6441" s="1" t="s">
        <v>12257</v>
      </c>
      <c r="C6441" s="9" t="s">
        <v>2846</v>
      </c>
      <c r="D6441" s="14" t="s">
        <v>12258</v>
      </c>
      <c r="E6441" s="9" t="s">
        <v>11</v>
      </c>
    </row>
    <row r="6442" spans="1:5" ht="15" customHeight="1" outlineLevel="2" x14ac:dyDescent="0.25">
      <c r="A6442" s="3" t="str">
        <f>HYPERLINK("http://mystore1.ru/price_items/search?utf8=%E2%9C%93&amp;oem=6259LGNH5RD","6259LGNH5RD")</f>
        <v>6259LGNH5RD</v>
      </c>
      <c r="B6442" s="1" t="s">
        <v>12259</v>
      </c>
      <c r="C6442" s="9" t="s">
        <v>2846</v>
      </c>
      <c r="D6442" s="14" t="s">
        <v>12260</v>
      </c>
      <c r="E6442" s="9" t="s">
        <v>11</v>
      </c>
    </row>
    <row r="6443" spans="1:5" ht="15" customHeight="1" outlineLevel="2" x14ac:dyDescent="0.25">
      <c r="A6443" s="3" t="str">
        <f>HYPERLINK("http://mystore1.ru/price_items/search?utf8=%E2%9C%93&amp;oem=6259RCLH3FD","6259RCLH3FD")</f>
        <v>6259RCLH3FD</v>
      </c>
      <c r="B6443" s="1" t="s">
        <v>12261</v>
      </c>
      <c r="C6443" s="9" t="s">
        <v>2846</v>
      </c>
      <c r="D6443" s="14" t="s">
        <v>12262</v>
      </c>
      <c r="E6443" s="9" t="s">
        <v>11</v>
      </c>
    </row>
    <row r="6444" spans="1:5" ht="15" customHeight="1" outlineLevel="2" x14ac:dyDescent="0.25">
      <c r="A6444" s="3" t="str">
        <f>HYPERLINK("http://mystore1.ru/price_items/search?utf8=%E2%9C%93&amp;oem=6259RCLH3RQ","6259RCLH3RQ")</f>
        <v>6259RCLH3RQ</v>
      </c>
      <c r="B6444" s="1" t="s">
        <v>12263</v>
      </c>
      <c r="C6444" s="9" t="s">
        <v>2846</v>
      </c>
      <c r="D6444" s="14" t="s">
        <v>12264</v>
      </c>
      <c r="E6444" s="9" t="s">
        <v>11</v>
      </c>
    </row>
    <row r="6445" spans="1:5" ht="15" customHeight="1" outlineLevel="2" x14ac:dyDescent="0.25">
      <c r="A6445" s="3" t="str">
        <f>HYPERLINK("http://mystore1.ru/price_items/search?utf8=%E2%9C%93&amp;oem=6259RCLH5FD","6259RCLH5FD")</f>
        <v>6259RCLH5FD</v>
      </c>
      <c r="B6445" s="1" t="s">
        <v>12265</v>
      </c>
      <c r="C6445" s="9" t="s">
        <v>2846</v>
      </c>
      <c r="D6445" s="14" t="s">
        <v>12266</v>
      </c>
      <c r="E6445" s="9" t="s">
        <v>11</v>
      </c>
    </row>
    <row r="6446" spans="1:5" ht="15" customHeight="1" outlineLevel="2" x14ac:dyDescent="0.25">
      <c r="A6446" s="3" t="str">
        <f>HYPERLINK("http://mystore1.ru/price_items/search?utf8=%E2%9C%93&amp;oem=6259RCLH5RD","6259RCLH5RD")</f>
        <v>6259RCLH5RD</v>
      </c>
      <c r="B6446" s="1" t="s">
        <v>12267</v>
      </c>
      <c r="C6446" s="9" t="s">
        <v>2846</v>
      </c>
      <c r="D6446" s="14" t="s">
        <v>12268</v>
      </c>
      <c r="E6446" s="9" t="s">
        <v>11</v>
      </c>
    </row>
    <row r="6447" spans="1:5" ht="15" customHeight="1" outlineLevel="2" x14ac:dyDescent="0.25">
      <c r="A6447" s="3" t="str">
        <f>HYPERLINK("http://mystore1.ru/price_items/search?utf8=%E2%9C%93&amp;oem=6259RGNH3FD","6259RGNH3FD")</f>
        <v>6259RGNH3FD</v>
      </c>
      <c r="B6447" s="1" t="s">
        <v>12269</v>
      </c>
      <c r="C6447" s="9" t="s">
        <v>2846</v>
      </c>
      <c r="D6447" s="14" t="s">
        <v>12270</v>
      </c>
      <c r="E6447" s="9" t="s">
        <v>11</v>
      </c>
    </row>
    <row r="6448" spans="1:5" ht="15" customHeight="1" outlineLevel="2" x14ac:dyDescent="0.25">
      <c r="A6448" s="3" t="str">
        <f>HYPERLINK("http://mystore1.ru/price_items/search?utf8=%E2%9C%93&amp;oem=6259RGNH3RQ","6259RGNH3RQ")</f>
        <v>6259RGNH3RQ</v>
      </c>
      <c r="B6448" s="1" t="s">
        <v>12271</v>
      </c>
      <c r="C6448" s="9" t="s">
        <v>2846</v>
      </c>
      <c r="D6448" s="14" t="s">
        <v>12272</v>
      </c>
      <c r="E6448" s="9" t="s">
        <v>11</v>
      </c>
    </row>
    <row r="6449" spans="1:5" ht="15" customHeight="1" outlineLevel="2" x14ac:dyDescent="0.25">
      <c r="A6449" s="3" t="str">
        <f>HYPERLINK("http://mystore1.ru/price_items/search?utf8=%E2%9C%93&amp;oem=6259RGNH5FD","6259RGNH5FD")</f>
        <v>6259RGNH5FD</v>
      </c>
      <c r="B6449" s="1" t="s">
        <v>12273</v>
      </c>
      <c r="C6449" s="9" t="s">
        <v>2846</v>
      </c>
      <c r="D6449" s="14" t="s">
        <v>12274</v>
      </c>
      <c r="E6449" s="9" t="s">
        <v>11</v>
      </c>
    </row>
    <row r="6450" spans="1:5" ht="15" customHeight="1" outlineLevel="2" x14ac:dyDescent="0.25">
      <c r="A6450" s="3" t="str">
        <f>HYPERLINK("http://mystore1.ru/price_items/search?utf8=%E2%9C%93&amp;oem=6259RGNH5RD","6259RGNH5RD")</f>
        <v>6259RGNH5RD</v>
      </c>
      <c r="B6450" s="1" t="s">
        <v>12275</v>
      </c>
      <c r="C6450" s="9" t="s">
        <v>2846</v>
      </c>
      <c r="D6450" s="14" t="s">
        <v>12276</v>
      </c>
      <c r="E6450" s="9" t="s">
        <v>11</v>
      </c>
    </row>
    <row r="6451" spans="1:5" outlineLevel="1" x14ac:dyDescent="0.25">
      <c r="A6451" s="2"/>
      <c r="B6451" s="6" t="s">
        <v>12277</v>
      </c>
      <c r="C6451" s="8"/>
      <c r="D6451" s="8"/>
      <c r="E6451" s="8"/>
    </row>
    <row r="6452" spans="1:5" ht="15" customHeight="1" outlineLevel="2" x14ac:dyDescent="0.25">
      <c r="A6452" s="3" t="str">
        <f>HYPERLINK("http://mystore1.ru/price_items/search?utf8=%E2%9C%93&amp;oem=6290AGS","6290AGS")</f>
        <v>6290AGS</v>
      </c>
      <c r="B6452" s="1" t="s">
        <v>12278</v>
      </c>
      <c r="C6452" s="9" t="s">
        <v>1499</v>
      </c>
      <c r="D6452" s="14" t="s">
        <v>12279</v>
      </c>
      <c r="E6452" s="9" t="s">
        <v>8</v>
      </c>
    </row>
    <row r="6453" spans="1:5" ht="15" customHeight="1" outlineLevel="2" x14ac:dyDescent="0.25">
      <c r="A6453" s="3" t="str">
        <f>HYPERLINK("http://mystore1.ru/price_items/search?utf8=%E2%9C%93&amp;oem=6290AGSBL","6290AGSBL")</f>
        <v>6290AGSBL</v>
      </c>
      <c r="B6453" s="1" t="s">
        <v>12280</v>
      </c>
      <c r="C6453" s="9" t="s">
        <v>1499</v>
      </c>
      <c r="D6453" s="14" t="s">
        <v>12281</v>
      </c>
      <c r="E6453" s="9" t="s">
        <v>8</v>
      </c>
    </row>
    <row r="6454" spans="1:5" ht="15" customHeight="1" outlineLevel="2" x14ac:dyDescent="0.25">
      <c r="A6454" s="3" t="str">
        <f>HYPERLINK("http://mystore1.ru/price_items/search?utf8=%E2%9C%93&amp;oem=6290AGSM1B","6290AGSM1B")</f>
        <v>6290AGSM1B</v>
      </c>
      <c r="B6454" s="1" t="s">
        <v>12282</v>
      </c>
      <c r="C6454" s="9" t="s">
        <v>1499</v>
      </c>
      <c r="D6454" s="14" t="s">
        <v>12283</v>
      </c>
      <c r="E6454" s="9" t="s">
        <v>8</v>
      </c>
    </row>
    <row r="6455" spans="1:5" ht="15" customHeight="1" outlineLevel="2" x14ac:dyDescent="0.25">
      <c r="A6455" s="3" t="str">
        <f>HYPERLINK("http://mystore1.ru/price_items/search?utf8=%E2%9C%93&amp;oem=6290ACCBLM1B","6290ACCBLM1B")</f>
        <v>6290ACCBLM1B</v>
      </c>
      <c r="B6455" s="1" t="s">
        <v>12284</v>
      </c>
      <c r="C6455" s="9" t="s">
        <v>1499</v>
      </c>
      <c r="D6455" s="14" t="s">
        <v>12285</v>
      </c>
      <c r="E6455" s="9" t="s">
        <v>8</v>
      </c>
    </row>
    <row r="6456" spans="1:5" ht="15" customHeight="1" outlineLevel="2" x14ac:dyDescent="0.25">
      <c r="A6456" s="3" t="str">
        <f>HYPERLINK("http://mystore1.ru/price_items/search?utf8=%E2%9C%93&amp;oem=6290AKMH","6290AKMH")</f>
        <v>6290AKMH</v>
      </c>
      <c r="B6456" s="1" t="s">
        <v>12286</v>
      </c>
      <c r="C6456" s="9" t="s">
        <v>25</v>
      </c>
      <c r="D6456" s="14" t="s">
        <v>12287</v>
      </c>
      <c r="E6456" s="9" t="s">
        <v>27</v>
      </c>
    </row>
    <row r="6457" spans="1:5" ht="15" customHeight="1" outlineLevel="2" x14ac:dyDescent="0.25">
      <c r="A6457" s="3" t="str">
        <f>HYPERLINK("http://mystore1.ru/price_items/search?utf8=%E2%9C%93&amp;oem=6290ASGHB","6290ASGHB")</f>
        <v>6290ASGHB</v>
      </c>
      <c r="B6457" s="1" t="s">
        <v>12288</v>
      </c>
      <c r="C6457" s="9" t="s">
        <v>25</v>
      </c>
      <c r="D6457" s="14" t="s">
        <v>12289</v>
      </c>
      <c r="E6457" s="9" t="s">
        <v>27</v>
      </c>
    </row>
    <row r="6458" spans="1:5" ht="15" customHeight="1" outlineLevel="2" x14ac:dyDescent="0.25">
      <c r="A6458" s="3" t="str">
        <f>HYPERLINK("http://mystore1.ru/price_items/search?utf8=%E2%9C%93&amp;oem=6290ASMHL","6290ASMHL")</f>
        <v>6290ASMHL</v>
      </c>
      <c r="B6458" s="1" t="s">
        <v>12290</v>
      </c>
      <c r="C6458" s="9" t="s">
        <v>25</v>
      </c>
      <c r="D6458" s="14" t="s">
        <v>12291</v>
      </c>
      <c r="E6458" s="9" t="s">
        <v>27</v>
      </c>
    </row>
    <row r="6459" spans="1:5" ht="15" customHeight="1" outlineLevel="2" x14ac:dyDescent="0.25">
      <c r="A6459" s="3" t="str">
        <f>HYPERLINK("http://mystore1.ru/price_items/search?utf8=%E2%9C%93&amp;oem=6290ASMHR","6290ASMHR")</f>
        <v>6290ASMHR</v>
      </c>
      <c r="B6459" s="1" t="s">
        <v>12292</v>
      </c>
      <c r="C6459" s="9" t="s">
        <v>25</v>
      </c>
      <c r="D6459" s="14" t="s">
        <v>12293</v>
      </c>
      <c r="E6459" s="9" t="s">
        <v>27</v>
      </c>
    </row>
    <row r="6460" spans="1:5" ht="15" customHeight="1" outlineLevel="2" x14ac:dyDescent="0.25">
      <c r="A6460" s="3" t="str">
        <f>HYPERLINK("http://mystore1.ru/price_items/search?utf8=%E2%9C%93&amp;oem=6290ASMHT","6290ASMHT")</f>
        <v>6290ASMHT</v>
      </c>
      <c r="B6460" s="1" t="s">
        <v>12294</v>
      </c>
      <c r="C6460" s="9" t="s">
        <v>25</v>
      </c>
      <c r="D6460" s="14" t="s">
        <v>12295</v>
      </c>
      <c r="E6460" s="9" t="s">
        <v>27</v>
      </c>
    </row>
    <row r="6461" spans="1:5" ht="15" customHeight="1" outlineLevel="2" x14ac:dyDescent="0.25">
      <c r="A6461" s="3" t="str">
        <f>HYPERLINK("http://mystore1.ru/price_items/search?utf8=%E2%9C%93&amp;oem=6290BGSH","6290BGSH")</f>
        <v>6290BGSH</v>
      </c>
      <c r="B6461" s="1" t="s">
        <v>12296</v>
      </c>
      <c r="C6461" s="9" t="s">
        <v>1499</v>
      </c>
      <c r="D6461" s="14" t="s">
        <v>12297</v>
      </c>
      <c r="E6461" s="9" t="s">
        <v>30</v>
      </c>
    </row>
    <row r="6462" spans="1:5" ht="15" customHeight="1" outlineLevel="2" x14ac:dyDescent="0.25">
      <c r="A6462" s="3" t="str">
        <f>HYPERLINK("http://mystore1.ru/price_items/search?utf8=%E2%9C%93&amp;oem=6290LGSH3FD","6290LGSH3FD")</f>
        <v>6290LGSH3FD</v>
      </c>
      <c r="B6462" s="1" t="s">
        <v>12298</v>
      </c>
      <c r="C6462" s="9" t="s">
        <v>1499</v>
      </c>
      <c r="D6462" s="14" t="s">
        <v>12299</v>
      </c>
      <c r="E6462" s="9" t="s">
        <v>11</v>
      </c>
    </row>
    <row r="6463" spans="1:5" ht="15" customHeight="1" outlineLevel="2" x14ac:dyDescent="0.25">
      <c r="A6463" s="3" t="str">
        <f>HYPERLINK("http://mystore1.ru/price_items/search?utf8=%E2%9C%93&amp;oem=6290LGSH3RQ","6290LGSH3RQ")</f>
        <v>6290LGSH3RQ</v>
      </c>
      <c r="B6463" s="1" t="s">
        <v>12300</v>
      </c>
      <c r="C6463" s="9" t="s">
        <v>1499</v>
      </c>
      <c r="D6463" s="14" t="s">
        <v>12301</v>
      </c>
      <c r="E6463" s="9" t="s">
        <v>11</v>
      </c>
    </row>
    <row r="6464" spans="1:5" ht="15" customHeight="1" outlineLevel="2" x14ac:dyDescent="0.25">
      <c r="A6464" s="3" t="str">
        <f>HYPERLINK("http://mystore1.ru/price_items/search?utf8=%E2%9C%93&amp;oem=6290LGSH5FD","6290LGSH5FD")</f>
        <v>6290LGSH5FD</v>
      </c>
      <c r="B6464" s="1" t="s">
        <v>12302</v>
      </c>
      <c r="C6464" s="9" t="s">
        <v>1499</v>
      </c>
      <c r="D6464" s="14" t="s">
        <v>12303</v>
      </c>
      <c r="E6464" s="9" t="s">
        <v>11</v>
      </c>
    </row>
    <row r="6465" spans="1:5" ht="15" customHeight="1" outlineLevel="2" x14ac:dyDescent="0.25">
      <c r="A6465" s="3" t="str">
        <f>HYPERLINK("http://mystore1.ru/price_items/search?utf8=%E2%9C%93&amp;oem=6290LGSH5RD","6290LGSH5RD")</f>
        <v>6290LGSH5RD</v>
      </c>
      <c r="B6465" s="1" t="s">
        <v>12304</v>
      </c>
      <c r="C6465" s="9" t="s">
        <v>1499</v>
      </c>
      <c r="D6465" s="14" t="s">
        <v>12305</v>
      </c>
      <c r="E6465" s="9" t="s">
        <v>11</v>
      </c>
    </row>
    <row r="6466" spans="1:5" ht="15" customHeight="1" outlineLevel="2" x14ac:dyDescent="0.25">
      <c r="A6466" s="3" t="str">
        <f>HYPERLINK("http://mystore1.ru/price_items/search?utf8=%E2%9C%93&amp;oem=6290LGSH5RQZ","6290LGSH5RQZ")</f>
        <v>6290LGSH5RQZ</v>
      </c>
      <c r="B6466" s="1" t="s">
        <v>12306</v>
      </c>
      <c r="C6466" s="9" t="s">
        <v>1499</v>
      </c>
      <c r="D6466" s="14" t="s">
        <v>12307</v>
      </c>
      <c r="E6466" s="9" t="s">
        <v>11</v>
      </c>
    </row>
    <row r="6467" spans="1:5" ht="15" customHeight="1" outlineLevel="2" x14ac:dyDescent="0.25">
      <c r="A6467" s="3" t="str">
        <f>HYPERLINK("http://mystore1.ru/price_items/search?utf8=%E2%9C%93&amp;oem=6290RGSH3FD","6290RGSH3FD")</f>
        <v>6290RGSH3FD</v>
      </c>
      <c r="B6467" s="1" t="s">
        <v>12308</v>
      </c>
      <c r="C6467" s="9" t="s">
        <v>1499</v>
      </c>
      <c r="D6467" s="14" t="s">
        <v>12309</v>
      </c>
      <c r="E6467" s="9" t="s">
        <v>11</v>
      </c>
    </row>
    <row r="6468" spans="1:5" ht="15" customHeight="1" outlineLevel="2" x14ac:dyDescent="0.25">
      <c r="A6468" s="3" t="str">
        <f>HYPERLINK("http://mystore1.ru/price_items/search?utf8=%E2%9C%93&amp;oem=6290RGSH3RQ","6290RGSH3RQ")</f>
        <v>6290RGSH3RQ</v>
      </c>
      <c r="B6468" s="1" t="s">
        <v>12310</v>
      </c>
      <c r="C6468" s="9" t="s">
        <v>1499</v>
      </c>
      <c r="D6468" s="14" t="s">
        <v>12311</v>
      </c>
      <c r="E6468" s="9" t="s">
        <v>11</v>
      </c>
    </row>
    <row r="6469" spans="1:5" ht="15" customHeight="1" outlineLevel="2" x14ac:dyDescent="0.25">
      <c r="A6469" s="3" t="str">
        <f>HYPERLINK("http://mystore1.ru/price_items/search?utf8=%E2%9C%93&amp;oem=6290RGSH5FD","6290RGSH5FD")</f>
        <v>6290RGSH5FD</v>
      </c>
      <c r="B6469" s="1" t="s">
        <v>12312</v>
      </c>
      <c r="C6469" s="9" t="s">
        <v>1499</v>
      </c>
      <c r="D6469" s="14" t="s">
        <v>12313</v>
      </c>
      <c r="E6469" s="9" t="s">
        <v>11</v>
      </c>
    </row>
    <row r="6470" spans="1:5" ht="15" customHeight="1" outlineLevel="2" x14ac:dyDescent="0.25">
      <c r="A6470" s="3" t="str">
        <f>HYPERLINK("http://mystore1.ru/price_items/search?utf8=%E2%9C%93&amp;oem=6290RGSH5RD","6290RGSH5RD")</f>
        <v>6290RGSH5RD</v>
      </c>
      <c r="B6470" s="1" t="s">
        <v>12314</v>
      </c>
      <c r="C6470" s="9" t="s">
        <v>1499</v>
      </c>
      <c r="D6470" s="14" t="s">
        <v>12315</v>
      </c>
      <c r="E6470" s="9" t="s">
        <v>11</v>
      </c>
    </row>
    <row r="6471" spans="1:5" ht="15" customHeight="1" outlineLevel="2" x14ac:dyDescent="0.25">
      <c r="A6471" s="3" t="str">
        <f>HYPERLINK("http://mystore1.ru/price_items/search?utf8=%E2%9C%93&amp;oem=6290RGSH5RQZ","6290RGSH5RQZ")</f>
        <v>6290RGSH5RQZ</v>
      </c>
      <c r="B6471" s="1" t="s">
        <v>12316</v>
      </c>
      <c r="C6471" s="9" t="s">
        <v>1499</v>
      </c>
      <c r="D6471" s="14" t="s">
        <v>12317</v>
      </c>
      <c r="E6471" s="9" t="s">
        <v>11</v>
      </c>
    </row>
    <row r="6472" spans="1:5" outlineLevel="1" x14ac:dyDescent="0.25">
      <c r="A6472" s="2"/>
      <c r="B6472" s="6" t="s">
        <v>12318</v>
      </c>
      <c r="C6472" s="8"/>
      <c r="D6472" s="8"/>
      <c r="E6472" s="8"/>
    </row>
    <row r="6473" spans="1:5" ht="15" customHeight="1" outlineLevel="2" x14ac:dyDescent="0.25">
      <c r="A6473" s="3" t="str">
        <f>HYPERLINK("http://mystore1.ru/price_items/search?utf8=%E2%9C%93&amp;oem=6312AGSMVZ1R","6312AGSMVZ1R")</f>
        <v>6312AGSMVZ1R</v>
      </c>
      <c r="B6473" s="1" t="s">
        <v>12319</v>
      </c>
      <c r="C6473" s="9" t="s">
        <v>511</v>
      </c>
      <c r="D6473" s="14" t="s">
        <v>12320</v>
      </c>
      <c r="E6473" s="9" t="s">
        <v>8</v>
      </c>
    </row>
    <row r="6474" spans="1:5" ht="15" customHeight="1" outlineLevel="2" x14ac:dyDescent="0.25">
      <c r="A6474" s="3" t="str">
        <f>HYPERLINK("http://mystore1.ru/price_items/search?utf8=%E2%9C%93&amp;oem=6312AGSMVWZ1R","6312AGSMVWZ1R")</f>
        <v>6312AGSMVWZ1R</v>
      </c>
      <c r="B6474" s="1" t="s">
        <v>12321</v>
      </c>
      <c r="C6474" s="9" t="s">
        <v>511</v>
      </c>
      <c r="D6474" s="14" t="s">
        <v>12322</v>
      </c>
      <c r="E6474" s="9" t="s">
        <v>8</v>
      </c>
    </row>
    <row r="6475" spans="1:5" ht="15" customHeight="1" outlineLevel="2" x14ac:dyDescent="0.25">
      <c r="A6475" s="3" t="str">
        <f>HYPERLINK("http://mystore1.ru/price_items/search?utf8=%E2%9C%93&amp;oem=6312AGSVZ1M","6312AGSVZ1M")</f>
        <v>6312AGSVZ1M</v>
      </c>
      <c r="B6475" s="1" t="s">
        <v>12323</v>
      </c>
      <c r="C6475" s="9" t="s">
        <v>511</v>
      </c>
      <c r="D6475" s="14" t="s">
        <v>12324</v>
      </c>
      <c r="E6475" s="9" t="s">
        <v>8</v>
      </c>
    </row>
    <row r="6476" spans="1:5" ht="15" customHeight="1" outlineLevel="2" x14ac:dyDescent="0.25">
      <c r="A6476" s="3" t="str">
        <f>HYPERLINK("http://mystore1.ru/price_items/search?utf8=%E2%9C%93&amp;oem=6312AGSVWZ1M","6312AGSVWZ1M")</f>
        <v>6312AGSVWZ1M</v>
      </c>
      <c r="B6476" s="1" t="s">
        <v>12325</v>
      </c>
      <c r="C6476" s="9" t="s">
        <v>511</v>
      </c>
      <c r="D6476" s="14" t="s">
        <v>12326</v>
      </c>
      <c r="E6476" s="9" t="s">
        <v>8</v>
      </c>
    </row>
    <row r="6477" spans="1:5" ht="15" customHeight="1" outlineLevel="2" x14ac:dyDescent="0.25">
      <c r="A6477" s="3" t="str">
        <f>HYPERLINK("http://mystore1.ru/price_items/search?utf8=%E2%9C%93&amp;oem=6312BGSH","6312BGSH")</f>
        <v>6312BGSH</v>
      </c>
      <c r="B6477" s="1" t="s">
        <v>12327</v>
      </c>
      <c r="C6477" s="9" t="s">
        <v>511</v>
      </c>
      <c r="D6477" s="14" t="s">
        <v>12328</v>
      </c>
      <c r="E6477" s="9" t="s">
        <v>30</v>
      </c>
    </row>
    <row r="6478" spans="1:5" ht="15" customHeight="1" outlineLevel="2" x14ac:dyDescent="0.25">
      <c r="A6478" s="3" t="str">
        <f>HYPERLINK("http://mystore1.ru/price_items/search?utf8=%E2%9C%93&amp;oem=6312BGSH1J","6312BGSH1J")</f>
        <v>6312BGSH1J</v>
      </c>
      <c r="B6478" s="1" t="s">
        <v>12329</v>
      </c>
      <c r="C6478" s="9" t="s">
        <v>511</v>
      </c>
      <c r="D6478" s="14" t="s">
        <v>12330</v>
      </c>
      <c r="E6478" s="9" t="s">
        <v>30</v>
      </c>
    </row>
    <row r="6479" spans="1:5" ht="15" customHeight="1" outlineLevel="2" x14ac:dyDescent="0.25">
      <c r="A6479" s="3" t="str">
        <f>HYPERLINK("http://mystore1.ru/price_items/search?utf8=%E2%9C%93&amp;oem=6312LGSH3FD","6312LGSH3FD")</f>
        <v>6312LGSH3FD</v>
      </c>
      <c r="B6479" s="1" t="s">
        <v>12331</v>
      </c>
      <c r="C6479" s="9" t="s">
        <v>511</v>
      </c>
      <c r="D6479" s="14" t="s">
        <v>12332</v>
      </c>
      <c r="E6479" s="9" t="s">
        <v>11</v>
      </c>
    </row>
    <row r="6480" spans="1:5" ht="15" customHeight="1" outlineLevel="2" x14ac:dyDescent="0.25">
      <c r="A6480" s="3" t="str">
        <f>HYPERLINK("http://mystore1.ru/price_items/search?utf8=%E2%9C%93&amp;oem=6312LGSH5FD","6312LGSH5FD")</f>
        <v>6312LGSH5FD</v>
      </c>
      <c r="B6480" s="1" t="s">
        <v>12333</v>
      </c>
      <c r="C6480" s="9" t="s">
        <v>511</v>
      </c>
      <c r="D6480" s="14" t="s">
        <v>12334</v>
      </c>
      <c r="E6480" s="9" t="s">
        <v>11</v>
      </c>
    </row>
    <row r="6481" spans="1:5" ht="15" customHeight="1" outlineLevel="2" x14ac:dyDescent="0.25">
      <c r="A6481" s="3" t="str">
        <f>HYPERLINK("http://mystore1.ru/price_items/search?utf8=%E2%9C%93&amp;oem=6312LGSH5RD","6312LGSH5RD")</f>
        <v>6312LGSH5RD</v>
      </c>
      <c r="B6481" s="1" t="s">
        <v>12335</v>
      </c>
      <c r="C6481" s="9" t="s">
        <v>511</v>
      </c>
      <c r="D6481" s="14" t="s">
        <v>12336</v>
      </c>
      <c r="E6481" s="9" t="s">
        <v>11</v>
      </c>
    </row>
    <row r="6482" spans="1:5" ht="15" customHeight="1" outlineLevel="2" x14ac:dyDescent="0.25">
      <c r="A6482" s="3" t="str">
        <f>HYPERLINK("http://mystore1.ru/price_items/search?utf8=%E2%9C%93&amp;oem=6312RGSH3FD","6312RGSH3FD")</f>
        <v>6312RGSH3FD</v>
      </c>
      <c r="B6482" s="1" t="s">
        <v>12337</v>
      </c>
      <c r="C6482" s="9" t="s">
        <v>511</v>
      </c>
      <c r="D6482" s="14" t="s">
        <v>12338</v>
      </c>
      <c r="E6482" s="9" t="s">
        <v>11</v>
      </c>
    </row>
    <row r="6483" spans="1:5" ht="15" customHeight="1" outlineLevel="2" x14ac:dyDescent="0.25">
      <c r="A6483" s="3" t="str">
        <f>HYPERLINK("http://mystore1.ru/price_items/search?utf8=%E2%9C%93&amp;oem=6312RGSH5FD","6312RGSH5FD")</f>
        <v>6312RGSH5FD</v>
      </c>
      <c r="B6483" s="1" t="s">
        <v>12339</v>
      </c>
      <c r="C6483" s="9" t="s">
        <v>511</v>
      </c>
      <c r="D6483" s="14" t="s">
        <v>12340</v>
      </c>
      <c r="E6483" s="9" t="s">
        <v>11</v>
      </c>
    </row>
    <row r="6484" spans="1:5" ht="15" customHeight="1" outlineLevel="2" x14ac:dyDescent="0.25">
      <c r="A6484" s="3" t="str">
        <f>HYPERLINK("http://mystore1.ru/price_items/search?utf8=%E2%9C%93&amp;oem=6312RGSH5RD","6312RGSH5RD")</f>
        <v>6312RGSH5RD</v>
      </c>
      <c r="B6484" s="1" t="s">
        <v>12341</v>
      </c>
      <c r="C6484" s="9" t="s">
        <v>511</v>
      </c>
      <c r="D6484" s="14" t="s">
        <v>12342</v>
      </c>
      <c r="E6484" s="9" t="s">
        <v>11</v>
      </c>
    </row>
    <row r="6485" spans="1:5" outlineLevel="1" x14ac:dyDescent="0.25">
      <c r="A6485" s="2"/>
      <c r="B6485" s="6" t="s">
        <v>12343</v>
      </c>
      <c r="C6485" s="8"/>
      <c r="D6485" s="8"/>
      <c r="E6485" s="8"/>
    </row>
    <row r="6486" spans="1:5" ht="15" customHeight="1" outlineLevel="2" x14ac:dyDescent="0.25">
      <c r="A6486" s="3" t="str">
        <f>HYPERLINK("http://mystore1.ru/price_items/search?utf8=%E2%9C%93&amp;oem=6258AGN","6258AGN")</f>
        <v>6258AGN</v>
      </c>
      <c r="B6486" s="1" t="s">
        <v>12344</v>
      </c>
      <c r="C6486" s="9" t="s">
        <v>2171</v>
      </c>
      <c r="D6486" s="14" t="s">
        <v>12345</v>
      </c>
      <c r="E6486" s="9" t="s">
        <v>8</v>
      </c>
    </row>
    <row r="6487" spans="1:5" ht="15" customHeight="1" outlineLevel="2" x14ac:dyDescent="0.25">
      <c r="A6487" s="3" t="str">
        <f>HYPERLINK("http://mystore1.ru/price_items/search?utf8=%E2%9C%93&amp;oem=6258AGNBL","6258AGNBL")</f>
        <v>6258AGNBL</v>
      </c>
      <c r="B6487" s="1" t="s">
        <v>12346</v>
      </c>
      <c r="C6487" s="9" t="s">
        <v>2171</v>
      </c>
      <c r="D6487" s="14" t="s">
        <v>12347</v>
      </c>
      <c r="E6487" s="9" t="s">
        <v>8</v>
      </c>
    </row>
    <row r="6488" spans="1:5" ht="15" customHeight="1" outlineLevel="2" x14ac:dyDescent="0.25">
      <c r="A6488" s="3" t="str">
        <f>HYPERLINK("http://mystore1.ru/price_items/search?utf8=%E2%9C%93&amp;oem=6258AGNGN","6258AGNGN")</f>
        <v>6258AGNGN</v>
      </c>
      <c r="B6488" s="1" t="s">
        <v>12348</v>
      </c>
      <c r="C6488" s="9" t="s">
        <v>2171</v>
      </c>
      <c r="D6488" s="14" t="s">
        <v>12349</v>
      </c>
      <c r="E6488" s="9" t="s">
        <v>8</v>
      </c>
    </row>
    <row r="6489" spans="1:5" ht="15" customHeight="1" outlineLevel="2" x14ac:dyDescent="0.25">
      <c r="A6489" s="3" t="str">
        <f>HYPERLINK("http://mystore1.ru/price_items/search?utf8=%E2%9C%93&amp;oem=6258AKMR","6258AKMR")</f>
        <v>6258AKMR</v>
      </c>
      <c r="B6489" s="1" t="s">
        <v>12350</v>
      </c>
      <c r="C6489" s="9" t="s">
        <v>25</v>
      </c>
      <c r="D6489" s="14" t="s">
        <v>12351</v>
      </c>
      <c r="E6489" s="9" t="s">
        <v>27</v>
      </c>
    </row>
    <row r="6490" spans="1:5" ht="15" customHeight="1" outlineLevel="2" x14ac:dyDescent="0.25">
      <c r="A6490" s="3" t="str">
        <f>HYPERLINK("http://mystore1.ru/price_items/search?utf8=%E2%9C%93&amp;oem=6258ASMRT","6258ASMRT")</f>
        <v>6258ASMRT</v>
      </c>
      <c r="B6490" s="1" t="s">
        <v>12352</v>
      </c>
      <c r="C6490" s="9" t="s">
        <v>25</v>
      </c>
      <c r="D6490" s="14" t="s">
        <v>12353</v>
      </c>
      <c r="E6490" s="9" t="s">
        <v>27</v>
      </c>
    </row>
    <row r="6491" spans="1:5" ht="15" customHeight="1" outlineLevel="2" x14ac:dyDescent="0.25">
      <c r="A6491" s="3" t="str">
        <f>HYPERLINK("http://mystore1.ru/price_items/search?utf8=%E2%9C%93&amp;oem=6258LGNR3FDW","6258LGNR3FDW")</f>
        <v>6258LGNR3FDW</v>
      </c>
      <c r="B6491" s="1" t="s">
        <v>12354</v>
      </c>
      <c r="C6491" s="9" t="s">
        <v>2171</v>
      </c>
      <c r="D6491" s="14" t="s">
        <v>12355</v>
      </c>
      <c r="E6491" s="9" t="s">
        <v>11</v>
      </c>
    </row>
    <row r="6492" spans="1:5" ht="15" customHeight="1" outlineLevel="2" x14ac:dyDescent="0.25">
      <c r="A6492" s="3" t="str">
        <f>HYPERLINK("http://mystore1.ru/price_items/search?utf8=%E2%9C%93&amp;oem=6258LGNR3RQO","6258LGNR3RQO")</f>
        <v>6258LGNR3RQO</v>
      </c>
      <c r="B6492" s="1" t="s">
        <v>12356</v>
      </c>
      <c r="C6492" s="9" t="s">
        <v>2171</v>
      </c>
      <c r="D6492" s="14" t="s">
        <v>12357</v>
      </c>
      <c r="E6492" s="9" t="s">
        <v>11</v>
      </c>
    </row>
    <row r="6493" spans="1:5" ht="15" customHeight="1" outlineLevel="2" x14ac:dyDescent="0.25">
      <c r="A6493" s="3" t="str">
        <f>HYPERLINK("http://mystore1.ru/price_items/search?utf8=%E2%9C%93&amp;oem=6258LGNR5RDW","6258LGNR5RDW")</f>
        <v>6258LGNR5RDW</v>
      </c>
      <c r="B6493" s="1" t="s">
        <v>12358</v>
      </c>
      <c r="C6493" s="9" t="s">
        <v>2171</v>
      </c>
      <c r="D6493" s="14" t="s">
        <v>12359</v>
      </c>
      <c r="E6493" s="9" t="s">
        <v>11</v>
      </c>
    </row>
    <row r="6494" spans="1:5" ht="15" customHeight="1" outlineLevel="2" x14ac:dyDescent="0.25">
      <c r="A6494" s="3" t="str">
        <f>HYPERLINK("http://mystore1.ru/price_items/search?utf8=%E2%9C%93&amp;oem=6258RGNR3FDW","6258RGNR3FDW")</f>
        <v>6258RGNR3FDW</v>
      </c>
      <c r="B6494" s="1" t="s">
        <v>12360</v>
      </c>
      <c r="C6494" s="9" t="s">
        <v>2171</v>
      </c>
      <c r="D6494" s="14" t="s">
        <v>12361</v>
      </c>
      <c r="E6494" s="9" t="s">
        <v>11</v>
      </c>
    </row>
    <row r="6495" spans="1:5" ht="15" customHeight="1" outlineLevel="2" x14ac:dyDescent="0.25">
      <c r="A6495" s="3" t="str">
        <f>HYPERLINK("http://mystore1.ru/price_items/search?utf8=%E2%9C%93&amp;oem=6258RGNR3RQO","6258RGNR3RQO")</f>
        <v>6258RGNR3RQO</v>
      </c>
      <c r="B6495" s="1" t="s">
        <v>12362</v>
      </c>
      <c r="C6495" s="9" t="s">
        <v>2171</v>
      </c>
      <c r="D6495" s="14" t="s">
        <v>12363</v>
      </c>
      <c r="E6495" s="9" t="s">
        <v>11</v>
      </c>
    </row>
    <row r="6496" spans="1:5" ht="15" customHeight="1" outlineLevel="2" x14ac:dyDescent="0.25">
      <c r="A6496" s="3" t="str">
        <f>HYPERLINK("http://mystore1.ru/price_items/search?utf8=%E2%9C%93&amp;oem=6258RGNR5RDW","6258RGNR5RDW")</f>
        <v>6258RGNR5RDW</v>
      </c>
      <c r="B6496" s="1" t="s">
        <v>12364</v>
      </c>
      <c r="C6496" s="9" t="s">
        <v>2171</v>
      </c>
      <c r="D6496" s="14" t="s">
        <v>12365</v>
      </c>
      <c r="E6496" s="9" t="s">
        <v>11</v>
      </c>
    </row>
    <row r="6497" spans="1:5" outlineLevel="1" x14ac:dyDescent="0.25">
      <c r="A6497" s="2"/>
      <c r="B6497" s="6" t="s">
        <v>12366</v>
      </c>
      <c r="C6497" s="8"/>
      <c r="D6497" s="8"/>
      <c r="E6497" s="8"/>
    </row>
    <row r="6498" spans="1:5" ht="15" customHeight="1" outlineLevel="2" x14ac:dyDescent="0.25">
      <c r="A6498" s="3" t="str">
        <f>HYPERLINK("http://mystore1.ru/price_items/search?utf8=%E2%9C%93&amp;oem=6287AGNBLV","6287AGNBLV")</f>
        <v>6287AGNBLV</v>
      </c>
      <c r="B6498" s="1" t="s">
        <v>12367</v>
      </c>
      <c r="C6498" s="9" t="s">
        <v>439</v>
      </c>
      <c r="D6498" s="14" t="s">
        <v>12368</v>
      </c>
      <c r="E6498" s="9" t="s">
        <v>8</v>
      </c>
    </row>
    <row r="6499" spans="1:5" ht="15" customHeight="1" outlineLevel="2" x14ac:dyDescent="0.25">
      <c r="A6499" s="3" t="str">
        <f>HYPERLINK("http://mystore1.ru/price_items/search?utf8=%E2%9C%93&amp;oem=6287AGNV","6287AGNV")</f>
        <v>6287AGNV</v>
      </c>
      <c r="B6499" s="1" t="s">
        <v>12369</v>
      </c>
      <c r="C6499" s="9" t="s">
        <v>439</v>
      </c>
      <c r="D6499" s="14" t="s">
        <v>12370</v>
      </c>
      <c r="E6499" s="9" t="s">
        <v>8</v>
      </c>
    </row>
    <row r="6500" spans="1:5" ht="15" customHeight="1" outlineLevel="2" x14ac:dyDescent="0.25">
      <c r="A6500" s="3" t="str">
        <f>HYPERLINK("http://mystore1.ru/price_items/search?utf8=%E2%9C%93&amp;oem=6287ASMRT","6287ASMRT")</f>
        <v>6287ASMRT</v>
      </c>
      <c r="B6500" s="1" t="s">
        <v>12371</v>
      </c>
      <c r="C6500" s="9" t="s">
        <v>25</v>
      </c>
      <c r="D6500" s="14" t="s">
        <v>12372</v>
      </c>
      <c r="E6500" s="9" t="s">
        <v>27</v>
      </c>
    </row>
    <row r="6501" spans="1:5" ht="15" customHeight="1" outlineLevel="2" x14ac:dyDescent="0.25">
      <c r="A6501" s="3" t="str">
        <f>HYPERLINK("http://mystore1.ru/price_items/search?utf8=%E2%9C%93&amp;oem=6287LGNR3FDW","6287LGNR3FDW")</f>
        <v>6287LGNR3FDW</v>
      </c>
      <c r="B6501" s="1" t="s">
        <v>12373</v>
      </c>
      <c r="C6501" s="9" t="s">
        <v>439</v>
      </c>
      <c r="D6501" s="14" t="s">
        <v>12374</v>
      </c>
      <c r="E6501" s="9" t="s">
        <v>11</v>
      </c>
    </row>
    <row r="6502" spans="1:5" ht="15" customHeight="1" outlineLevel="2" x14ac:dyDescent="0.25">
      <c r="A6502" s="3" t="str">
        <f>HYPERLINK("http://mystore1.ru/price_items/search?utf8=%E2%9C%93&amp;oem=6287LGNR5RDW","6287LGNR5RDW")</f>
        <v>6287LGNR5RDW</v>
      </c>
      <c r="B6502" s="1" t="s">
        <v>12375</v>
      </c>
      <c r="C6502" s="9" t="s">
        <v>439</v>
      </c>
      <c r="D6502" s="14" t="s">
        <v>12376</v>
      </c>
      <c r="E6502" s="9" t="s">
        <v>11</v>
      </c>
    </row>
    <row r="6503" spans="1:5" ht="15" customHeight="1" outlineLevel="2" x14ac:dyDescent="0.25">
      <c r="A6503" s="3" t="str">
        <f>HYPERLINK("http://mystore1.ru/price_items/search?utf8=%E2%9C%93&amp;oem=6287RGNR3FDW","6287RGNR3FDW")</f>
        <v>6287RGNR3FDW</v>
      </c>
      <c r="B6503" s="1" t="s">
        <v>12377</v>
      </c>
      <c r="C6503" s="9" t="s">
        <v>439</v>
      </c>
      <c r="D6503" s="14" t="s">
        <v>12378</v>
      </c>
      <c r="E6503" s="9" t="s">
        <v>11</v>
      </c>
    </row>
    <row r="6504" spans="1:5" ht="15" customHeight="1" outlineLevel="2" x14ac:dyDescent="0.25">
      <c r="A6504" s="3" t="str">
        <f>HYPERLINK("http://mystore1.ru/price_items/search?utf8=%E2%9C%93&amp;oem=6287RGNR5RDW","6287RGNR5RDW")</f>
        <v>6287RGNR5RDW</v>
      </c>
      <c r="B6504" s="1" t="s">
        <v>12379</v>
      </c>
      <c r="C6504" s="9" t="s">
        <v>439</v>
      </c>
      <c r="D6504" s="14" t="s">
        <v>12380</v>
      </c>
      <c r="E6504" s="9" t="s">
        <v>11</v>
      </c>
    </row>
    <row r="6505" spans="1:5" outlineLevel="1" x14ac:dyDescent="0.25">
      <c r="A6505" s="2"/>
      <c r="B6505" s="6" t="s">
        <v>12381</v>
      </c>
      <c r="C6505" s="8"/>
      <c r="D6505" s="8"/>
      <c r="E6505" s="8"/>
    </row>
    <row r="6506" spans="1:5" ht="15" customHeight="1" outlineLevel="2" x14ac:dyDescent="0.25">
      <c r="A6506" s="3" t="str">
        <f>HYPERLINK("http://mystore1.ru/price_items/search?utf8=%E2%9C%93&amp;oem=6293ACCCMVWZ2R","6293ACCCMVWZ2R")</f>
        <v>6293ACCCMVWZ2R</v>
      </c>
      <c r="B6506" s="1" t="s">
        <v>12382</v>
      </c>
      <c r="C6506" s="9" t="s">
        <v>642</v>
      </c>
      <c r="D6506" s="14" t="s">
        <v>12383</v>
      </c>
      <c r="E6506" s="9" t="s">
        <v>8</v>
      </c>
    </row>
    <row r="6507" spans="1:5" ht="15" customHeight="1" outlineLevel="2" x14ac:dyDescent="0.25">
      <c r="A6507" s="3" t="str">
        <f>HYPERLINK("http://mystore1.ru/price_items/search?utf8=%E2%9C%93&amp;oem=6293AGNMVWZ1R","6293AGNMVWZ1R")</f>
        <v>6293AGNMVWZ1R</v>
      </c>
      <c r="B6507" s="1" t="s">
        <v>12384</v>
      </c>
      <c r="C6507" s="9" t="s">
        <v>642</v>
      </c>
      <c r="D6507" s="14" t="s">
        <v>12385</v>
      </c>
      <c r="E6507" s="9" t="s">
        <v>8</v>
      </c>
    </row>
    <row r="6508" spans="1:5" ht="15" customHeight="1" outlineLevel="2" x14ac:dyDescent="0.25">
      <c r="A6508" s="3" t="str">
        <f>HYPERLINK("http://mystore1.ru/price_items/search?utf8=%E2%9C%93&amp;oem=6293BGNHAJ","6293BGNHAJ")</f>
        <v>6293BGNHAJ</v>
      </c>
      <c r="B6508" s="1" t="s">
        <v>12386</v>
      </c>
      <c r="C6508" s="9" t="s">
        <v>642</v>
      </c>
      <c r="D6508" s="14" t="s">
        <v>12387</v>
      </c>
      <c r="E6508" s="9" t="s">
        <v>30</v>
      </c>
    </row>
    <row r="6509" spans="1:5" ht="15" customHeight="1" outlineLevel="2" x14ac:dyDescent="0.25">
      <c r="A6509" s="3" t="str">
        <f>HYPERLINK("http://mystore1.ru/price_items/search?utf8=%E2%9C%93&amp;oem=6293BGDEWZ","6293BGDEWZ")</f>
        <v>6293BGDEWZ</v>
      </c>
      <c r="B6509" s="1" t="s">
        <v>12388</v>
      </c>
      <c r="C6509" s="9" t="s">
        <v>642</v>
      </c>
      <c r="D6509" s="14" t="s">
        <v>12389</v>
      </c>
      <c r="E6509" s="9" t="s">
        <v>30</v>
      </c>
    </row>
    <row r="6510" spans="1:5" ht="15" customHeight="1" outlineLevel="2" x14ac:dyDescent="0.25">
      <c r="A6510" s="3" t="str">
        <f>HYPERLINK("http://mystore1.ru/price_items/search?utf8=%E2%9C%93&amp;oem=6293BGNEWZ","6293BGNEWZ")</f>
        <v>6293BGNEWZ</v>
      </c>
      <c r="B6510" s="1" t="s">
        <v>12390</v>
      </c>
      <c r="C6510" s="9" t="s">
        <v>642</v>
      </c>
      <c r="D6510" s="14" t="s">
        <v>12391</v>
      </c>
      <c r="E6510" s="9" t="s">
        <v>30</v>
      </c>
    </row>
    <row r="6511" spans="1:5" outlineLevel="1" x14ac:dyDescent="0.25">
      <c r="A6511" s="2"/>
      <c r="B6511" s="6" t="s">
        <v>12392</v>
      </c>
      <c r="C6511" s="8"/>
      <c r="D6511" s="8"/>
      <c r="E6511" s="8"/>
    </row>
    <row r="6512" spans="1:5" ht="15" customHeight="1" outlineLevel="2" x14ac:dyDescent="0.25">
      <c r="A6512" s="3" t="str">
        <f>HYPERLINK("http://mystore1.ru/price_items/search?utf8=%E2%9C%93&amp;oem=6243ABZBL","6243ABZBL")</f>
        <v>6243ABZBL</v>
      </c>
      <c r="B6512" s="1" t="s">
        <v>12393</v>
      </c>
      <c r="C6512" s="9" t="s">
        <v>12394</v>
      </c>
      <c r="D6512" s="14" t="s">
        <v>12395</v>
      </c>
      <c r="E6512" s="9" t="s">
        <v>8</v>
      </c>
    </row>
    <row r="6513" spans="1:5" ht="15" customHeight="1" outlineLevel="2" x14ac:dyDescent="0.25">
      <c r="A6513" s="3" t="str">
        <f>HYPERLINK("http://mystore1.ru/price_items/search?utf8=%E2%9C%93&amp;oem=6243ACL","6243ACL")</f>
        <v>6243ACL</v>
      </c>
      <c r="B6513" s="1" t="s">
        <v>12396</v>
      </c>
      <c r="C6513" s="9" t="s">
        <v>12394</v>
      </c>
      <c r="D6513" s="14" t="s">
        <v>12397</v>
      </c>
      <c r="E6513" s="9" t="s">
        <v>8</v>
      </c>
    </row>
    <row r="6514" spans="1:5" ht="15" customHeight="1" outlineLevel="2" x14ac:dyDescent="0.25">
      <c r="A6514" s="3" t="str">
        <f>HYPERLINK("http://mystore1.ru/price_items/search?utf8=%E2%9C%93&amp;oem=6243AGNBL","6243AGNBL")</f>
        <v>6243AGNBL</v>
      </c>
      <c r="B6514" s="1" t="s">
        <v>12398</v>
      </c>
      <c r="C6514" s="9" t="s">
        <v>12394</v>
      </c>
      <c r="D6514" s="14" t="s">
        <v>12399</v>
      </c>
      <c r="E6514" s="9" t="s">
        <v>8</v>
      </c>
    </row>
    <row r="6515" spans="1:5" ht="15" customHeight="1" outlineLevel="2" x14ac:dyDescent="0.25">
      <c r="A6515" s="3" t="str">
        <f>HYPERLINK("http://mystore1.ru/price_items/search?utf8=%E2%9C%93&amp;oem=6243ASRH","6243ASRH")</f>
        <v>6243ASRH</v>
      </c>
      <c r="B6515" s="1" t="s">
        <v>12400</v>
      </c>
      <c r="C6515" s="9" t="s">
        <v>25</v>
      </c>
      <c r="D6515" s="14" t="s">
        <v>12401</v>
      </c>
      <c r="E6515" s="9" t="s">
        <v>27</v>
      </c>
    </row>
    <row r="6516" spans="1:5" outlineLevel="1" x14ac:dyDescent="0.25">
      <c r="A6516" s="2"/>
      <c r="B6516" s="6" t="s">
        <v>12402</v>
      </c>
      <c r="C6516" s="8"/>
      <c r="D6516" s="8"/>
      <c r="E6516" s="8"/>
    </row>
    <row r="6517" spans="1:5" ht="15" customHeight="1" outlineLevel="2" x14ac:dyDescent="0.25">
      <c r="A6517" s="3" t="str">
        <f>HYPERLINK("http://mystore1.ru/price_items/search?utf8=%E2%9C%93&amp;oem=6247ABZBL","6247ABZBL")</f>
        <v>6247ABZBL</v>
      </c>
      <c r="B6517" s="1" t="s">
        <v>12403</v>
      </c>
      <c r="C6517" s="9" t="s">
        <v>311</v>
      </c>
      <c r="D6517" s="14" t="s">
        <v>12404</v>
      </c>
      <c r="E6517" s="9" t="s">
        <v>8</v>
      </c>
    </row>
    <row r="6518" spans="1:5" ht="15" customHeight="1" outlineLevel="2" x14ac:dyDescent="0.25">
      <c r="A6518" s="3" t="str">
        <f>HYPERLINK("http://mystore1.ru/price_items/search?utf8=%E2%9C%93&amp;oem=6247ACL","6247ACL")</f>
        <v>6247ACL</v>
      </c>
      <c r="B6518" s="1" t="s">
        <v>12405</v>
      </c>
      <c r="C6518" s="9" t="s">
        <v>311</v>
      </c>
      <c r="D6518" s="14" t="s">
        <v>12406</v>
      </c>
      <c r="E6518" s="9" t="s">
        <v>8</v>
      </c>
    </row>
    <row r="6519" spans="1:5" ht="15" customHeight="1" outlineLevel="2" x14ac:dyDescent="0.25">
      <c r="A6519" s="3" t="str">
        <f>HYPERLINK("http://mystore1.ru/price_items/search?utf8=%E2%9C%93&amp;oem=6247AGNBL","6247AGNBL")</f>
        <v>6247AGNBL</v>
      </c>
      <c r="B6519" s="1" t="s">
        <v>12407</v>
      </c>
      <c r="C6519" s="9" t="s">
        <v>311</v>
      </c>
      <c r="D6519" s="14" t="s">
        <v>12408</v>
      </c>
      <c r="E6519" s="9" t="s">
        <v>8</v>
      </c>
    </row>
    <row r="6520" spans="1:5" ht="15" customHeight="1" outlineLevel="2" x14ac:dyDescent="0.25">
      <c r="A6520" s="3" t="str">
        <f>HYPERLINK("http://mystore1.ru/price_items/search?utf8=%E2%9C%93&amp;oem=6247ASMH","6247ASMH")</f>
        <v>6247ASMH</v>
      </c>
      <c r="B6520" s="1" t="s">
        <v>12409</v>
      </c>
      <c r="C6520" s="9" t="s">
        <v>25</v>
      </c>
      <c r="D6520" s="14" t="s">
        <v>12410</v>
      </c>
      <c r="E6520" s="9" t="s">
        <v>27</v>
      </c>
    </row>
    <row r="6521" spans="1:5" ht="15" customHeight="1" outlineLevel="2" x14ac:dyDescent="0.25">
      <c r="A6521" s="3" t="str">
        <f>HYPERLINK("http://mystore1.ru/price_items/search?utf8=%E2%9C%93&amp;oem=6247BBZH","6247BBZH")</f>
        <v>6247BBZH</v>
      </c>
      <c r="B6521" s="1" t="s">
        <v>12411</v>
      </c>
      <c r="C6521" s="9" t="s">
        <v>311</v>
      </c>
      <c r="D6521" s="14" t="s">
        <v>12412</v>
      </c>
      <c r="E6521" s="9" t="s">
        <v>30</v>
      </c>
    </row>
    <row r="6522" spans="1:5" ht="15" customHeight="1" outlineLevel="2" x14ac:dyDescent="0.25">
      <c r="A6522" s="3" t="str">
        <f>HYPERLINK("http://mystore1.ru/price_items/search?utf8=%E2%9C%93&amp;oem=6247BCLE","6247BCLE")</f>
        <v>6247BCLE</v>
      </c>
      <c r="B6522" s="1" t="s">
        <v>12413</v>
      </c>
      <c r="C6522" s="9" t="s">
        <v>311</v>
      </c>
      <c r="D6522" s="14" t="s">
        <v>12414</v>
      </c>
      <c r="E6522" s="9" t="s">
        <v>30</v>
      </c>
    </row>
    <row r="6523" spans="1:5" ht="15" customHeight="1" outlineLevel="2" x14ac:dyDescent="0.25">
      <c r="A6523" s="3" t="str">
        <f>HYPERLINK("http://mystore1.ru/price_items/search?utf8=%E2%9C%93&amp;oem=6247BCLH","6247BCLH")</f>
        <v>6247BCLH</v>
      </c>
      <c r="B6523" s="1" t="s">
        <v>12415</v>
      </c>
      <c r="C6523" s="9" t="s">
        <v>311</v>
      </c>
      <c r="D6523" s="14" t="s">
        <v>12416</v>
      </c>
      <c r="E6523" s="9" t="s">
        <v>30</v>
      </c>
    </row>
    <row r="6524" spans="1:5" ht="15" customHeight="1" outlineLevel="2" x14ac:dyDescent="0.25">
      <c r="A6524" s="3" t="str">
        <f>HYPERLINK("http://mystore1.ru/price_items/search?utf8=%E2%9C%93&amp;oem=6247BCLH1H","6247BCLH1H")</f>
        <v>6247BCLH1H</v>
      </c>
      <c r="B6524" s="1" t="s">
        <v>12417</v>
      </c>
      <c r="C6524" s="9" t="s">
        <v>311</v>
      </c>
      <c r="D6524" s="14" t="s">
        <v>12418</v>
      </c>
      <c r="E6524" s="9" t="s">
        <v>30</v>
      </c>
    </row>
    <row r="6525" spans="1:5" ht="15" customHeight="1" outlineLevel="2" x14ac:dyDescent="0.25">
      <c r="A6525" s="3" t="str">
        <f>HYPERLINK("http://mystore1.ru/price_items/search?utf8=%E2%9C%93&amp;oem=6247BCLS","6247BCLS")</f>
        <v>6247BCLS</v>
      </c>
      <c r="B6525" s="1" t="s">
        <v>12419</v>
      </c>
      <c r="C6525" s="9" t="s">
        <v>311</v>
      </c>
      <c r="D6525" s="14" t="s">
        <v>12420</v>
      </c>
      <c r="E6525" s="9" t="s">
        <v>30</v>
      </c>
    </row>
    <row r="6526" spans="1:5" ht="15" customHeight="1" outlineLevel="2" x14ac:dyDescent="0.25">
      <c r="A6526" s="3" t="str">
        <f>HYPERLINK("http://mystore1.ru/price_items/search?utf8=%E2%9C%93&amp;oem=6247BGNE","6247BGNE")</f>
        <v>6247BGNE</v>
      </c>
      <c r="B6526" s="1" t="s">
        <v>12421</v>
      </c>
      <c r="C6526" s="9" t="s">
        <v>311</v>
      </c>
      <c r="D6526" s="14" t="s">
        <v>12422</v>
      </c>
      <c r="E6526" s="9" t="s">
        <v>30</v>
      </c>
    </row>
    <row r="6527" spans="1:5" ht="15" customHeight="1" outlineLevel="2" x14ac:dyDescent="0.25">
      <c r="A6527" s="3" t="str">
        <f>HYPERLINK("http://mystore1.ru/price_items/search?utf8=%E2%9C%93&amp;oem=6247BGNH","6247BGNH")</f>
        <v>6247BGNH</v>
      </c>
      <c r="B6527" s="1" t="s">
        <v>12423</v>
      </c>
      <c r="C6527" s="9" t="s">
        <v>311</v>
      </c>
      <c r="D6527" s="14" t="s">
        <v>12424</v>
      </c>
      <c r="E6527" s="9" t="s">
        <v>30</v>
      </c>
    </row>
    <row r="6528" spans="1:5" ht="15" customHeight="1" outlineLevel="2" x14ac:dyDescent="0.25">
      <c r="A6528" s="3" t="str">
        <f>HYPERLINK("http://mystore1.ru/price_items/search?utf8=%E2%9C%93&amp;oem=6247BGNH1H","6247BGNH1H")</f>
        <v>6247BGNH1H</v>
      </c>
      <c r="B6528" s="1" t="s">
        <v>12425</v>
      </c>
      <c r="C6528" s="9" t="s">
        <v>311</v>
      </c>
      <c r="D6528" s="14" t="s">
        <v>12426</v>
      </c>
      <c r="E6528" s="9" t="s">
        <v>30</v>
      </c>
    </row>
    <row r="6529" spans="1:5" ht="15" customHeight="1" outlineLevel="2" x14ac:dyDescent="0.25">
      <c r="A6529" s="3" t="str">
        <f>HYPERLINK("http://mystore1.ru/price_items/search?utf8=%E2%9C%93&amp;oem=6247BGNS","6247BGNS")</f>
        <v>6247BGNS</v>
      </c>
      <c r="B6529" s="1" t="s">
        <v>12427</v>
      </c>
      <c r="C6529" s="9" t="s">
        <v>311</v>
      </c>
      <c r="D6529" s="14" t="s">
        <v>12428</v>
      </c>
      <c r="E6529" s="9" t="s">
        <v>30</v>
      </c>
    </row>
    <row r="6530" spans="1:5" ht="15" customHeight="1" outlineLevel="2" x14ac:dyDescent="0.25">
      <c r="A6530" s="3" t="str">
        <f>HYPERLINK("http://mystore1.ru/price_items/search?utf8=%E2%9C%93&amp;oem=6247BSME","6247BSME")</f>
        <v>6247BSME</v>
      </c>
      <c r="B6530" s="1" t="s">
        <v>12429</v>
      </c>
      <c r="C6530" s="9" t="s">
        <v>25</v>
      </c>
      <c r="D6530" s="14" t="s">
        <v>12430</v>
      </c>
      <c r="E6530" s="9" t="s">
        <v>27</v>
      </c>
    </row>
    <row r="6531" spans="1:5" ht="15" customHeight="1" outlineLevel="2" x14ac:dyDescent="0.25">
      <c r="A6531" s="3" t="str">
        <f>HYPERLINK("http://mystore1.ru/price_items/search?utf8=%E2%9C%93&amp;oem=6247BSMH","6247BSMH")</f>
        <v>6247BSMH</v>
      </c>
      <c r="B6531" s="1" t="s">
        <v>12431</v>
      </c>
      <c r="C6531" s="9" t="s">
        <v>25</v>
      </c>
      <c r="D6531" s="14" t="s">
        <v>12432</v>
      </c>
      <c r="E6531" s="9" t="s">
        <v>27</v>
      </c>
    </row>
    <row r="6532" spans="1:5" ht="15" customHeight="1" outlineLevel="2" x14ac:dyDescent="0.25">
      <c r="A6532" s="3" t="str">
        <f>HYPERLINK("http://mystore1.ru/price_items/search?utf8=%E2%9C%93&amp;oem=6247LCLE3RQ","6247LCLE3RQ")</f>
        <v>6247LCLE3RQ</v>
      </c>
      <c r="B6532" s="1" t="s">
        <v>12433</v>
      </c>
      <c r="C6532" s="9" t="s">
        <v>311</v>
      </c>
      <c r="D6532" s="14" t="s">
        <v>12434</v>
      </c>
      <c r="E6532" s="9" t="s">
        <v>11</v>
      </c>
    </row>
    <row r="6533" spans="1:5" ht="15" customHeight="1" outlineLevel="2" x14ac:dyDescent="0.25">
      <c r="A6533" s="3" t="str">
        <f>HYPERLINK("http://mystore1.ru/price_items/search?utf8=%E2%9C%93&amp;oem=6247LCLH3FD","6247LCLH3FD")</f>
        <v>6247LCLH3FD</v>
      </c>
      <c r="B6533" s="1" t="s">
        <v>12435</v>
      </c>
      <c r="C6533" s="9" t="s">
        <v>311</v>
      </c>
      <c r="D6533" s="14" t="s">
        <v>12436</v>
      </c>
      <c r="E6533" s="9" t="s">
        <v>11</v>
      </c>
    </row>
    <row r="6534" spans="1:5" ht="15" customHeight="1" outlineLevel="2" x14ac:dyDescent="0.25">
      <c r="A6534" s="3" t="str">
        <f>HYPERLINK("http://mystore1.ru/price_items/search?utf8=%E2%9C%93&amp;oem=6247LCLH3RQ","6247LCLH3RQ")</f>
        <v>6247LCLH3RQ</v>
      </c>
      <c r="B6534" s="1" t="s">
        <v>12437</v>
      </c>
      <c r="C6534" s="9" t="s">
        <v>311</v>
      </c>
      <c r="D6534" s="14" t="s">
        <v>12438</v>
      </c>
      <c r="E6534" s="9" t="s">
        <v>11</v>
      </c>
    </row>
    <row r="6535" spans="1:5" ht="15" customHeight="1" outlineLevel="2" x14ac:dyDescent="0.25">
      <c r="A6535" s="3" t="str">
        <f>HYPERLINK("http://mystore1.ru/price_items/search?utf8=%E2%9C%93&amp;oem=6247LCLH5FD","6247LCLH5FD")</f>
        <v>6247LCLH5FD</v>
      </c>
      <c r="B6535" s="1" t="s">
        <v>12439</v>
      </c>
      <c r="C6535" s="9" t="s">
        <v>311</v>
      </c>
      <c r="D6535" s="14" t="s">
        <v>12440</v>
      </c>
      <c r="E6535" s="9" t="s">
        <v>11</v>
      </c>
    </row>
    <row r="6536" spans="1:5" ht="15" customHeight="1" outlineLevel="2" x14ac:dyDescent="0.25">
      <c r="A6536" s="3" t="str">
        <f>HYPERLINK("http://mystore1.ru/price_items/search?utf8=%E2%9C%93&amp;oem=6247LCLH5RD","6247LCLH5RD")</f>
        <v>6247LCLH5RD</v>
      </c>
      <c r="B6536" s="1" t="s">
        <v>12441</v>
      </c>
      <c r="C6536" s="9" t="s">
        <v>311</v>
      </c>
      <c r="D6536" s="14" t="s">
        <v>12442</v>
      </c>
      <c r="E6536" s="9" t="s">
        <v>11</v>
      </c>
    </row>
    <row r="6537" spans="1:5" ht="15" customHeight="1" outlineLevel="2" x14ac:dyDescent="0.25">
      <c r="A6537" s="3" t="str">
        <f>HYPERLINK("http://mystore1.ru/price_items/search?utf8=%E2%9C%93&amp;oem=6247LCLH5RV","6247LCLH5RV")</f>
        <v>6247LCLH5RV</v>
      </c>
      <c r="B6537" s="1" t="s">
        <v>12443</v>
      </c>
      <c r="C6537" s="9" t="s">
        <v>311</v>
      </c>
      <c r="D6537" s="14" t="s">
        <v>12444</v>
      </c>
      <c r="E6537" s="9" t="s">
        <v>11</v>
      </c>
    </row>
    <row r="6538" spans="1:5" ht="15" customHeight="1" outlineLevel="2" x14ac:dyDescent="0.25">
      <c r="A6538" s="3" t="str">
        <f>HYPERLINK("http://mystore1.ru/price_items/search?utf8=%E2%9C%93&amp;oem=6247LCLS4RV","6247LCLS4RV")</f>
        <v>6247LCLS4RV</v>
      </c>
      <c r="B6538" s="1" t="s">
        <v>12445</v>
      </c>
      <c r="C6538" s="9" t="s">
        <v>311</v>
      </c>
      <c r="D6538" s="14" t="s">
        <v>12446</v>
      </c>
      <c r="E6538" s="9" t="s">
        <v>11</v>
      </c>
    </row>
    <row r="6539" spans="1:5" ht="15" customHeight="1" outlineLevel="2" x14ac:dyDescent="0.25">
      <c r="A6539" s="3" t="str">
        <f>HYPERLINK("http://mystore1.ru/price_items/search?utf8=%E2%9C%93&amp;oem=6247LGNE5RD","6247LGNE5RD")</f>
        <v>6247LGNE5RD</v>
      </c>
      <c r="B6539" s="1" t="s">
        <v>12447</v>
      </c>
      <c r="C6539" s="9" t="s">
        <v>311</v>
      </c>
      <c r="D6539" s="14" t="s">
        <v>12448</v>
      </c>
      <c r="E6539" s="9" t="s">
        <v>11</v>
      </c>
    </row>
    <row r="6540" spans="1:5" ht="15" customHeight="1" outlineLevel="2" x14ac:dyDescent="0.25">
      <c r="A6540" s="3" t="str">
        <f>HYPERLINK("http://mystore1.ru/price_items/search?utf8=%E2%9C%93&amp;oem=6247LGNH3FD","6247LGNH3FD")</f>
        <v>6247LGNH3FD</v>
      </c>
      <c r="B6540" s="1" t="s">
        <v>12449</v>
      </c>
      <c r="C6540" s="9" t="s">
        <v>311</v>
      </c>
      <c r="D6540" s="14" t="s">
        <v>12450</v>
      </c>
      <c r="E6540" s="9" t="s">
        <v>11</v>
      </c>
    </row>
    <row r="6541" spans="1:5" ht="15" customHeight="1" outlineLevel="2" x14ac:dyDescent="0.25">
      <c r="A6541" s="3" t="str">
        <f>HYPERLINK("http://mystore1.ru/price_items/search?utf8=%E2%9C%93&amp;oem=6247LGNH3RQ","6247LGNH3RQ")</f>
        <v>6247LGNH3RQ</v>
      </c>
      <c r="B6541" s="1" t="s">
        <v>12451</v>
      </c>
      <c r="C6541" s="9" t="s">
        <v>311</v>
      </c>
      <c r="D6541" s="14" t="s">
        <v>12452</v>
      </c>
      <c r="E6541" s="9" t="s">
        <v>11</v>
      </c>
    </row>
    <row r="6542" spans="1:5" ht="15" customHeight="1" outlineLevel="2" x14ac:dyDescent="0.25">
      <c r="A6542" s="3" t="str">
        <f>HYPERLINK("http://mystore1.ru/price_items/search?utf8=%E2%9C%93&amp;oem=6247LGNH5FD","6247LGNH5FD")</f>
        <v>6247LGNH5FD</v>
      </c>
      <c r="B6542" s="1" t="s">
        <v>12453</v>
      </c>
      <c r="C6542" s="9" t="s">
        <v>311</v>
      </c>
      <c r="D6542" s="14" t="s">
        <v>12454</v>
      </c>
      <c r="E6542" s="9" t="s">
        <v>11</v>
      </c>
    </row>
    <row r="6543" spans="1:5" ht="15" customHeight="1" outlineLevel="2" x14ac:dyDescent="0.25">
      <c r="A6543" s="3" t="str">
        <f>HYPERLINK("http://mystore1.ru/price_items/search?utf8=%E2%9C%93&amp;oem=6247LGNH5RD","6247LGNH5RD")</f>
        <v>6247LGNH5RD</v>
      </c>
      <c r="B6543" s="1" t="s">
        <v>12455</v>
      </c>
      <c r="C6543" s="9" t="s">
        <v>311</v>
      </c>
      <c r="D6543" s="14" t="s">
        <v>12456</v>
      </c>
      <c r="E6543" s="9" t="s">
        <v>11</v>
      </c>
    </row>
    <row r="6544" spans="1:5" ht="15" customHeight="1" outlineLevel="2" x14ac:dyDescent="0.25">
      <c r="A6544" s="3" t="str">
        <f>HYPERLINK("http://mystore1.ru/price_items/search?utf8=%E2%9C%93&amp;oem=6247LGNH5RV","6247LGNH5RV")</f>
        <v>6247LGNH5RV</v>
      </c>
      <c r="B6544" s="1" t="s">
        <v>12457</v>
      </c>
      <c r="C6544" s="9" t="s">
        <v>311</v>
      </c>
      <c r="D6544" s="14" t="s">
        <v>12458</v>
      </c>
      <c r="E6544" s="9" t="s">
        <v>11</v>
      </c>
    </row>
    <row r="6545" spans="1:5" ht="15" customHeight="1" outlineLevel="2" x14ac:dyDescent="0.25">
      <c r="A6545" s="3" t="str">
        <f>HYPERLINK("http://mystore1.ru/price_items/search?utf8=%E2%9C%93&amp;oem=6247LGNS4RD","6247LGNS4RD")</f>
        <v>6247LGNS4RD</v>
      </c>
      <c r="B6545" s="1" t="s">
        <v>12459</v>
      </c>
      <c r="C6545" s="9" t="s">
        <v>311</v>
      </c>
      <c r="D6545" s="14" t="s">
        <v>12460</v>
      </c>
      <c r="E6545" s="9" t="s">
        <v>11</v>
      </c>
    </row>
    <row r="6546" spans="1:5" ht="15" customHeight="1" outlineLevel="2" x14ac:dyDescent="0.25">
      <c r="A6546" s="3" t="str">
        <f>HYPERLINK("http://mystore1.ru/price_items/search?utf8=%E2%9C%93&amp;oem=6247LGNS4RV","6247LGNS4RV")</f>
        <v>6247LGNS4RV</v>
      </c>
      <c r="B6546" s="1" t="s">
        <v>12461</v>
      </c>
      <c r="C6546" s="9" t="s">
        <v>311</v>
      </c>
      <c r="D6546" s="14" t="s">
        <v>12462</v>
      </c>
      <c r="E6546" s="9" t="s">
        <v>11</v>
      </c>
    </row>
    <row r="6547" spans="1:5" ht="15" customHeight="1" outlineLevel="2" x14ac:dyDescent="0.25">
      <c r="A6547" s="3" t="str">
        <f>HYPERLINK("http://mystore1.ru/price_items/search?utf8=%E2%9C%93&amp;oem=6247RCLE3RQ","6247RCLE3RQ")</f>
        <v>6247RCLE3RQ</v>
      </c>
      <c r="B6547" s="1" t="s">
        <v>12463</v>
      </c>
      <c r="C6547" s="9" t="s">
        <v>311</v>
      </c>
      <c r="D6547" s="14" t="s">
        <v>12464</v>
      </c>
      <c r="E6547" s="9" t="s">
        <v>11</v>
      </c>
    </row>
    <row r="6548" spans="1:5" ht="15" customHeight="1" outlineLevel="2" x14ac:dyDescent="0.25">
      <c r="A6548" s="3" t="str">
        <f>HYPERLINK("http://mystore1.ru/price_items/search?utf8=%E2%9C%93&amp;oem=6247RCLE5RV","6247RCLE5RV")</f>
        <v>6247RCLE5RV</v>
      </c>
      <c r="B6548" s="1" t="s">
        <v>12465</v>
      </c>
      <c r="C6548" s="9" t="s">
        <v>311</v>
      </c>
      <c r="D6548" s="14" t="s">
        <v>12466</v>
      </c>
      <c r="E6548" s="9" t="s">
        <v>11</v>
      </c>
    </row>
    <row r="6549" spans="1:5" ht="15" customHeight="1" outlineLevel="2" x14ac:dyDescent="0.25">
      <c r="A6549" s="3" t="str">
        <f>HYPERLINK("http://mystore1.ru/price_items/search?utf8=%E2%9C%93&amp;oem=6247RCLH3FD","6247RCLH3FD")</f>
        <v>6247RCLH3FD</v>
      </c>
      <c r="B6549" s="1" t="s">
        <v>12467</v>
      </c>
      <c r="C6549" s="9" t="s">
        <v>311</v>
      </c>
      <c r="D6549" s="14" t="s">
        <v>12468</v>
      </c>
      <c r="E6549" s="9" t="s">
        <v>11</v>
      </c>
    </row>
    <row r="6550" spans="1:5" ht="15" customHeight="1" outlineLevel="2" x14ac:dyDescent="0.25">
      <c r="A6550" s="3" t="str">
        <f>HYPERLINK("http://mystore1.ru/price_items/search?utf8=%E2%9C%93&amp;oem=6247RCLH3RQ","6247RCLH3RQ")</f>
        <v>6247RCLH3RQ</v>
      </c>
      <c r="B6550" s="1" t="s">
        <v>12469</v>
      </c>
      <c r="C6550" s="9" t="s">
        <v>311</v>
      </c>
      <c r="D6550" s="14" t="s">
        <v>12470</v>
      </c>
      <c r="E6550" s="9" t="s">
        <v>11</v>
      </c>
    </row>
    <row r="6551" spans="1:5" ht="15" customHeight="1" outlineLevel="2" x14ac:dyDescent="0.25">
      <c r="A6551" s="3" t="str">
        <f>HYPERLINK("http://mystore1.ru/price_items/search?utf8=%E2%9C%93&amp;oem=6247RCLH5FD","6247RCLH5FD")</f>
        <v>6247RCLH5FD</v>
      </c>
      <c r="B6551" s="1" t="s">
        <v>12471</v>
      </c>
      <c r="C6551" s="9" t="s">
        <v>311</v>
      </c>
      <c r="D6551" s="14" t="s">
        <v>12472</v>
      </c>
      <c r="E6551" s="9" t="s">
        <v>11</v>
      </c>
    </row>
    <row r="6552" spans="1:5" ht="15" customHeight="1" outlineLevel="2" x14ac:dyDescent="0.25">
      <c r="A6552" s="3" t="str">
        <f>HYPERLINK("http://mystore1.ru/price_items/search?utf8=%E2%9C%93&amp;oem=6247RCLH5RD","6247RCLH5RD")</f>
        <v>6247RCLH5RD</v>
      </c>
      <c r="B6552" s="1" t="s">
        <v>12473</v>
      </c>
      <c r="C6552" s="9" t="s">
        <v>311</v>
      </c>
      <c r="D6552" s="14" t="s">
        <v>12474</v>
      </c>
      <c r="E6552" s="9" t="s">
        <v>11</v>
      </c>
    </row>
    <row r="6553" spans="1:5" ht="15" customHeight="1" outlineLevel="2" x14ac:dyDescent="0.25">
      <c r="A6553" s="3" t="str">
        <f>HYPERLINK("http://mystore1.ru/price_items/search?utf8=%E2%9C%93&amp;oem=6247RCLH5RV","6247RCLH5RV")</f>
        <v>6247RCLH5RV</v>
      </c>
      <c r="B6553" s="1" t="s">
        <v>12475</v>
      </c>
      <c r="C6553" s="9" t="s">
        <v>311</v>
      </c>
      <c r="D6553" s="14" t="s">
        <v>12476</v>
      </c>
      <c r="E6553" s="9" t="s">
        <v>11</v>
      </c>
    </row>
    <row r="6554" spans="1:5" ht="15" customHeight="1" outlineLevel="2" x14ac:dyDescent="0.25">
      <c r="A6554" s="3" t="str">
        <f>HYPERLINK("http://mystore1.ru/price_items/search?utf8=%E2%9C%93&amp;oem=6247RCLS4RV","6247RCLS4RV")</f>
        <v>6247RCLS4RV</v>
      </c>
      <c r="B6554" s="1" t="s">
        <v>12477</v>
      </c>
      <c r="C6554" s="9" t="s">
        <v>311</v>
      </c>
      <c r="D6554" s="14" t="s">
        <v>12478</v>
      </c>
      <c r="E6554" s="9" t="s">
        <v>11</v>
      </c>
    </row>
    <row r="6555" spans="1:5" ht="15" customHeight="1" outlineLevel="2" x14ac:dyDescent="0.25">
      <c r="A6555" s="3" t="str">
        <f>HYPERLINK("http://mystore1.ru/price_items/search?utf8=%E2%9C%93&amp;oem=6247RGNE5RD","6247RGNE5RD")</f>
        <v>6247RGNE5RD</v>
      </c>
      <c r="B6555" s="1" t="s">
        <v>12479</v>
      </c>
      <c r="C6555" s="9" t="s">
        <v>311</v>
      </c>
      <c r="D6555" s="14" t="s">
        <v>12480</v>
      </c>
      <c r="E6555" s="9" t="s">
        <v>11</v>
      </c>
    </row>
    <row r="6556" spans="1:5" ht="15" customHeight="1" outlineLevel="2" x14ac:dyDescent="0.25">
      <c r="A6556" s="3" t="str">
        <f>HYPERLINK("http://mystore1.ru/price_items/search?utf8=%E2%9C%93&amp;oem=6247RGNE5RV","6247RGNE5RV")</f>
        <v>6247RGNE5RV</v>
      </c>
      <c r="B6556" s="1" t="s">
        <v>12481</v>
      </c>
      <c r="C6556" s="9" t="s">
        <v>311</v>
      </c>
      <c r="D6556" s="14" t="s">
        <v>12482</v>
      </c>
      <c r="E6556" s="9" t="s">
        <v>11</v>
      </c>
    </row>
    <row r="6557" spans="1:5" ht="15" customHeight="1" outlineLevel="2" x14ac:dyDescent="0.25">
      <c r="A6557" s="3" t="str">
        <f>HYPERLINK("http://mystore1.ru/price_items/search?utf8=%E2%9C%93&amp;oem=6247RGNH3FD","6247RGNH3FD")</f>
        <v>6247RGNH3FD</v>
      </c>
      <c r="B6557" s="1" t="s">
        <v>12483</v>
      </c>
      <c r="C6557" s="9" t="s">
        <v>311</v>
      </c>
      <c r="D6557" s="14" t="s">
        <v>12484</v>
      </c>
      <c r="E6557" s="9" t="s">
        <v>11</v>
      </c>
    </row>
    <row r="6558" spans="1:5" ht="15" customHeight="1" outlineLevel="2" x14ac:dyDescent="0.25">
      <c r="A6558" s="3" t="str">
        <f>HYPERLINK("http://mystore1.ru/price_items/search?utf8=%E2%9C%93&amp;oem=6247RGNH3RQ","6247RGNH3RQ")</f>
        <v>6247RGNH3RQ</v>
      </c>
      <c r="B6558" s="1" t="s">
        <v>12485</v>
      </c>
      <c r="C6558" s="9" t="s">
        <v>311</v>
      </c>
      <c r="D6558" s="14" t="s">
        <v>12486</v>
      </c>
      <c r="E6558" s="9" t="s">
        <v>11</v>
      </c>
    </row>
    <row r="6559" spans="1:5" ht="15" customHeight="1" outlineLevel="2" x14ac:dyDescent="0.25">
      <c r="A6559" s="3" t="str">
        <f>HYPERLINK("http://mystore1.ru/price_items/search?utf8=%E2%9C%93&amp;oem=6247RGNH5FD","6247RGNH5FD")</f>
        <v>6247RGNH5FD</v>
      </c>
      <c r="B6559" s="1" t="s">
        <v>12487</v>
      </c>
      <c r="C6559" s="9" t="s">
        <v>311</v>
      </c>
      <c r="D6559" s="14" t="s">
        <v>12488</v>
      </c>
      <c r="E6559" s="9" t="s">
        <v>11</v>
      </c>
    </row>
    <row r="6560" spans="1:5" ht="15" customHeight="1" outlineLevel="2" x14ac:dyDescent="0.25">
      <c r="A6560" s="3" t="str">
        <f>HYPERLINK("http://mystore1.ru/price_items/search?utf8=%E2%9C%93&amp;oem=6247RGNH5RD","6247RGNH5RD")</f>
        <v>6247RGNH5RD</v>
      </c>
      <c r="B6560" s="1" t="s">
        <v>12489</v>
      </c>
      <c r="C6560" s="9" t="s">
        <v>311</v>
      </c>
      <c r="D6560" s="14" t="s">
        <v>12490</v>
      </c>
      <c r="E6560" s="9" t="s">
        <v>11</v>
      </c>
    </row>
    <row r="6561" spans="1:5" ht="15" customHeight="1" outlineLevel="2" x14ac:dyDescent="0.25">
      <c r="A6561" s="3" t="str">
        <f>HYPERLINK("http://mystore1.ru/price_items/search?utf8=%E2%9C%93&amp;oem=6247RGNH5RV","6247RGNH5RV")</f>
        <v>6247RGNH5RV</v>
      </c>
      <c r="B6561" s="1" t="s">
        <v>12491</v>
      </c>
      <c r="C6561" s="9" t="s">
        <v>311</v>
      </c>
      <c r="D6561" s="14" t="s">
        <v>12492</v>
      </c>
      <c r="E6561" s="9" t="s">
        <v>11</v>
      </c>
    </row>
    <row r="6562" spans="1:5" ht="15" customHeight="1" outlineLevel="2" x14ac:dyDescent="0.25">
      <c r="A6562" s="3" t="str">
        <f>HYPERLINK("http://mystore1.ru/price_items/search?utf8=%E2%9C%93&amp;oem=6247RGNS4RD","6247RGNS4RD")</f>
        <v>6247RGNS4RD</v>
      </c>
      <c r="B6562" s="1" t="s">
        <v>12493</v>
      </c>
      <c r="C6562" s="9" t="s">
        <v>311</v>
      </c>
      <c r="D6562" s="14" t="s">
        <v>12494</v>
      </c>
      <c r="E6562" s="9" t="s">
        <v>11</v>
      </c>
    </row>
    <row r="6563" spans="1:5" ht="15" customHeight="1" outlineLevel="2" x14ac:dyDescent="0.25">
      <c r="A6563" s="3" t="str">
        <f>HYPERLINK("http://mystore1.ru/price_items/search?utf8=%E2%9C%93&amp;oem=6247RGNS4RV","6247RGNS4RV")</f>
        <v>6247RGNS4RV</v>
      </c>
      <c r="B6563" s="1" t="s">
        <v>12495</v>
      </c>
      <c r="C6563" s="9" t="s">
        <v>311</v>
      </c>
      <c r="D6563" s="14" t="s">
        <v>12496</v>
      </c>
      <c r="E6563" s="9" t="s">
        <v>11</v>
      </c>
    </row>
    <row r="6564" spans="1:5" outlineLevel="1" x14ac:dyDescent="0.25">
      <c r="A6564" s="2"/>
      <c r="B6564" s="6" t="s">
        <v>12497</v>
      </c>
      <c r="C6564" s="8"/>
      <c r="D6564" s="8"/>
      <c r="E6564" s="8"/>
    </row>
    <row r="6565" spans="1:5" ht="15" customHeight="1" outlineLevel="2" x14ac:dyDescent="0.25">
      <c r="A6565" s="3" t="str">
        <f>HYPERLINK("http://mystore1.ru/price_items/search?utf8=%E2%9C%93&amp;oem=6288AGSBLV","6288AGSBLV")</f>
        <v>6288AGSBLV</v>
      </c>
      <c r="B6565" s="1" t="s">
        <v>12498</v>
      </c>
      <c r="C6565" s="9" t="s">
        <v>1201</v>
      </c>
      <c r="D6565" s="14" t="s">
        <v>12499</v>
      </c>
      <c r="E6565" s="9" t="s">
        <v>8</v>
      </c>
    </row>
    <row r="6566" spans="1:5" ht="15" customHeight="1" outlineLevel="2" x14ac:dyDescent="0.25">
      <c r="A6566" s="3" t="str">
        <f>HYPERLINK("http://mystore1.ru/price_items/search?utf8=%E2%9C%93&amp;oem=6288AGSV","6288AGSV")</f>
        <v>6288AGSV</v>
      </c>
      <c r="B6566" s="1" t="s">
        <v>12500</v>
      </c>
      <c r="C6566" s="9" t="s">
        <v>1201</v>
      </c>
      <c r="D6566" s="14" t="s">
        <v>12501</v>
      </c>
      <c r="E6566" s="9" t="s">
        <v>8</v>
      </c>
    </row>
    <row r="6567" spans="1:5" ht="15" customHeight="1" outlineLevel="2" x14ac:dyDescent="0.25">
      <c r="A6567" s="3" t="str">
        <f>HYPERLINK("http://mystore1.ru/price_items/search?utf8=%E2%9C%93&amp;oem=6288ASMVT","6288ASMVT")</f>
        <v>6288ASMVT</v>
      </c>
      <c r="B6567" s="1" t="s">
        <v>12502</v>
      </c>
      <c r="C6567" s="9" t="s">
        <v>25</v>
      </c>
      <c r="D6567" s="14" t="s">
        <v>12503</v>
      </c>
      <c r="E6567" s="9" t="s">
        <v>27</v>
      </c>
    </row>
    <row r="6568" spans="1:5" ht="15" customHeight="1" outlineLevel="2" x14ac:dyDescent="0.25">
      <c r="A6568" s="3" t="str">
        <f>HYPERLINK("http://mystore1.ru/price_items/search?utf8=%E2%9C%93&amp;oem=6288BGDV","6288BGDV")</f>
        <v>6288BGDV</v>
      </c>
      <c r="B6568" s="1" t="s">
        <v>12504</v>
      </c>
      <c r="C6568" s="9" t="s">
        <v>1201</v>
      </c>
      <c r="D6568" s="14" t="s">
        <v>12505</v>
      </c>
      <c r="E6568" s="9" t="s">
        <v>30</v>
      </c>
    </row>
    <row r="6569" spans="1:5" ht="15" customHeight="1" outlineLevel="2" x14ac:dyDescent="0.25">
      <c r="A6569" s="3" t="str">
        <f>HYPERLINK("http://mystore1.ru/price_items/search?utf8=%E2%9C%93&amp;oem=6288BGSV","6288BGSV")</f>
        <v>6288BGSV</v>
      </c>
      <c r="B6569" s="1" t="s">
        <v>12506</v>
      </c>
      <c r="C6569" s="9" t="s">
        <v>1201</v>
      </c>
      <c r="D6569" s="14" t="s">
        <v>12507</v>
      </c>
      <c r="E6569" s="9" t="s">
        <v>30</v>
      </c>
    </row>
    <row r="6570" spans="1:5" ht="15" customHeight="1" outlineLevel="2" x14ac:dyDescent="0.25">
      <c r="A6570" s="3" t="str">
        <f>HYPERLINK("http://mystore1.ru/price_items/search?utf8=%E2%9C%93&amp;oem=6288LGDV5RDW","6288LGDV5RDW")</f>
        <v>6288LGDV5RDW</v>
      </c>
      <c r="B6570" s="1" t="s">
        <v>12508</v>
      </c>
      <c r="C6570" s="9" t="s">
        <v>1201</v>
      </c>
      <c r="D6570" s="14" t="s">
        <v>12509</v>
      </c>
      <c r="E6570" s="9" t="s">
        <v>11</v>
      </c>
    </row>
    <row r="6571" spans="1:5" ht="15" customHeight="1" outlineLevel="2" x14ac:dyDescent="0.25">
      <c r="A6571" s="3" t="str">
        <f>HYPERLINK("http://mystore1.ru/price_items/search?utf8=%E2%9C%93&amp;oem=6288LGSV5FDW","6288LGSV5FDW")</f>
        <v>6288LGSV5FDW</v>
      </c>
      <c r="B6571" s="1" t="s">
        <v>12510</v>
      </c>
      <c r="C6571" s="9" t="s">
        <v>1201</v>
      </c>
      <c r="D6571" s="14" t="s">
        <v>12511</v>
      </c>
      <c r="E6571" s="9" t="s">
        <v>11</v>
      </c>
    </row>
    <row r="6572" spans="1:5" ht="15" customHeight="1" outlineLevel="2" x14ac:dyDescent="0.25">
      <c r="A6572" s="3" t="str">
        <f>HYPERLINK("http://mystore1.ru/price_items/search?utf8=%E2%9C%93&amp;oem=6288LGSV5RDW","6288LGSV5RDW")</f>
        <v>6288LGSV5RDW</v>
      </c>
      <c r="B6572" s="1" t="s">
        <v>12512</v>
      </c>
      <c r="C6572" s="9" t="s">
        <v>1201</v>
      </c>
      <c r="D6572" s="14" t="s">
        <v>12513</v>
      </c>
      <c r="E6572" s="9" t="s">
        <v>11</v>
      </c>
    </row>
    <row r="6573" spans="1:5" ht="15" customHeight="1" outlineLevel="2" x14ac:dyDescent="0.25">
      <c r="A6573" s="3" t="str">
        <f>HYPERLINK("http://mystore1.ru/price_items/search?utf8=%E2%9C%93&amp;oem=6288RGDV5RDW","6288RGDV5RDW")</f>
        <v>6288RGDV5RDW</v>
      </c>
      <c r="B6573" s="1" t="s">
        <v>12514</v>
      </c>
      <c r="C6573" s="9" t="s">
        <v>1201</v>
      </c>
      <c r="D6573" s="14" t="s">
        <v>12515</v>
      </c>
      <c r="E6573" s="9" t="s">
        <v>11</v>
      </c>
    </row>
    <row r="6574" spans="1:5" ht="15" customHeight="1" outlineLevel="2" x14ac:dyDescent="0.25">
      <c r="A6574" s="3" t="str">
        <f>HYPERLINK("http://mystore1.ru/price_items/search?utf8=%E2%9C%93&amp;oem=6288RGSV5FDW","6288RGSV5FDW")</f>
        <v>6288RGSV5FDW</v>
      </c>
      <c r="B6574" s="1" t="s">
        <v>12516</v>
      </c>
      <c r="C6574" s="9" t="s">
        <v>1201</v>
      </c>
      <c r="D6574" s="14" t="s">
        <v>12517</v>
      </c>
      <c r="E6574" s="9" t="s">
        <v>11</v>
      </c>
    </row>
    <row r="6575" spans="1:5" ht="15" customHeight="1" outlineLevel="2" x14ac:dyDescent="0.25">
      <c r="A6575" s="3" t="str">
        <f>HYPERLINK("http://mystore1.ru/price_items/search?utf8=%E2%9C%93&amp;oem=6288RGSV5RDW","6288RGSV5RDW")</f>
        <v>6288RGSV5RDW</v>
      </c>
      <c r="B6575" s="1" t="s">
        <v>12518</v>
      </c>
      <c r="C6575" s="9" t="s">
        <v>1201</v>
      </c>
      <c r="D6575" s="14" t="s">
        <v>12519</v>
      </c>
      <c r="E6575" s="9" t="s">
        <v>11</v>
      </c>
    </row>
    <row r="6576" spans="1:5" outlineLevel="1" x14ac:dyDescent="0.25">
      <c r="A6576" s="2"/>
      <c r="B6576" s="6" t="s">
        <v>12520</v>
      </c>
      <c r="C6576" s="8"/>
      <c r="D6576" s="8"/>
      <c r="E6576" s="8"/>
    </row>
    <row r="6577" spans="1:5" ht="15" customHeight="1" outlineLevel="2" x14ac:dyDescent="0.25">
      <c r="A6577" s="3" t="str">
        <f>HYPERLINK("http://mystore1.ru/price_items/search?utf8=%E2%9C%93&amp;oem=6325AGSMVWZ1P","6325AGSMVWZ1P")</f>
        <v>6325AGSMVWZ1P</v>
      </c>
      <c r="B6577" s="1" t="s">
        <v>12521</v>
      </c>
      <c r="C6577" s="9" t="s">
        <v>369</v>
      </c>
      <c r="D6577" s="14" t="s">
        <v>12522</v>
      </c>
      <c r="E6577" s="9" t="s">
        <v>8</v>
      </c>
    </row>
    <row r="6578" spans="1:5" ht="15" customHeight="1" outlineLevel="2" x14ac:dyDescent="0.25">
      <c r="A6578" s="3" t="str">
        <f>HYPERLINK("http://mystore1.ru/price_items/search?utf8=%E2%9C%93&amp;oem=6325AGSVWZ","6325AGSVWZ")</f>
        <v>6325AGSVWZ</v>
      </c>
      <c r="B6578" s="1" t="s">
        <v>12523</v>
      </c>
      <c r="C6578" s="9" t="s">
        <v>369</v>
      </c>
      <c r="D6578" s="14" t="s">
        <v>12524</v>
      </c>
      <c r="E6578" s="9" t="s">
        <v>8</v>
      </c>
    </row>
    <row r="6579" spans="1:5" outlineLevel="1" x14ac:dyDescent="0.25">
      <c r="A6579" s="2"/>
      <c r="B6579" s="6" t="s">
        <v>12525</v>
      </c>
      <c r="C6579" s="8"/>
      <c r="D6579" s="8"/>
      <c r="E6579" s="8"/>
    </row>
    <row r="6580" spans="1:5" ht="15" customHeight="1" outlineLevel="2" x14ac:dyDescent="0.25">
      <c r="A6580" s="3" t="str">
        <f>HYPERLINK("http://mystore1.ru/price_items/search?utf8=%E2%9C%93&amp;oem=6262ABL","6262ABL")</f>
        <v>6262ABL</v>
      </c>
      <c r="B6580" s="1" t="s">
        <v>12526</v>
      </c>
      <c r="C6580" s="9" t="s">
        <v>1742</v>
      </c>
      <c r="D6580" s="14" t="s">
        <v>12527</v>
      </c>
      <c r="E6580" s="9" t="s">
        <v>8</v>
      </c>
    </row>
    <row r="6581" spans="1:5" ht="15" customHeight="1" outlineLevel="2" x14ac:dyDescent="0.25">
      <c r="A6581" s="3" t="str">
        <f>HYPERLINK("http://mystore1.ru/price_items/search?utf8=%E2%9C%93&amp;oem=6262ABZ","6262ABZ")</f>
        <v>6262ABZ</v>
      </c>
      <c r="B6581" s="1" t="s">
        <v>12528</v>
      </c>
      <c r="C6581" s="9" t="s">
        <v>1742</v>
      </c>
      <c r="D6581" s="14" t="s">
        <v>12529</v>
      </c>
      <c r="E6581" s="9" t="s">
        <v>8</v>
      </c>
    </row>
    <row r="6582" spans="1:5" ht="15" customHeight="1" outlineLevel="2" x14ac:dyDescent="0.25">
      <c r="A6582" s="3" t="str">
        <f>HYPERLINK("http://mystore1.ru/price_items/search?utf8=%E2%9C%93&amp;oem=6262AGN","6262AGN")</f>
        <v>6262AGN</v>
      </c>
      <c r="B6582" s="1" t="s">
        <v>12530</v>
      </c>
      <c r="C6582" s="9" t="s">
        <v>1742</v>
      </c>
      <c r="D6582" s="14" t="s">
        <v>12531</v>
      </c>
      <c r="E6582" s="9" t="s">
        <v>8</v>
      </c>
    </row>
    <row r="6583" spans="1:5" ht="15" customHeight="1" outlineLevel="2" x14ac:dyDescent="0.25">
      <c r="A6583" s="3" t="str">
        <f>HYPERLINK("http://mystore1.ru/price_items/search?utf8=%E2%9C%93&amp;oem=6262AGNBL","6262AGNBL")</f>
        <v>6262AGNBL</v>
      </c>
      <c r="B6583" s="1" t="s">
        <v>12532</v>
      </c>
      <c r="C6583" s="9" t="s">
        <v>1742</v>
      </c>
      <c r="D6583" s="14" t="s">
        <v>12533</v>
      </c>
      <c r="E6583" s="9" t="s">
        <v>8</v>
      </c>
    </row>
    <row r="6584" spans="1:5" ht="15" customHeight="1" outlineLevel="2" x14ac:dyDescent="0.25">
      <c r="A6584" s="3" t="str">
        <f>HYPERLINK("http://mystore1.ru/price_items/search?utf8=%E2%9C%93&amp;oem=6262ASCV","6262ASCV")</f>
        <v>6262ASCV</v>
      </c>
      <c r="B6584" s="1" t="s">
        <v>12534</v>
      </c>
      <c r="C6584" s="9" t="s">
        <v>25</v>
      </c>
      <c r="D6584" s="14" t="s">
        <v>12535</v>
      </c>
      <c r="E6584" s="9" t="s">
        <v>27</v>
      </c>
    </row>
    <row r="6585" spans="1:5" ht="15" customHeight="1" outlineLevel="2" x14ac:dyDescent="0.25">
      <c r="A6585" s="3" t="str">
        <f>HYPERLINK("http://mystore1.ru/price_items/search?utf8=%E2%9C%93&amp;oem=6262ASMRT","6262ASMRT")</f>
        <v>6262ASMRT</v>
      </c>
      <c r="B6585" s="1" t="s">
        <v>12536</v>
      </c>
      <c r="C6585" s="9" t="s">
        <v>25</v>
      </c>
      <c r="D6585" s="14" t="s">
        <v>12537</v>
      </c>
      <c r="E6585" s="9" t="s">
        <v>27</v>
      </c>
    </row>
    <row r="6586" spans="1:5" ht="15" customHeight="1" outlineLevel="2" x14ac:dyDescent="0.25">
      <c r="A6586" s="3" t="str">
        <f>HYPERLINK("http://mystore1.ru/price_items/search?utf8=%E2%9C%93&amp;oem=6262LBZR5RV","6262LBZR5RV")</f>
        <v>6262LBZR5RV</v>
      </c>
      <c r="B6586" s="1" t="s">
        <v>12538</v>
      </c>
      <c r="C6586" s="9" t="s">
        <v>1742</v>
      </c>
      <c r="D6586" s="14" t="s">
        <v>12539</v>
      </c>
      <c r="E6586" s="9" t="s">
        <v>11</v>
      </c>
    </row>
    <row r="6587" spans="1:5" outlineLevel="1" x14ac:dyDescent="0.25">
      <c r="A6587" s="2"/>
      <c r="B6587" s="6" t="s">
        <v>12540</v>
      </c>
      <c r="C6587" s="8"/>
      <c r="D6587" s="8"/>
      <c r="E6587" s="8"/>
    </row>
    <row r="6588" spans="1:5" ht="15" customHeight="1" outlineLevel="2" x14ac:dyDescent="0.25">
      <c r="A6588" s="3" t="str">
        <f>HYPERLINK("http://mystore1.ru/price_items/search?utf8=%E2%9C%93&amp;oem=6296ACC","6296ACC")</f>
        <v>6296ACC</v>
      </c>
      <c r="B6588" s="1" t="s">
        <v>12541</v>
      </c>
      <c r="C6588" s="9" t="s">
        <v>8798</v>
      </c>
      <c r="D6588" s="14" t="s">
        <v>12542</v>
      </c>
      <c r="E6588" s="9" t="s">
        <v>8</v>
      </c>
    </row>
    <row r="6589" spans="1:5" ht="15" customHeight="1" outlineLevel="2" x14ac:dyDescent="0.25">
      <c r="A6589" s="3" t="str">
        <f>HYPERLINK("http://mystore1.ru/price_items/search?utf8=%E2%9C%93&amp;oem=6296AGN","6296AGN")</f>
        <v>6296AGN</v>
      </c>
      <c r="B6589" s="1" t="s">
        <v>12543</v>
      </c>
      <c r="C6589" s="9" t="s">
        <v>3126</v>
      </c>
      <c r="D6589" s="14" t="s">
        <v>12544</v>
      </c>
      <c r="E6589" s="9" t="s">
        <v>8</v>
      </c>
    </row>
    <row r="6590" spans="1:5" outlineLevel="1" x14ac:dyDescent="0.25">
      <c r="A6590" s="2"/>
      <c r="B6590" s="6" t="s">
        <v>12545</v>
      </c>
      <c r="C6590" s="8"/>
      <c r="D6590" s="8"/>
      <c r="E6590" s="8"/>
    </row>
    <row r="6591" spans="1:5" ht="15" customHeight="1" outlineLevel="2" x14ac:dyDescent="0.25">
      <c r="A6591" s="3" t="str">
        <f>HYPERLINK("http://mystore1.ru/price_items/search?utf8=%E2%9C%93&amp;oem=6252ACL","6252ACL")</f>
        <v>6252ACL</v>
      </c>
      <c r="B6591" s="1" t="s">
        <v>12546</v>
      </c>
      <c r="C6591" s="9" t="s">
        <v>260</v>
      </c>
      <c r="D6591" s="14" t="s">
        <v>12547</v>
      </c>
      <c r="E6591" s="9" t="s">
        <v>8</v>
      </c>
    </row>
    <row r="6592" spans="1:5" ht="15" customHeight="1" outlineLevel="2" x14ac:dyDescent="0.25">
      <c r="A6592" s="3" t="str">
        <f>HYPERLINK("http://mystore1.ru/price_items/search?utf8=%E2%9C%93&amp;oem=6252ACLA","6252ACLA")</f>
        <v>6252ACLA</v>
      </c>
      <c r="B6592" s="1" t="s">
        <v>12548</v>
      </c>
      <c r="C6592" s="9" t="s">
        <v>260</v>
      </c>
      <c r="D6592" s="14" t="s">
        <v>12549</v>
      </c>
      <c r="E6592" s="9" t="s">
        <v>8</v>
      </c>
    </row>
    <row r="6593" spans="1:5" ht="15" customHeight="1" outlineLevel="2" x14ac:dyDescent="0.25">
      <c r="A6593" s="3" t="str">
        <f>HYPERLINK("http://mystore1.ru/price_items/search?utf8=%E2%9C%93&amp;oem=6252AGNBL","6252AGNBL")</f>
        <v>6252AGNBL</v>
      </c>
      <c r="B6593" s="1" t="s">
        <v>12550</v>
      </c>
      <c r="C6593" s="9" t="s">
        <v>260</v>
      </c>
      <c r="D6593" s="14" t="s">
        <v>12551</v>
      </c>
      <c r="E6593" s="9" t="s">
        <v>8</v>
      </c>
    </row>
    <row r="6594" spans="1:5" ht="15" customHeight="1" outlineLevel="2" x14ac:dyDescent="0.25">
      <c r="A6594" s="3" t="str">
        <f>HYPERLINK("http://mystore1.ru/price_items/search?utf8=%E2%9C%93&amp;oem=6252AGNBLA","6252AGNBLA")</f>
        <v>6252AGNBLA</v>
      </c>
      <c r="B6594" s="1" t="s">
        <v>12552</v>
      </c>
      <c r="C6594" s="9" t="s">
        <v>260</v>
      </c>
      <c r="D6594" s="14" t="s">
        <v>12553</v>
      </c>
      <c r="E6594" s="9" t="s">
        <v>8</v>
      </c>
    </row>
    <row r="6595" spans="1:5" ht="15" customHeight="1" outlineLevel="2" x14ac:dyDescent="0.25">
      <c r="A6595" s="3" t="str">
        <f>HYPERLINK("http://mystore1.ru/price_items/search?utf8=%E2%9C%93&amp;oem=6252ASMS","6252ASMS")</f>
        <v>6252ASMS</v>
      </c>
      <c r="B6595" s="1" t="s">
        <v>12554</v>
      </c>
      <c r="C6595" s="9" t="s">
        <v>25</v>
      </c>
      <c r="D6595" s="14" t="s">
        <v>12555</v>
      </c>
      <c r="E6595" s="9" t="s">
        <v>27</v>
      </c>
    </row>
    <row r="6596" spans="1:5" ht="15" customHeight="1" outlineLevel="2" x14ac:dyDescent="0.25">
      <c r="A6596" s="3" t="str">
        <f>HYPERLINK("http://mystore1.ru/price_items/search?utf8=%E2%9C%93&amp;oem=6252BCLE","6252BCLE")</f>
        <v>6252BCLE</v>
      </c>
      <c r="B6596" s="1" t="s">
        <v>12556</v>
      </c>
      <c r="C6596" s="9" t="s">
        <v>260</v>
      </c>
      <c r="D6596" s="14" t="s">
        <v>12557</v>
      </c>
      <c r="E6596" s="9" t="s">
        <v>30</v>
      </c>
    </row>
    <row r="6597" spans="1:5" ht="15" customHeight="1" outlineLevel="2" x14ac:dyDescent="0.25">
      <c r="A6597" s="3" t="str">
        <f>HYPERLINK("http://mystore1.ru/price_items/search?utf8=%E2%9C%93&amp;oem=6252BCLS","6252BCLS")</f>
        <v>6252BCLS</v>
      </c>
      <c r="B6597" s="1" t="s">
        <v>12558</v>
      </c>
      <c r="C6597" s="9" t="s">
        <v>260</v>
      </c>
      <c r="D6597" s="14" t="s">
        <v>12559</v>
      </c>
      <c r="E6597" s="9" t="s">
        <v>30</v>
      </c>
    </row>
    <row r="6598" spans="1:5" ht="15" customHeight="1" outlineLevel="2" x14ac:dyDescent="0.25">
      <c r="A6598" s="3" t="str">
        <f>HYPERLINK("http://mystore1.ru/price_items/search?utf8=%E2%9C%93&amp;oem=6252BGNE","6252BGNE")</f>
        <v>6252BGNE</v>
      </c>
      <c r="B6598" s="1" t="s">
        <v>12560</v>
      </c>
      <c r="C6598" s="9" t="s">
        <v>260</v>
      </c>
      <c r="D6598" s="14" t="s">
        <v>12561</v>
      </c>
      <c r="E6598" s="9" t="s">
        <v>30</v>
      </c>
    </row>
    <row r="6599" spans="1:5" ht="15" customHeight="1" outlineLevel="2" x14ac:dyDescent="0.25">
      <c r="A6599" s="3" t="str">
        <f>HYPERLINK("http://mystore1.ru/price_items/search?utf8=%E2%9C%93&amp;oem=6252BGNS","6252BGNS")</f>
        <v>6252BGNS</v>
      </c>
      <c r="B6599" s="1" t="s">
        <v>12562</v>
      </c>
      <c r="C6599" s="9" t="s">
        <v>260</v>
      </c>
      <c r="D6599" s="14" t="s">
        <v>12563</v>
      </c>
      <c r="E6599" s="9" t="s">
        <v>30</v>
      </c>
    </row>
    <row r="6600" spans="1:5" ht="15" customHeight="1" outlineLevel="2" x14ac:dyDescent="0.25">
      <c r="A6600" s="3" t="str">
        <f>HYPERLINK("http://mystore1.ru/price_items/search?utf8=%E2%9C%93&amp;oem=6252BSMS","6252BSMS")</f>
        <v>6252BSMS</v>
      </c>
      <c r="B6600" s="1" t="s">
        <v>12564</v>
      </c>
      <c r="C6600" s="9" t="s">
        <v>25</v>
      </c>
      <c r="D6600" s="14" t="s">
        <v>12565</v>
      </c>
      <c r="E6600" s="9" t="s">
        <v>27</v>
      </c>
    </row>
    <row r="6601" spans="1:5" ht="15" customHeight="1" outlineLevel="2" x14ac:dyDescent="0.25">
      <c r="A6601" s="3" t="str">
        <f>HYPERLINK("http://mystore1.ru/price_items/search?utf8=%E2%9C%93&amp;oem=6252LGNS4FD","6252LGNS4FD")</f>
        <v>6252LGNS4FD</v>
      </c>
      <c r="B6601" s="1" t="s">
        <v>12566</v>
      </c>
      <c r="C6601" s="9" t="s">
        <v>260</v>
      </c>
      <c r="D6601" s="14" t="s">
        <v>12567</v>
      </c>
      <c r="E6601" s="9" t="s">
        <v>11</v>
      </c>
    </row>
    <row r="6602" spans="1:5" outlineLevel="1" x14ac:dyDescent="0.25">
      <c r="A6602" s="2"/>
      <c r="B6602" s="6" t="s">
        <v>12568</v>
      </c>
      <c r="C6602" s="8"/>
      <c r="D6602" s="8"/>
      <c r="E6602" s="8"/>
    </row>
    <row r="6603" spans="1:5" ht="15" customHeight="1" outlineLevel="2" x14ac:dyDescent="0.25">
      <c r="A6603" s="3" t="str">
        <f>HYPERLINK("http://mystore1.ru/price_items/search?utf8=%E2%9C%93&amp;oem=6261ACCBL1B","6261ACCBL1B")</f>
        <v>6261ACCBL1B</v>
      </c>
      <c r="B6603" s="1" t="s">
        <v>12569</v>
      </c>
      <c r="C6603" s="9" t="s">
        <v>9574</v>
      </c>
      <c r="D6603" s="14" t="s">
        <v>12570</v>
      </c>
      <c r="E6603" s="9" t="s">
        <v>8</v>
      </c>
    </row>
    <row r="6604" spans="1:5" ht="15" customHeight="1" outlineLevel="2" x14ac:dyDescent="0.25">
      <c r="A6604" s="3" t="str">
        <f>HYPERLINK("http://mystore1.ru/price_items/search?utf8=%E2%9C%93&amp;oem=6261ACCBLM1B","6261ACCBLM1B")</f>
        <v>6261ACCBLM1B</v>
      </c>
      <c r="B6604" s="1" t="s">
        <v>12571</v>
      </c>
      <c r="C6604" s="9" t="s">
        <v>9574</v>
      </c>
      <c r="D6604" s="14" t="s">
        <v>12572</v>
      </c>
      <c r="E6604" s="9" t="s">
        <v>8</v>
      </c>
    </row>
    <row r="6605" spans="1:5" ht="15" customHeight="1" outlineLevel="2" x14ac:dyDescent="0.25">
      <c r="A6605" s="3" t="str">
        <f>HYPERLINK("http://mystore1.ru/price_items/search?utf8=%E2%9C%93&amp;oem=6261ACL","6261ACL")</f>
        <v>6261ACL</v>
      </c>
      <c r="B6605" s="1" t="s">
        <v>12573</v>
      </c>
      <c r="C6605" s="9" t="s">
        <v>12574</v>
      </c>
      <c r="D6605" s="14" t="s">
        <v>12575</v>
      </c>
      <c r="E6605" s="9" t="s">
        <v>8</v>
      </c>
    </row>
    <row r="6606" spans="1:5" ht="15" customHeight="1" outlineLevel="2" x14ac:dyDescent="0.25">
      <c r="A6606" s="3" t="str">
        <f>HYPERLINK("http://mystore1.ru/price_items/search?utf8=%E2%9C%93&amp;oem=6261AGNBL1B","6261AGNBL1B")</f>
        <v>6261AGNBL1B</v>
      </c>
      <c r="B6606" s="1" t="s">
        <v>12576</v>
      </c>
      <c r="C6606" s="9" t="s">
        <v>9574</v>
      </c>
      <c r="D6606" s="14" t="s">
        <v>12577</v>
      </c>
      <c r="E6606" s="9" t="s">
        <v>8</v>
      </c>
    </row>
    <row r="6607" spans="1:5" ht="15" customHeight="1" outlineLevel="2" x14ac:dyDescent="0.25">
      <c r="A6607" s="3" t="str">
        <f>HYPERLINK("http://mystore1.ru/price_items/search?utf8=%E2%9C%93&amp;oem=6261AGSBLM1B","6261AGSBLM1B")</f>
        <v>6261AGSBLM1B</v>
      </c>
      <c r="B6607" s="1" t="s">
        <v>12578</v>
      </c>
      <c r="C6607" s="9" t="s">
        <v>9574</v>
      </c>
      <c r="D6607" s="14" t="s">
        <v>12579</v>
      </c>
      <c r="E6607" s="9" t="s">
        <v>8</v>
      </c>
    </row>
    <row r="6608" spans="1:5" ht="15" customHeight="1" outlineLevel="2" x14ac:dyDescent="0.25">
      <c r="A6608" s="3" t="str">
        <f>HYPERLINK("http://mystore1.ru/price_items/search?utf8=%E2%9C%93&amp;oem=6261AKMS","6261AKMS")</f>
        <v>6261AKMS</v>
      </c>
      <c r="B6608" s="1" t="s">
        <v>12580</v>
      </c>
      <c r="C6608" s="9" t="s">
        <v>25</v>
      </c>
      <c r="D6608" s="14" t="s">
        <v>12581</v>
      </c>
      <c r="E6608" s="9" t="s">
        <v>27</v>
      </c>
    </row>
    <row r="6609" spans="1:5" ht="15" customHeight="1" outlineLevel="2" x14ac:dyDescent="0.25">
      <c r="A6609" s="3" t="str">
        <f>HYPERLINK("http://mystore1.ru/price_items/search?utf8=%E2%9C%93&amp;oem=6261AKMSO","6261AKMSO")</f>
        <v>6261AKMSO</v>
      </c>
      <c r="B6609" s="1" t="s">
        <v>12582</v>
      </c>
      <c r="C6609" s="9" t="s">
        <v>25</v>
      </c>
      <c r="D6609" s="14" t="s">
        <v>12583</v>
      </c>
      <c r="E6609" s="9" t="s">
        <v>27</v>
      </c>
    </row>
    <row r="6610" spans="1:5" ht="15" customHeight="1" outlineLevel="2" x14ac:dyDescent="0.25">
      <c r="A6610" s="3" t="str">
        <f>HYPERLINK("http://mystore1.ru/price_items/search?utf8=%E2%9C%93&amp;oem=6261AKMH6A","6261AKMH6A")</f>
        <v>6261AKMH6A</v>
      </c>
      <c r="B6610" s="1" t="s">
        <v>12584</v>
      </c>
      <c r="C6610" s="9" t="s">
        <v>25</v>
      </c>
      <c r="D6610" s="14" t="s">
        <v>12585</v>
      </c>
      <c r="E6610" s="9" t="s">
        <v>27</v>
      </c>
    </row>
    <row r="6611" spans="1:5" ht="15" customHeight="1" outlineLevel="2" x14ac:dyDescent="0.25">
      <c r="A6611" s="3" t="str">
        <f>HYPERLINK("http://mystore1.ru/price_items/search?utf8=%E2%9C%93&amp;oem=6261ASMS","6261ASMS")</f>
        <v>6261ASMS</v>
      </c>
      <c r="B6611" s="1" t="s">
        <v>12586</v>
      </c>
      <c r="C6611" s="9" t="s">
        <v>25</v>
      </c>
      <c r="D6611" s="14" t="s">
        <v>12587</v>
      </c>
      <c r="E6611" s="9" t="s">
        <v>27</v>
      </c>
    </row>
    <row r="6612" spans="1:5" ht="15" customHeight="1" outlineLevel="2" x14ac:dyDescent="0.25">
      <c r="A6612" s="3" t="str">
        <f>HYPERLINK("http://mystore1.ru/price_items/search?utf8=%E2%9C%93&amp;oem=6261ASMSB","6261ASMSB")</f>
        <v>6261ASMSB</v>
      </c>
      <c r="B6612" s="1" t="s">
        <v>12588</v>
      </c>
      <c r="C6612" s="9" t="s">
        <v>25</v>
      </c>
      <c r="D6612" s="14" t="s">
        <v>12589</v>
      </c>
      <c r="E6612" s="9" t="s">
        <v>27</v>
      </c>
    </row>
    <row r="6613" spans="1:5" ht="15" customHeight="1" outlineLevel="2" x14ac:dyDescent="0.25">
      <c r="A6613" s="3" t="str">
        <f>HYPERLINK("http://mystore1.ru/price_items/search?utf8=%E2%9C%93&amp;oem=6261BCLE","6261BCLE")</f>
        <v>6261BCLE</v>
      </c>
      <c r="B6613" s="1" t="s">
        <v>12590</v>
      </c>
      <c r="C6613" s="9" t="s">
        <v>12574</v>
      </c>
      <c r="D6613" s="14" t="s">
        <v>12591</v>
      </c>
      <c r="E6613" s="9" t="s">
        <v>30</v>
      </c>
    </row>
    <row r="6614" spans="1:5" ht="15" customHeight="1" outlineLevel="2" x14ac:dyDescent="0.25">
      <c r="A6614" s="3" t="str">
        <f>HYPERLINK("http://mystore1.ru/price_items/search?utf8=%E2%9C%93&amp;oem=6261BGNSA","6261BGNSA")</f>
        <v>6261BGNSA</v>
      </c>
      <c r="B6614" s="1" t="s">
        <v>12592</v>
      </c>
      <c r="C6614" s="9" t="s">
        <v>12574</v>
      </c>
      <c r="D6614" s="14" t="s">
        <v>12593</v>
      </c>
      <c r="E6614" s="9" t="s">
        <v>30</v>
      </c>
    </row>
    <row r="6615" spans="1:5" ht="15" customHeight="1" outlineLevel="2" x14ac:dyDescent="0.25">
      <c r="A6615" s="3" t="str">
        <f>HYPERLINK("http://mystore1.ru/price_items/search?utf8=%E2%9C%93&amp;oem=6261BGSE","6261BGSE")</f>
        <v>6261BGSE</v>
      </c>
      <c r="B6615" s="1" t="s">
        <v>12594</v>
      </c>
      <c r="C6615" s="9" t="s">
        <v>12574</v>
      </c>
      <c r="D6615" s="14" t="s">
        <v>12595</v>
      </c>
      <c r="E6615" s="9" t="s">
        <v>30</v>
      </c>
    </row>
    <row r="6616" spans="1:5" ht="15" customHeight="1" outlineLevel="2" x14ac:dyDescent="0.25">
      <c r="A6616" s="3" t="str">
        <f>HYPERLINK("http://mystore1.ru/price_items/search?utf8=%E2%9C%93&amp;oem=6261LGNS4FDW","6261LGNS4FDW")</f>
        <v>6261LGNS4FDW</v>
      </c>
      <c r="B6616" s="1" t="s">
        <v>12596</v>
      </c>
      <c r="C6616" s="9" t="s">
        <v>12574</v>
      </c>
      <c r="D6616" s="14" t="s">
        <v>12597</v>
      </c>
      <c r="E6616" s="9" t="s">
        <v>11</v>
      </c>
    </row>
    <row r="6617" spans="1:5" ht="15" customHeight="1" outlineLevel="2" x14ac:dyDescent="0.25">
      <c r="A6617" s="3" t="str">
        <f>HYPERLINK("http://mystore1.ru/price_items/search?utf8=%E2%9C%93&amp;oem=6261LGNS4RVZ","6261LGNS4RVZ")</f>
        <v>6261LGNS4RVZ</v>
      </c>
      <c r="B6617" s="1" t="s">
        <v>12598</v>
      </c>
      <c r="C6617" s="9" t="s">
        <v>12574</v>
      </c>
      <c r="D6617" s="14" t="s">
        <v>12599</v>
      </c>
      <c r="E6617" s="9" t="s">
        <v>11</v>
      </c>
    </row>
    <row r="6618" spans="1:5" ht="15" customHeight="1" outlineLevel="2" x14ac:dyDescent="0.25">
      <c r="A6618" s="3" t="str">
        <f>HYPERLINK("http://mystore1.ru/price_items/search?utf8=%E2%9C%93&amp;oem=6261RGNS4FDW","6261RGNS4FDW")</f>
        <v>6261RGNS4FDW</v>
      </c>
      <c r="B6618" s="1" t="s">
        <v>12600</v>
      </c>
      <c r="C6618" s="9" t="s">
        <v>12574</v>
      </c>
      <c r="D6618" s="14" t="s">
        <v>12601</v>
      </c>
      <c r="E6618" s="9" t="s">
        <v>11</v>
      </c>
    </row>
    <row r="6619" spans="1:5" ht="15" customHeight="1" outlineLevel="2" x14ac:dyDescent="0.25">
      <c r="A6619" s="3" t="str">
        <f>HYPERLINK("http://mystore1.ru/price_items/search?utf8=%E2%9C%93&amp;oem=6261RGNS4RVZ","6261RGNS4RVZ")</f>
        <v>6261RGNS4RVZ</v>
      </c>
      <c r="B6619" s="1" t="s">
        <v>12602</v>
      </c>
      <c r="C6619" s="9" t="s">
        <v>12574</v>
      </c>
      <c r="D6619" s="14" t="s">
        <v>12603</v>
      </c>
      <c r="E6619" s="9" t="s">
        <v>11</v>
      </c>
    </row>
    <row r="6620" spans="1:5" outlineLevel="1" x14ac:dyDescent="0.25">
      <c r="A6620" s="2"/>
      <c r="B6620" s="6" t="s">
        <v>736</v>
      </c>
      <c r="C6620" s="8"/>
      <c r="D6620" s="8"/>
      <c r="E6620" s="8"/>
    </row>
    <row r="6621" spans="1:5" ht="15" customHeight="1" outlineLevel="2" x14ac:dyDescent="0.25">
      <c r="A6621" s="3" t="str">
        <f>HYPERLINK("http://mystore1.ru/price_items/search?utf8=%E2%9C%93&amp;oem=6251ACL","6251ACL")</f>
        <v>6251ACL</v>
      </c>
      <c r="B6621" s="1" t="s">
        <v>12604</v>
      </c>
      <c r="C6621" s="9" t="s">
        <v>738</v>
      </c>
      <c r="D6621" s="14" t="s">
        <v>12605</v>
      </c>
      <c r="E6621" s="9" t="s">
        <v>8</v>
      </c>
    </row>
    <row r="6622" spans="1:5" outlineLevel="1" x14ac:dyDescent="0.25">
      <c r="A6622" s="2"/>
      <c r="B6622" s="6" t="s">
        <v>12606</v>
      </c>
      <c r="C6622" s="47"/>
      <c r="D6622" s="8"/>
      <c r="E6622" s="8"/>
    </row>
    <row r="6623" spans="1:5" ht="15" customHeight="1" outlineLevel="2" x14ac:dyDescent="0.25">
      <c r="A6623" s="3" t="str">
        <f>HYPERLINK("http://mystore1.ru/price_items/search?utf8=%E2%9C%93&amp;oem=6241ACL","6241ACL")</f>
        <v>6241ACL</v>
      </c>
      <c r="B6623" s="1" t="s">
        <v>12607</v>
      </c>
      <c r="C6623" s="9" t="s">
        <v>12608</v>
      </c>
      <c r="D6623" s="14" t="s">
        <v>12609</v>
      </c>
      <c r="E6623" s="9" t="s">
        <v>8</v>
      </c>
    </row>
    <row r="6624" spans="1:5" outlineLevel="1" x14ac:dyDescent="0.25">
      <c r="A6624" s="2"/>
      <c r="B6624" s="6" t="s">
        <v>12610</v>
      </c>
      <c r="C6624" s="47"/>
      <c r="D6624" s="8"/>
      <c r="E6624" s="8"/>
    </row>
    <row r="6625" spans="1:5" ht="15" customHeight="1" outlineLevel="2" x14ac:dyDescent="0.25">
      <c r="A6625" s="3" t="str">
        <f>HYPERLINK("http://mystore1.ru/price_items/search?utf8=%E2%9C%93&amp;oem=6246ABZBL","6246ABZBL")</f>
        <v>6246ABZBL</v>
      </c>
      <c r="B6625" s="1" t="s">
        <v>12611</v>
      </c>
      <c r="C6625" s="9" t="s">
        <v>5442</v>
      </c>
      <c r="D6625" s="14" t="s">
        <v>12612</v>
      </c>
      <c r="E6625" s="9" t="s">
        <v>8</v>
      </c>
    </row>
    <row r="6626" spans="1:5" outlineLevel="1" x14ac:dyDescent="0.25">
      <c r="A6626" s="2"/>
      <c r="B6626" s="6" t="s">
        <v>12613</v>
      </c>
      <c r="C6626" s="8"/>
      <c r="D6626" s="8"/>
      <c r="E6626" s="8"/>
    </row>
    <row r="6627" spans="1:5" ht="15" customHeight="1" outlineLevel="2" x14ac:dyDescent="0.25">
      <c r="A6627" s="3" t="str">
        <f>HYPERLINK("http://mystore1.ru/price_items/search?utf8=%E2%9C%93&amp;oem=6281ACCBLAV","6281ACCBLAV")</f>
        <v>6281ACCBLAV</v>
      </c>
      <c r="B6627" s="1" t="s">
        <v>12614</v>
      </c>
      <c r="C6627" s="9" t="s">
        <v>6602</v>
      </c>
      <c r="D6627" s="14" t="s">
        <v>12615</v>
      </c>
      <c r="E6627" s="9" t="s">
        <v>8</v>
      </c>
    </row>
    <row r="6628" spans="1:5" ht="15" customHeight="1" outlineLevel="2" x14ac:dyDescent="0.25">
      <c r="A6628" s="3" t="str">
        <f>HYPERLINK("http://mystore1.ru/price_items/search?utf8=%E2%9C%93&amp;oem=6281ASMV","6281ASMV")</f>
        <v>6281ASMV</v>
      </c>
      <c r="B6628" s="1" t="s">
        <v>12616</v>
      </c>
      <c r="C6628" s="9" t="s">
        <v>25</v>
      </c>
      <c r="D6628" s="14" t="s">
        <v>12617</v>
      </c>
      <c r="E6628" s="9" t="s">
        <v>27</v>
      </c>
    </row>
    <row r="6629" spans="1:5" ht="15" customHeight="1" outlineLevel="2" x14ac:dyDescent="0.25">
      <c r="A6629" s="3" t="str">
        <f>HYPERLINK("http://mystore1.ru/price_items/search?utf8=%E2%9C%93&amp;oem=6281BGNV","6281BGNV")</f>
        <v>6281BGNV</v>
      </c>
      <c r="B6629" s="1" t="s">
        <v>12618</v>
      </c>
      <c r="C6629" s="9" t="s">
        <v>6602</v>
      </c>
      <c r="D6629" s="14" t="s">
        <v>12619</v>
      </c>
      <c r="E6629" s="9" t="s">
        <v>30</v>
      </c>
    </row>
    <row r="6630" spans="1:5" ht="15" customHeight="1" outlineLevel="2" x14ac:dyDescent="0.25">
      <c r="A6630" s="3" t="str">
        <f>HYPERLINK("http://mystore1.ru/price_items/search?utf8=%E2%9C%93&amp;oem=6281BYPV","6281BYPV")</f>
        <v>6281BYPV</v>
      </c>
      <c r="B6630" s="1" t="s">
        <v>12620</v>
      </c>
      <c r="C6630" s="9" t="s">
        <v>6602</v>
      </c>
      <c r="D6630" s="14" t="s">
        <v>12621</v>
      </c>
      <c r="E6630" s="9" t="s">
        <v>30</v>
      </c>
    </row>
    <row r="6631" spans="1:5" ht="15" customHeight="1" outlineLevel="2" x14ac:dyDescent="0.25">
      <c r="A6631" s="3" t="str">
        <f>HYPERLINK("http://mystore1.ru/price_items/search?utf8=%E2%9C%93&amp;oem=6281LGNV5FD","6281LGNV5FD")</f>
        <v>6281LGNV5FD</v>
      </c>
      <c r="B6631" s="1" t="s">
        <v>12622</v>
      </c>
      <c r="C6631" s="9" t="s">
        <v>6602</v>
      </c>
      <c r="D6631" s="14" t="s">
        <v>12623</v>
      </c>
      <c r="E6631" s="9" t="s">
        <v>11</v>
      </c>
    </row>
    <row r="6632" spans="1:5" ht="15" customHeight="1" outlineLevel="2" x14ac:dyDescent="0.25">
      <c r="A6632" s="3" t="str">
        <f>HYPERLINK("http://mystore1.ru/price_items/search?utf8=%E2%9C%93&amp;oem=6281RGNV5FD","6281RGNV5FD")</f>
        <v>6281RGNV5FD</v>
      </c>
      <c r="B6632" s="1" t="s">
        <v>12624</v>
      </c>
      <c r="C6632" s="9" t="s">
        <v>6602</v>
      </c>
      <c r="D6632" s="14" t="s">
        <v>12625</v>
      </c>
      <c r="E6632" s="9" t="s">
        <v>11</v>
      </c>
    </row>
    <row r="6633" spans="1:5" ht="15" customHeight="1" outlineLevel="2" x14ac:dyDescent="0.25">
      <c r="A6633" s="3" t="str">
        <f>HYPERLINK("http://mystore1.ru/price_items/search?utf8=%E2%9C%93&amp;oem=6281RGNV5RDW","6281RGNV5RDW")</f>
        <v>6281RGNV5RDW</v>
      </c>
      <c r="B6633" s="1" t="s">
        <v>12626</v>
      </c>
      <c r="C6633" s="9" t="s">
        <v>6602</v>
      </c>
      <c r="D6633" s="14" t="s">
        <v>12627</v>
      </c>
      <c r="E6633" s="9" t="s">
        <v>11</v>
      </c>
    </row>
    <row r="6634" spans="1:5" ht="15" customHeight="1" outlineLevel="2" x14ac:dyDescent="0.25">
      <c r="A6634" s="3" t="str">
        <f>HYPERLINK("http://mystore1.ru/price_items/search?utf8=%E2%9C%93&amp;oem=6281RYSV5RQOW1L","6281RYSV5RQOW1L")</f>
        <v>6281RYSV5RQOW1L</v>
      </c>
      <c r="B6634" s="1" t="s">
        <v>12628</v>
      </c>
      <c r="C6634" s="9" t="s">
        <v>6602</v>
      </c>
      <c r="D6634" s="14" t="s">
        <v>12629</v>
      </c>
      <c r="E6634" s="9" t="s">
        <v>11</v>
      </c>
    </row>
    <row r="6635" spans="1:5" outlineLevel="1" x14ac:dyDescent="0.25">
      <c r="A6635" s="2"/>
      <c r="B6635" s="6" t="s">
        <v>12630</v>
      </c>
      <c r="C6635" s="8"/>
      <c r="D6635" s="8"/>
      <c r="E6635" s="8"/>
    </row>
    <row r="6636" spans="1:5" ht="15" customHeight="1" outlineLevel="2" x14ac:dyDescent="0.25">
      <c r="A6636" s="3" t="str">
        <f>HYPERLINK("http://mystore1.ru/price_items/search?utf8=%E2%9C%93&amp;oem=6263AGNBL","6263AGNBL")</f>
        <v>6263AGNBL</v>
      </c>
      <c r="B6636" s="1" t="s">
        <v>12631</v>
      </c>
      <c r="C6636" s="9" t="s">
        <v>2692</v>
      </c>
      <c r="D6636" s="14" t="s">
        <v>12632</v>
      </c>
      <c r="E6636" s="9" t="s">
        <v>8</v>
      </c>
    </row>
    <row r="6637" spans="1:5" ht="15" customHeight="1" outlineLevel="2" x14ac:dyDescent="0.25">
      <c r="A6637" s="3" t="str">
        <f>HYPERLINK("http://mystore1.ru/price_items/search?utf8=%E2%9C%93&amp;oem=6263AKMC","6263AKMC")</f>
        <v>6263AKMC</v>
      </c>
      <c r="B6637" s="1" t="s">
        <v>12633</v>
      </c>
      <c r="C6637" s="9" t="s">
        <v>25</v>
      </c>
      <c r="D6637" s="14" t="s">
        <v>12634</v>
      </c>
      <c r="E6637" s="9" t="s">
        <v>27</v>
      </c>
    </row>
    <row r="6638" spans="1:5" ht="15" customHeight="1" outlineLevel="2" x14ac:dyDescent="0.25">
      <c r="A6638" s="3" t="str">
        <f>HYPERLINK("http://mystore1.ru/price_items/search?utf8=%E2%9C%93&amp;oem=6263LGNC2FD","6263LGNC2FD")</f>
        <v>6263LGNC2FD</v>
      </c>
      <c r="B6638" s="1" t="s">
        <v>12635</v>
      </c>
      <c r="C6638" s="9" t="s">
        <v>2692</v>
      </c>
      <c r="D6638" s="14" t="s">
        <v>12636</v>
      </c>
      <c r="E6638" s="9" t="s">
        <v>11</v>
      </c>
    </row>
    <row r="6639" spans="1:5" ht="15" customHeight="1" outlineLevel="2" x14ac:dyDescent="0.25">
      <c r="A6639" s="3" t="str">
        <f>HYPERLINK("http://mystore1.ru/price_items/search?utf8=%E2%9C%93&amp;oem=6263LGNC2FV","6263LGNC2FV")</f>
        <v>6263LGNC2FV</v>
      </c>
      <c r="B6639" s="1" t="s">
        <v>12637</v>
      </c>
      <c r="C6639" s="9" t="s">
        <v>2692</v>
      </c>
      <c r="D6639" s="14" t="s">
        <v>12638</v>
      </c>
      <c r="E6639" s="9" t="s">
        <v>11</v>
      </c>
    </row>
    <row r="6640" spans="1:5" ht="15" customHeight="1" outlineLevel="2" x14ac:dyDescent="0.25">
      <c r="A6640" s="3" t="str">
        <f>HYPERLINK("http://mystore1.ru/price_items/search?utf8=%E2%9C%93&amp;oem=6263RGNC2FD","6263RGNC2FD")</f>
        <v>6263RGNC2FD</v>
      </c>
      <c r="B6640" s="1" t="s">
        <v>12639</v>
      </c>
      <c r="C6640" s="9" t="s">
        <v>2692</v>
      </c>
      <c r="D6640" s="14" t="s">
        <v>12640</v>
      </c>
      <c r="E6640" s="9" t="s">
        <v>11</v>
      </c>
    </row>
    <row r="6641" spans="1:5" ht="15" customHeight="1" outlineLevel="2" x14ac:dyDescent="0.25">
      <c r="A6641" s="3" t="str">
        <f>HYPERLINK("http://mystore1.ru/price_items/search?utf8=%E2%9C%93&amp;oem=6263RGNC2FV","6263RGNC2FV")</f>
        <v>6263RGNC2FV</v>
      </c>
      <c r="B6641" s="1" t="s">
        <v>12641</v>
      </c>
      <c r="C6641" s="9" t="s">
        <v>2692</v>
      </c>
      <c r="D6641" s="14" t="s">
        <v>12642</v>
      </c>
      <c r="E6641" s="9" t="s">
        <v>11</v>
      </c>
    </row>
    <row r="6642" spans="1:5" outlineLevel="1" x14ac:dyDescent="0.25">
      <c r="A6642" s="2"/>
      <c r="B6642" s="6" t="s">
        <v>12643</v>
      </c>
      <c r="C6642" s="8"/>
      <c r="D6642" s="8"/>
      <c r="E6642" s="8"/>
    </row>
    <row r="6643" spans="1:5" ht="15" customHeight="1" outlineLevel="2" x14ac:dyDescent="0.25">
      <c r="A6643" s="3" t="str">
        <f>HYPERLINK("http://mystore1.ru/price_items/search?utf8=%E2%9C%93&amp;oem=6303AGS","6303AGS")</f>
        <v>6303AGS</v>
      </c>
      <c r="B6643" s="1" t="s">
        <v>12644</v>
      </c>
      <c r="C6643" s="9" t="s">
        <v>6238</v>
      </c>
      <c r="D6643" s="14" t="s">
        <v>12645</v>
      </c>
      <c r="E6643" s="9" t="s">
        <v>8</v>
      </c>
    </row>
    <row r="6644" spans="1:5" ht="15" customHeight="1" outlineLevel="2" x14ac:dyDescent="0.25">
      <c r="A6644" s="3" t="str">
        <f>HYPERLINK("http://mystore1.ru/price_items/search?utf8=%E2%9C%93&amp;oem=6303RGST2FD","6303RGST2FD")</f>
        <v>6303RGST2FD</v>
      </c>
      <c r="B6644" s="1" t="s">
        <v>12646</v>
      </c>
      <c r="C6644" s="9" t="s">
        <v>6238</v>
      </c>
      <c r="D6644" s="14" t="s">
        <v>12647</v>
      </c>
      <c r="E6644" s="9" t="s">
        <v>11</v>
      </c>
    </row>
    <row r="6645" spans="1:5" outlineLevel="1" x14ac:dyDescent="0.25">
      <c r="A6645" s="2"/>
      <c r="B6645" s="6" t="s">
        <v>12648</v>
      </c>
      <c r="C6645" s="8"/>
      <c r="D6645" s="8"/>
      <c r="E6645" s="8"/>
    </row>
    <row r="6646" spans="1:5" ht="15" customHeight="1" outlineLevel="2" x14ac:dyDescent="0.25">
      <c r="A6646" s="3" t="str">
        <f>HYPERLINK("http://mystore1.ru/price_items/search?utf8=%E2%9C%93&amp;oem=6253ACL","6253ACL")</f>
        <v>6253ACL</v>
      </c>
      <c r="B6646" s="1" t="s">
        <v>12649</v>
      </c>
      <c r="C6646" s="9" t="s">
        <v>12650</v>
      </c>
      <c r="D6646" s="14" t="s">
        <v>12651</v>
      </c>
      <c r="E6646" s="9" t="s">
        <v>8</v>
      </c>
    </row>
    <row r="6647" spans="1:5" ht="15" customHeight="1" outlineLevel="2" x14ac:dyDescent="0.25">
      <c r="A6647" s="3" t="str">
        <f>HYPERLINK("http://mystore1.ru/price_items/search?utf8=%E2%9C%93&amp;oem=6253AGNBL","6253AGNBL")</f>
        <v>6253AGNBL</v>
      </c>
      <c r="B6647" s="1" t="s">
        <v>12652</v>
      </c>
      <c r="C6647" s="9" t="s">
        <v>12650</v>
      </c>
      <c r="D6647" s="14" t="s">
        <v>12653</v>
      </c>
      <c r="E6647" s="9" t="s">
        <v>8</v>
      </c>
    </row>
    <row r="6648" spans="1:5" ht="15" customHeight="1" outlineLevel="2" x14ac:dyDescent="0.25">
      <c r="A6648" s="3" t="str">
        <f>HYPERLINK("http://mystore1.ru/price_items/search?utf8=%E2%9C%93&amp;oem=6253ASMH","6253ASMH")</f>
        <v>6253ASMH</v>
      </c>
      <c r="B6648" s="1" t="s">
        <v>12654</v>
      </c>
      <c r="C6648" s="9" t="s">
        <v>25</v>
      </c>
      <c r="D6648" s="14" t="s">
        <v>12655</v>
      </c>
      <c r="E6648" s="9" t="s">
        <v>27</v>
      </c>
    </row>
    <row r="6649" spans="1:5" ht="15" customHeight="1" outlineLevel="2" x14ac:dyDescent="0.25">
      <c r="A6649" s="3" t="str">
        <f>HYPERLINK("http://mystore1.ru/price_items/search?utf8=%E2%9C%93&amp;oem=6253BCLS","6253BCLS")</f>
        <v>6253BCLS</v>
      </c>
      <c r="B6649" s="1" t="s">
        <v>12656</v>
      </c>
      <c r="C6649" s="9" t="s">
        <v>12650</v>
      </c>
      <c r="D6649" s="14" t="s">
        <v>12657</v>
      </c>
      <c r="E6649" s="9" t="s">
        <v>30</v>
      </c>
    </row>
    <row r="6650" spans="1:5" ht="15" customHeight="1" outlineLevel="2" x14ac:dyDescent="0.25">
      <c r="A6650" s="3" t="str">
        <f>HYPERLINK("http://mystore1.ru/price_items/search?utf8=%E2%9C%93&amp;oem=6253BGNHZ","6253BGNHZ")</f>
        <v>6253BGNHZ</v>
      </c>
      <c r="B6650" s="1" t="s">
        <v>12658</v>
      </c>
      <c r="C6650" s="9" t="s">
        <v>12650</v>
      </c>
      <c r="D6650" s="14" t="s">
        <v>12659</v>
      </c>
      <c r="E6650" s="9" t="s">
        <v>30</v>
      </c>
    </row>
    <row r="6651" spans="1:5" ht="15" customHeight="1" outlineLevel="2" x14ac:dyDescent="0.25">
      <c r="A6651" s="3" t="str">
        <f>HYPERLINK("http://mystore1.ru/price_items/search?utf8=%E2%9C%93&amp;oem=6253BGNS","6253BGNS")</f>
        <v>6253BGNS</v>
      </c>
      <c r="B6651" s="1" t="s">
        <v>12660</v>
      </c>
      <c r="C6651" s="9" t="s">
        <v>12650</v>
      </c>
      <c r="D6651" s="14" t="s">
        <v>12661</v>
      </c>
      <c r="E6651" s="9" t="s">
        <v>30</v>
      </c>
    </row>
    <row r="6652" spans="1:5" ht="15" customHeight="1" outlineLevel="2" x14ac:dyDescent="0.25">
      <c r="A6652" s="3" t="str">
        <f>HYPERLINK("http://mystore1.ru/price_items/search?utf8=%E2%9C%93&amp;oem=6253BSMS","6253BSMS")</f>
        <v>6253BSMS</v>
      </c>
      <c r="B6652" s="1" t="s">
        <v>12662</v>
      </c>
      <c r="C6652" s="9" t="s">
        <v>25</v>
      </c>
      <c r="D6652" s="14" t="s">
        <v>12663</v>
      </c>
      <c r="E6652" s="9" t="s">
        <v>27</v>
      </c>
    </row>
    <row r="6653" spans="1:5" ht="15" customHeight="1" outlineLevel="2" x14ac:dyDescent="0.25">
      <c r="A6653" s="3" t="str">
        <f>HYPERLINK("http://mystore1.ru/price_items/search?utf8=%E2%9C%93&amp;oem=6253LCLH5FD","6253LCLH5FD")</f>
        <v>6253LCLH5FD</v>
      </c>
      <c r="B6653" s="1" t="s">
        <v>12664</v>
      </c>
      <c r="C6653" s="9" t="s">
        <v>12650</v>
      </c>
      <c r="D6653" s="14" t="s">
        <v>12665</v>
      </c>
      <c r="E6653" s="9" t="s">
        <v>11</v>
      </c>
    </row>
    <row r="6654" spans="1:5" ht="15" customHeight="1" outlineLevel="2" x14ac:dyDescent="0.25">
      <c r="A6654" s="3" t="str">
        <f>HYPERLINK("http://mystore1.ru/price_items/search?utf8=%E2%9C%93&amp;oem=6253LCLH5RD","6253LCLH5RD")</f>
        <v>6253LCLH5RD</v>
      </c>
      <c r="B6654" s="1" t="s">
        <v>12666</v>
      </c>
      <c r="C6654" s="9" t="s">
        <v>12650</v>
      </c>
      <c r="D6654" s="14" t="s">
        <v>12667</v>
      </c>
      <c r="E6654" s="9" t="s">
        <v>11</v>
      </c>
    </row>
    <row r="6655" spans="1:5" ht="15" customHeight="1" outlineLevel="2" x14ac:dyDescent="0.25">
      <c r="A6655" s="3" t="str">
        <f>HYPERLINK("http://mystore1.ru/price_items/search?utf8=%E2%9C%93&amp;oem=6253LGNH5FD","6253LGNH5FD")</f>
        <v>6253LGNH5FD</v>
      </c>
      <c r="B6655" s="1" t="s">
        <v>12668</v>
      </c>
      <c r="C6655" s="9" t="s">
        <v>12650</v>
      </c>
      <c r="D6655" s="14" t="s">
        <v>12669</v>
      </c>
      <c r="E6655" s="9" t="s">
        <v>11</v>
      </c>
    </row>
    <row r="6656" spans="1:5" ht="15" customHeight="1" outlineLevel="2" x14ac:dyDescent="0.25">
      <c r="A6656" s="3" t="str">
        <f>HYPERLINK("http://mystore1.ru/price_items/search?utf8=%E2%9C%93&amp;oem=6253LGNH5RD","6253LGNH5RD")</f>
        <v>6253LGNH5RD</v>
      </c>
      <c r="B6656" s="1" t="s">
        <v>12670</v>
      </c>
      <c r="C6656" s="9" t="s">
        <v>12650</v>
      </c>
      <c r="D6656" s="14" t="s">
        <v>12671</v>
      </c>
      <c r="E6656" s="9" t="s">
        <v>11</v>
      </c>
    </row>
    <row r="6657" spans="1:5" ht="15" customHeight="1" outlineLevel="2" x14ac:dyDescent="0.25">
      <c r="A6657" s="3" t="str">
        <f>HYPERLINK("http://mystore1.ru/price_items/search?utf8=%E2%9C%93&amp;oem=6253RCLH5FD","6253RCLH5FD")</f>
        <v>6253RCLH5FD</v>
      </c>
      <c r="B6657" s="1" t="s">
        <v>12672</v>
      </c>
      <c r="C6657" s="9" t="s">
        <v>12650</v>
      </c>
      <c r="D6657" s="14" t="s">
        <v>12673</v>
      </c>
      <c r="E6657" s="9" t="s">
        <v>11</v>
      </c>
    </row>
    <row r="6658" spans="1:5" ht="15" customHeight="1" outlineLevel="2" x14ac:dyDescent="0.25">
      <c r="A6658" s="3" t="str">
        <f>HYPERLINK("http://mystore1.ru/price_items/search?utf8=%E2%9C%93&amp;oem=6253RCLH5RD","6253RCLH5RD")</f>
        <v>6253RCLH5RD</v>
      </c>
      <c r="B6658" s="1" t="s">
        <v>12674</v>
      </c>
      <c r="C6658" s="9" t="s">
        <v>12650</v>
      </c>
      <c r="D6658" s="14" t="s">
        <v>12675</v>
      </c>
      <c r="E6658" s="9" t="s">
        <v>11</v>
      </c>
    </row>
    <row r="6659" spans="1:5" ht="15" customHeight="1" outlineLevel="2" x14ac:dyDescent="0.25">
      <c r="A6659" s="3" t="str">
        <f>HYPERLINK("http://mystore1.ru/price_items/search?utf8=%E2%9C%93&amp;oem=6253RGNH5FD","6253RGNH5FD")</f>
        <v>6253RGNH5FD</v>
      </c>
      <c r="B6659" s="1" t="s">
        <v>12676</v>
      </c>
      <c r="C6659" s="9" t="s">
        <v>12650</v>
      </c>
      <c r="D6659" s="14" t="s">
        <v>12677</v>
      </c>
      <c r="E6659" s="9" t="s">
        <v>11</v>
      </c>
    </row>
    <row r="6660" spans="1:5" ht="15" customHeight="1" outlineLevel="2" x14ac:dyDescent="0.25">
      <c r="A6660" s="3" t="str">
        <f>HYPERLINK("http://mystore1.ru/price_items/search?utf8=%E2%9C%93&amp;oem=6253RGNH5RD","6253RGNH5RD")</f>
        <v>6253RGNH5RD</v>
      </c>
      <c r="B6660" s="1" t="s">
        <v>12678</v>
      </c>
      <c r="C6660" s="9" t="s">
        <v>12650</v>
      </c>
      <c r="D6660" s="14" t="s">
        <v>12679</v>
      </c>
      <c r="E6660" s="9" t="s">
        <v>11</v>
      </c>
    </row>
    <row r="6661" spans="1:5" outlineLevel="1" x14ac:dyDescent="0.25">
      <c r="A6661" s="2"/>
      <c r="B6661" s="6" t="s">
        <v>12680</v>
      </c>
      <c r="C6661" s="8"/>
      <c r="D6661" s="8"/>
      <c r="E6661" s="8"/>
    </row>
    <row r="6662" spans="1:5" ht="15" customHeight="1" outlineLevel="2" x14ac:dyDescent="0.25">
      <c r="A6662" s="3" t="str">
        <f>HYPERLINK("http://mystore1.ru/price_items/search?utf8=%E2%9C%93&amp;oem=6277ACCBL1B","6277ACCBL1B")</f>
        <v>6277ACCBL1B</v>
      </c>
      <c r="B6662" s="1" t="s">
        <v>12681</v>
      </c>
      <c r="C6662" s="9" t="s">
        <v>4714</v>
      </c>
      <c r="D6662" s="14" t="s">
        <v>12682</v>
      </c>
      <c r="E6662" s="9" t="s">
        <v>8</v>
      </c>
    </row>
    <row r="6663" spans="1:5" ht="15" customHeight="1" outlineLevel="2" x14ac:dyDescent="0.25">
      <c r="A6663" s="3" t="str">
        <f>HYPERLINK("http://mystore1.ru/price_items/search?utf8=%E2%9C%93&amp;oem=6277ACL","6277ACL")</f>
        <v>6277ACL</v>
      </c>
      <c r="B6663" s="1" t="s">
        <v>12683</v>
      </c>
      <c r="C6663" s="9" t="s">
        <v>1625</v>
      </c>
      <c r="D6663" s="14" t="s">
        <v>12684</v>
      </c>
      <c r="E6663" s="9" t="s">
        <v>8</v>
      </c>
    </row>
    <row r="6664" spans="1:5" ht="15" customHeight="1" outlineLevel="2" x14ac:dyDescent="0.25">
      <c r="A6664" s="3" t="str">
        <f>HYPERLINK("http://mystore1.ru/price_items/search?utf8=%E2%9C%93&amp;oem=6277AGN","6277AGN")</f>
        <v>6277AGN</v>
      </c>
      <c r="B6664" s="1" t="s">
        <v>12685</v>
      </c>
      <c r="C6664" s="9" t="s">
        <v>7022</v>
      </c>
      <c r="D6664" s="14" t="s">
        <v>12686</v>
      </c>
      <c r="E6664" s="9" t="s">
        <v>8</v>
      </c>
    </row>
    <row r="6665" spans="1:5" ht="15" customHeight="1" outlineLevel="2" x14ac:dyDescent="0.25">
      <c r="A6665" s="3" t="str">
        <f>HYPERLINK("http://mystore1.ru/price_items/search?utf8=%E2%9C%93&amp;oem=6277AGNBL","6277AGNBL")</f>
        <v>6277AGNBL</v>
      </c>
      <c r="B6665" s="1" t="s">
        <v>12687</v>
      </c>
      <c r="C6665" s="9" t="s">
        <v>1625</v>
      </c>
      <c r="D6665" s="14" t="s">
        <v>12688</v>
      </c>
      <c r="E6665" s="9" t="s">
        <v>8</v>
      </c>
    </row>
    <row r="6666" spans="1:5" ht="15" customHeight="1" outlineLevel="2" x14ac:dyDescent="0.25">
      <c r="A6666" s="3" t="str">
        <f>HYPERLINK("http://mystore1.ru/price_items/search?utf8=%E2%9C%93&amp;oem=6277AKMH","6277AKMH")</f>
        <v>6277AKMH</v>
      </c>
      <c r="B6666" s="1" t="s">
        <v>12689</v>
      </c>
      <c r="C6666" s="9" t="s">
        <v>25</v>
      </c>
      <c r="D6666" s="14" t="s">
        <v>12690</v>
      </c>
      <c r="E6666" s="9" t="s">
        <v>27</v>
      </c>
    </row>
    <row r="6667" spans="1:5" ht="15" customHeight="1" outlineLevel="2" x14ac:dyDescent="0.25">
      <c r="A6667" s="3" t="str">
        <f>HYPERLINK("http://mystore1.ru/price_items/search?utf8=%E2%9C%93&amp;oem=6277AKMH1G","6277AKMH1G")</f>
        <v>6277AKMH1G</v>
      </c>
      <c r="B6667" s="1" t="s">
        <v>12691</v>
      </c>
      <c r="C6667" s="9" t="s">
        <v>25</v>
      </c>
      <c r="D6667" s="14" t="s">
        <v>12690</v>
      </c>
      <c r="E6667" s="9" t="s">
        <v>27</v>
      </c>
    </row>
    <row r="6668" spans="1:5" ht="15" customHeight="1" outlineLevel="2" x14ac:dyDescent="0.25">
      <c r="A6668" s="3" t="str">
        <f>HYPERLINK("http://mystore1.ru/price_items/search?utf8=%E2%9C%93&amp;oem=6277AKMH2F","6277AKMH2F")</f>
        <v>6277AKMH2F</v>
      </c>
      <c r="B6668" s="1" t="s">
        <v>12692</v>
      </c>
      <c r="C6668" s="9" t="s">
        <v>25</v>
      </c>
      <c r="D6668" s="14" t="s">
        <v>12693</v>
      </c>
      <c r="E6668" s="9" t="s">
        <v>27</v>
      </c>
    </row>
    <row r="6669" spans="1:5" ht="15" customHeight="1" outlineLevel="2" x14ac:dyDescent="0.25">
      <c r="A6669" s="3" t="str">
        <f>HYPERLINK("http://mystore1.ru/price_items/search?utf8=%E2%9C%93&amp;oem=6277ASMHT","6277ASMHT")</f>
        <v>6277ASMHT</v>
      </c>
      <c r="B6669" s="1" t="s">
        <v>12694</v>
      </c>
      <c r="C6669" s="9" t="s">
        <v>25</v>
      </c>
      <c r="D6669" s="14" t="s">
        <v>12695</v>
      </c>
      <c r="E6669" s="9" t="s">
        <v>27</v>
      </c>
    </row>
    <row r="6670" spans="1:5" ht="15" customHeight="1" outlineLevel="2" x14ac:dyDescent="0.25">
      <c r="A6670" s="3" t="str">
        <f>HYPERLINK("http://mystore1.ru/price_items/search?utf8=%E2%9C%93&amp;oem=6277ASGHB","6277ASGHB")</f>
        <v>6277ASGHB</v>
      </c>
      <c r="B6670" s="1" t="s">
        <v>12696</v>
      </c>
      <c r="C6670" s="9" t="s">
        <v>25</v>
      </c>
      <c r="D6670" s="14" t="s">
        <v>12697</v>
      </c>
      <c r="E6670" s="9" t="s">
        <v>27</v>
      </c>
    </row>
    <row r="6671" spans="1:5" ht="15" customHeight="1" outlineLevel="2" x14ac:dyDescent="0.25">
      <c r="A6671" s="3" t="str">
        <f>HYPERLINK("http://mystore1.ru/price_items/search?utf8=%E2%9C%93&amp;oem=6277BGNEB","6277BGNEB")</f>
        <v>6277BGNEB</v>
      </c>
      <c r="B6671" s="1" t="s">
        <v>12698</v>
      </c>
      <c r="C6671" s="9" t="s">
        <v>1625</v>
      </c>
      <c r="D6671" s="14" t="s">
        <v>12699</v>
      </c>
      <c r="E6671" s="9" t="s">
        <v>30</v>
      </c>
    </row>
    <row r="6672" spans="1:5" ht="15" customHeight="1" outlineLevel="2" x14ac:dyDescent="0.25">
      <c r="A6672" s="3" t="str">
        <f>HYPERLINK("http://mystore1.ru/price_items/search?utf8=%E2%9C%93&amp;oem=6277BGNHBZ","6277BGNHBZ")</f>
        <v>6277BGNHBZ</v>
      </c>
      <c r="B6672" s="1" t="s">
        <v>12700</v>
      </c>
      <c r="C6672" s="9" t="s">
        <v>1625</v>
      </c>
      <c r="D6672" s="14" t="s">
        <v>12701</v>
      </c>
      <c r="E6672" s="9" t="s">
        <v>30</v>
      </c>
    </row>
    <row r="6673" spans="1:5" ht="15" customHeight="1" outlineLevel="2" x14ac:dyDescent="0.25">
      <c r="A6673" s="3" t="str">
        <f>HYPERLINK("http://mystore1.ru/price_items/search?utf8=%E2%9C%93&amp;oem=6277BGNHZ","6277BGNHZ")</f>
        <v>6277BGNHZ</v>
      </c>
      <c r="B6673" s="1" t="s">
        <v>12702</v>
      </c>
      <c r="C6673" s="9" t="s">
        <v>1625</v>
      </c>
      <c r="D6673" s="14" t="s">
        <v>12703</v>
      </c>
      <c r="E6673" s="9" t="s">
        <v>30</v>
      </c>
    </row>
    <row r="6674" spans="1:5" ht="15" customHeight="1" outlineLevel="2" x14ac:dyDescent="0.25">
      <c r="A6674" s="3" t="str">
        <f>HYPERLINK("http://mystore1.ru/price_items/search?utf8=%E2%9C%93&amp;oem=6277BGNSA","6277BGNSA")</f>
        <v>6277BGNSA</v>
      </c>
      <c r="B6674" s="1" t="s">
        <v>12704</v>
      </c>
      <c r="C6674" s="9" t="s">
        <v>1625</v>
      </c>
      <c r="D6674" s="14" t="s">
        <v>12705</v>
      </c>
      <c r="E6674" s="9" t="s">
        <v>30</v>
      </c>
    </row>
    <row r="6675" spans="1:5" ht="15" customHeight="1" outlineLevel="2" x14ac:dyDescent="0.25">
      <c r="A6675" s="3" t="str">
        <f>HYPERLINK("http://mystore1.ru/price_items/search?utf8=%E2%9C%93&amp;oem=6277BGNSABI","6277BGNSABI")</f>
        <v>6277BGNSABI</v>
      </c>
      <c r="B6675" s="1" t="s">
        <v>12706</v>
      </c>
      <c r="C6675" s="9" t="s">
        <v>1625</v>
      </c>
      <c r="D6675" s="14" t="s">
        <v>12707</v>
      </c>
      <c r="E6675" s="9" t="s">
        <v>30</v>
      </c>
    </row>
    <row r="6676" spans="1:5" ht="15" customHeight="1" outlineLevel="2" x14ac:dyDescent="0.25">
      <c r="A6676" s="3" t="str">
        <f>HYPERLINK("http://mystore1.ru/price_items/search?utf8=%E2%9C%93&amp;oem=6277BSME","6277BSME")</f>
        <v>6277BSME</v>
      </c>
      <c r="B6676" s="1" t="s">
        <v>12708</v>
      </c>
      <c r="C6676" s="9" t="s">
        <v>25</v>
      </c>
      <c r="D6676" s="14" t="s">
        <v>12709</v>
      </c>
      <c r="E6676" s="9" t="s">
        <v>27</v>
      </c>
    </row>
    <row r="6677" spans="1:5" ht="15" customHeight="1" outlineLevel="2" x14ac:dyDescent="0.25">
      <c r="A6677" s="3" t="str">
        <f>HYPERLINK("http://mystore1.ru/price_items/search?utf8=%E2%9C%93&amp;oem=6277BSMS","6277BSMS")</f>
        <v>6277BSMS</v>
      </c>
      <c r="B6677" s="1" t="s">
        <v>12710</v>
      </c>
      <c r="C6677" s="9" t="s">
        <v>25</v>
      </c>
      <c r="D6677" s="14" t="s">
        <v>12709</v>
      </c>
      <c r="E6677" s="9" t="s">
        <v>27</v>
      </c>
    </row>
    <row r="6678" spans="1:5" ht="15" customHeight="1" outlineLevel="2" x14ac:dyDescent="0.25">
      <c r="A6678" s="3" t="str">
        <f>HYPERLINK("http://mystore1.ru/price_items/search?utf8=%E2%9C%93&amp;oem=6277LCLE5RD","6277LCLE5RD")</f>
        <v>6277LCLE5RD</v>
      </c>
      <c r="B6678" s="1" t="s">
        <v>12711</v>
      </c>
      <c r="C6678" s="9" t="s">
        <v>1625</v>
      </c>
      <c r="D6678" s="14" t="s">
        <v>12712</v>
      </c>
      <c r="E6678" s="9" t="s">
        <v>11</v>
      </c>
    </row>
    <row r="6679" spans="1:5" ht="15" customHeight="1" outlineLevel="2" x14ac:dyDescent="0.25">
      <c r="A6679" s="3" t="str">
        <f>HYPERLINK("http://mystore1.ru/price_items/search?utf8=%E2%9C%93&amp;oem=6277LGNE5RD","6277LGNE5RD")</f>
        <v>6277LGNE5RD</v>
      </c>
      <c r="B6679" s="1" t="s">
        <v>12713</v>
      </c>
      <c r="C6679" s="9" t="s">
        <v>1625</v>
      </c>
      <c r="D6679" s="14" t="s">
        <v>12714</v>
      </c>
      <c r="E6679" s="9" t="s">
        <v>11</v>
      </c>
    </row>
    <row r="6680" spans="1:5" ht="15" customHeight="1" outlineLevel="2" x14ac:dyDescent="0.25">
      <c r="A6680" s="3" t="str">
        <f>HYPERLINK("http://mystore1.ru/price_items/search?utf8=%E2%9C%93&amp;oem=6277LGNE5RQXZ","6277LGNE5RQXZ")</f>
        <v>6277LGNE5RQXZ</v>
      </c>
      <c r="B6680" s="1" t="s">
        <v>12715</v>
      </c>
      <c r="C6680" s="9" t="s">
        <v>1625</v>
      </c>
      <c r="D6680" s="14" t="s">
        <v>12716</v>
      </c>
      <c r="E6680" s="9" t="s">
        <v>11</v>
      </c>
    </row>
    <row r="6681" spans="1:5" ht="15" customHeight="1" outlineLevel="2" x14ac:dyDescent="0.25">
      <c r="A6681" s="3" t="str">
        <f>HYPERLINK("http://mystore1.ru/price_items/search?utf8=%E2%9C%93&amp;oem=6277LGNE5RQZ","6277LGNE5RQZ")</f>
        <v>6277LGNE5RQZ</v>
      </c>
      <c r="B6681" s="1" t="s">
        <v>12717</v>
      </c>
      <c r="C6681" s="9" t="s">
        <v>1625</v>
      </c>
      <c r="D6681" s="14" t="s">
        <v>12718</v>
      </c>
      <c r="E6681" s="9" t="s">
        <v>11</v>
      </c>
    </row>
    <row r="6682" spans="1:5" ht="15" customHeight="1" outlineLevel="2" x14ac:dyDescent="0.25">
      <c r="A6682" s="3" t="str">
        <f>HYPERLINK("http://mystore1.ru/price_items/search?utf8=%E2%9C%93&amp;oem=6277LGNH5FDW","6277LGNH5FDW")</f>
        <v>6277LGNH5FDW</v>
      </c>
      <c r="B6682" s="1" t="s">
        <v>12719</v>
      </c>
      <c r="C6682" s="9" t="s">
        <v>1625</v>
      </c>
      <c r="D6682" s="14" t="s">
        <v>12720</v>
      </c>
      <c r="E6682" s="9" t="s">
        <v>11</v>
      </c>
    </row>
    <row r="6683" spans="1:5" ht="15" customHeight="1" outlineLevel="2" x14ac:dyDescent="0.25">
      <c r="A6683" s="3" t="str">
        <f>HYPERLINK("http://mystore1.ru/price_items/search?utf8=%E2%9C%93&amp;oem=6277LGNH5RDW","6277LGNH5RDW")</f>
        <v>6277LGNH5RDW</v>
      </c>
      <c r="B6683" s="1" t="s">
        <v>12721</v>
      </c>
      <c r="C6683" s="9" t="s">
        <v>1625</v>
      </c>
      <c r="D6683" s="14" t="s">
        <v>12722</v>
      </c>
      <c r="E6683" s="9" t="s">
        <v>11</v>
      </c>
    </row>
    <row r="6684" spans="1:5" ht="15" customHeight="1" outlineLevel="2" x14ac:dyDescent="0.25">
      <c r="A6684" s="3" t="str">
        <f>HYPERLINK("http://mystore1.ru/price_items/search?utf8=%E2%9C%93&amp;oem=6277LGNH5RQZ","6277LGNH5RQZ")</f>
        <v>6277LGNH5RQZ</v>
      </c>
      <c r="B6684" s="1" t="s">
        <v>12723</v>
      </c>
      <c r="C6684" s="9" t="s">
        <v>1625</v>
      </c>
      <c r="D6684" s="14" t="s">
        <v>12724</v>
      </c>
      <c r="E6684" s="9" t="s">
        <v>11</v>
      </c>
    </row>
    <row r="6685" spans="1:5" ht="15" customHeight="1" outlineLevel="2" x14ac:dyDescent="0.25">
      <c r="A6685" s="3" t="str">
        <f>HYPERLINK("http://mystore1.ru/price_items/search?utf8=%E2%9C%93&amp;oem=6277LGNS4RQZ","6277LGNS4RQZ")</f>
        <v>6277LGNS4RQZ</v>
      </c>
      <c r="B6685" s="1" t="s">
        <v>12725</v>
      </c>
      <c r="C6685" s="9" t="s">
        <v>1625</v>
      </c>
      <c r="D6685" s="14" t="s">
        <v>12726</v>
      </c>
      <c r="E6685" s="9" t="s">
        <v>11</v>
      </c>
    </row>
    <row r="6686" spans="1:5" ht="15" customHeight="1" outlineLevel="2" x14ac:dyDescent="0.25">
      <c r="A6686" s="3" t="str">
        <f>HYPERLINK("http://mystore1.ru/price_items/search?utf8=%E2%9C%93&amp;oem=6277RGNE5RD","6277RGNE5RD")</f>
        <v>6277RGNE5RD</v>
      </c>
      <c r="B6686" s="1" t="s">
        <v>12727</v>
      </c>
      <c r="C6686" s="9" t="s">
        <v>1625</v>
      </c>
      <c r="D6686" s="14" t="s">
        <v>12728</v>
      </c>
      <c r="E6686" s="9" t="s">
        <v>11</v>
      </c>
    </row>
    <row r="6687" spans="1:5" ht="15" customHeight="1" outlineLevel="2" x14ac:dyDescent="0.25">
      <c r="A6687" s="3" t="str">
        <f>HYPERLINK("http://mystore1.ru/price_items/search?utf8=%E2%9C%93&amp;oem=6277RGNE5RQXZ","6277RGNE5RQXZ")</f>
        <v>6277RGNE5RQXZ</v>
      </c>
      <c r="B6687" s="1" t="s">
        <v>12729</v>
      </c>
      <c r="C6687" s="9" t="s">
        <v>1625</v>
      </c>
      <c r="D6687" s="14" t="s">
        <v>12730</v>
      </c>
      <c r="E6687" s="9" t="s">
        <v>11</v>
      </c>
    </row>
    <row r="6688" spans="1:5" ht="15" customHeight="1" outlineLevel="2" x14ac:dyDescent="0.25">
      <c r="A6688" s="3" t="str">
        <f>HYPERLINK("http://mystore1.ru/price_items/search?utf8=%E2%9C%93&amp;oem=6277RGNE5RQZ","6277RGNE5RQZ")</f>
        <v>6277RGNE5RQZ</v>
      </c>
      <c r="B6688" s="1" t="s">
        <v>12731</v>
      </c>
      <c r="C6688" s="9" t="s">
        <v>1625</v>
      </c>
      <c r="D6688" s="14" t="s">
        <v>12732</v>
      </c>
      <c r="E6688" s="9" t="s">
        <v>11</v>
      </c>
    </row>
    <row r="6689" spans="1:5" ht="15" customHeight="1" outlineLevel="2" x14ac:dyDescent="0.25">
      <c r="A6689" s="3" t="str">
        <f>HYPERLINK("http://mystore1.ru/price_items/search?utf8=%E2%9C%93&amp;oem=6277RGNH5FDW","6277RGNH5FDW")</f>
        <v>6277RGNH5FDW</v>
      </c>
      <c r="B6689" s="1" t="s">
        <v>12733</v>
      </c>
      <c r="C6689" s="9" t="s">
        <v>1625</v>
      </c>
      <c r="D6689" s="14" t="s">
        <v>12734</v>
      </c>
      <c r="E6689" s="9" t="s">
        <v>11</v>
      </c>
    </row>
    <row r="6690" spans="1:5" ht="15" customHeight="1" outlineLevel="2" x14ac:dyDescent="0.25">
      <c r="A6690" s="3" t="str">
        <f>HYPERLINK("http://mystore1.ru/price_items/search?utf8=%E2%9C%93&amp;oem=6277RGNH5RDW","6277RGNH5RDW")</f>
        <v>6277RGNH5RDW</v>
      </c>
      <c r="B6690" s="1" t="s">
        <v>12735</v>
      </c>
      <c r="C6690" s="9" t="s">
        <v>1625</v>
      </c>
      <c r="D6690" s="14" t="s">
        <v>12736</v>
      </c>
      <c r="E6690" s="9" t="s">
        <v>11</v>
      </c>
    </row>
    <row r="6691" spans="1:5" ht="15" customHeight="1" outlineLevel="2" x14ac:dyDescent="0.25">
      <c r="A6691" s="3" t="str">
        <f>HYPERLINK("http://mystore1.ru/price_items/search?utf8=%E2%9C%93&amp;oem=6277RGNS4RQZ","6277RGNS4RQZ")</f>
        <v>6277RGNS4RQZ</v>
      </c>
      <c r="B6691" s="1" t="s">
        <v>12737</v>
      </c>
      <c r="C6691" s="9" t="s">
        <v>1625</v>
      </c>
      <c r="D6691" s="14" t="s">
        <v>12738</v>
      </c>
      <c r="E6691" s="9" t="s">
        <v>11</v>
      </c>
    </row>
    <row r="6692" spans="1:5" outlineLevel="1" x14ac:dyDescent="0.25">
      <c r="A6692" s="2"/>
      <c r="B6692" s="6" t="s">
        <v>12739</v>
      </c>
      <c r="C6692" s="8"/>
      <c r="D6692" s="8"/>
      <c r="E6692" s="8"/>
    </row>
    <row r="6693" spans="1:5" ht="15" customHeight="1" outlineLevel="2" x14ac:dyDescent="0.25">
      <c r="A6693" s="3" t="str">
        <f>HYPERLINK("http://mystore1.ru/price_items/search?utf8=%E2%9C%93&amp;oem=6294ACCBLMVW2B","6294ACCBLMVW2B")</f>
        <v>6294ACCBLMVW2B</v>
      </c>
      <c r="B6693" s="1" t="s">
        <v>12740</v>
      </c>
      <c r="C6693" s="9" t="s">
        <v>4782</v>
      </c>
      <c r="D6693" s="14" t="s">
        <v>12741</v>
      </c>
      <c r="E6693" s="9" t="s">
        <v>8</v>
      </c>
    </row>
    <row r="6694" spans="1:5" ht="15" customHeight="1" outlineLevel="2" x14ac:dyDescent="0.25">
      <c r="A6694" s="3" t="str">
        <f>HYPERLINK("http://mystore1.ru/price_items/search?utf8=%E2%9C%93&amp;oem=6294ACCBLMW2B","6294ACCBLMW2B")</f>
        <v>6294ACCBLMW2B</v>
      </c>
      <c r="B6694" s="1" t="s">
        <v>12742</v>
      </c>
      <c r="C6694" s="9" t="s">
        <v>4782</v>
      </c>
      <c r="D6694" s="14" t="s">
        <v>12743</v>
      </c>
      <c r="E6694" s="9" t="s">
        <v>8</v>
      </c>
    </row>
    <row r="6695" spans="1:5" ht="15" customHeight="1" outlineLevel="2" x14ac:dyDescent="0.25">
      <c r="A6695" s="3" t="str">
        <f>HYPERLINK("http://mystore1.ru/price_items/search?utf8=%E2%9C%93&amp;oem=6294ACCBLVW","6294ACCBLVW")</f>
        <v>6294ACCBLVW</v>
      </c>
      <c r="B6695" s="1" t="s">
        <v>12744</v>
      </c>
      <c r="C6695" s="9" t="s">
        <v>4782</v>
      </c>
      <c r="D6695" s="14" t="s">
        <v>12745</v>
      </c>
      <c r="E6695" s="9" t="s">
        <v>8</v>
      </c>
    </row>
    <row r="6696" spans="1:5" ht="15" customHeight="1" outlineLevel="2" x14ac:dyDescent="0.25">
      <c r="A6696" s="3" t="str">
        <f>HYPERLINK("http://mystore1.ru/price_items/search?utf8=%E2%9C%93&amp;oem=6294ACCBLW","6294ACCBLW")</f>
        <v>6294ACCBLW</v>
      </c>
      <c r="B6696" s="1" t="s">
        <v>12746</v>
      </c>
      <c r="C6696" s="9" t="s">
        <v>4782</v>
      </c>
      <c r="D6696" s="14" t="s">
        <v>12747</v>
      </c>
      <c r="E6696" s="9" t="s">
        <v>8</v>
      </c>
    </row>
    <row r="6697" spans="1:5" ht="15" customHeight="1" outlineLevel="2" x14ac:dyDescent="0.25">
      <c r="A6697" s="3" t="str">
        <f>HYPERLINK("http://mystore1.ru/price_items/search?utf8=%E2%9C%93&amp;oem=6294AGSBLMVW2B","6294AGSBLMVW2B")</f>
        <v>6294AGSBLMVW2B</v>
      </c>
      <c r="B6697" s="1" t="s">
        <v>12748</v>
      </c>
      <c r="C6697" s="9" t="s">
        <v>4782</v>
      </c>
      <c r="D6697" s="14" t="s">
        <v>12749</v>
      </c>
      <c r="E6697" s="9" t="s">
        <v>8</v>
      </c>
    </row>
    <row r="6698" spans="1:5" ht="15" customHeight="1" outlineLevel="2" x14ac:dyDescent="0.25">
      <c r="A6698" s="3" t="str">
        <f>HYPERLINK("http://mystore1.ru/price_items/search?utf8=%E2%9C%93&amp;oem=6294AGSBLMW1B","6294AGSBLMW1B")</f>
        <v>6294AGSBLMW1B</v>
      </c>
      <c r="B6698" s="1" t="s">
        <v>12750</v>
      </c>
      <c r="C6698" s="9" t="s">
        <v>4782</v>
      </c>
      <c r="D6698" s="14" t="s">
        <v>12751</v>
      </c>
      <c r="E6698" s="9" t="s">
        <v>8</v>
      </c>
    </row>
    <row r="6699" spans="1:5" ht="15" customHeight="1" outlineLevel="2" x14ac:dyDescent="0.25">
      <c r="A6699" s="3" t="str">
        <f>HYPERLINK("http://mystore1.ru/price_items/search?utf8=%E2%9C%93&amp;oem=6294AGSBLVW","6294AGSBLVW")</f>
        <v>6294AGSBLVW</v>
      </c>
      <c r="B6699" s="1" t="s">
        <v>12752</v>
      </c>
      <c r="C6699" s="9" t="s">
        <v>4782</v>
      </c>
      <c r="D6699" s="14" t="s">
        <v>12753</v>
      </c>
      <c r="E6699" s="9" t="s">
        <v>8</v>
      </c>
    </row>
    <row r="6700" spans="1:5" ht="15" customHeight="1" outlineLevel="2" x14ac:dyDescent="0.25">
      <c r="A6700" s="3" t="str">
        <f>HYPERLINK("http://mystore1.ru/price_items/search?utf8=%E2%9C%93&amp;oem=6294AGSBLW","6294AGSBLW")</f>
        <v>6294AGSBLW</v>
      </c>
      <c r="B6700" s="1" t="s">
        <v>12754</v>
      </c>
      <c r="C6700" s="9" t="s">
        <v>4782</v>
      </c>
      <c r="D6700" s="14" t="s">
        <v>12755</v>
      </c>
      <c r="E6700" s="9" t="s">
        <v>8</v>
      </c>
    </row>
    <row r="6701" spans="1:5" ht="15" customHeight="1" outlineLevel="2" x14ac:dyDescent="0.25">
      <c r="A6701" s="3" t="str">
        <f>HYPERLINK("http://mystore1.ru/price_items/search?utf8=%E2%9C%93&amp;oem=6294AGSMVW2B","6294AGSMVW2B")</f>
        <v>6294AGSMVW2B</v>
      </c>
      <c r="B6701" s="1" t="s">
        <v>12756</v>
      </c>
      <c r="C6701" s="9" t="s">
        <v>4782</v>
      </c>
      <c r="D6701" s="14" t="s">
        <v>12757</v>
      </c>
      <c r="E6701" s="9" t="s">
        <v>8</v>
      </c>
    </row>
    <row r="6702" spans="1:5" ht="15" customHeight="1" outlineLevel="2" x14ac:dyDescent="0.25">
      <c r="A6702" s="3" t="str">
        <f>HYPERLINK("http://mystore1.ru/price_items/search?utf8=%E2%9C%93&amp;oem=6294AGSMW2B","6294AGSMW2B")</f>
        <v>6294AGSMW2B</v>
      </c>
      <c r="B6702" s="1" t="s">
        <v>12758</v>
      </c>
      <c r="C6702" s="9" t="s">
        <v>1362</v>
      </c>
      <c r="D6702" s="14" t="s">
        <v>12759</v>
      </c>
      <c r="E6702" s="9" t="s">
        <v>8</v>
      </c>
    </row>
    <row r="6703" spans="1:5" ht="15" customHeight="1" outlineLevel="2" x14ac:dyDescent="0.25">
      <c r="A6703" s="3" t="str">
        <f>HYPERLINK("http://mystore1.ru/price_items/search?utf8=%E2%9C%93&amp;oem=6294AGSVW","6294AGSVW")</f>
        <v>6294AGSVW</v>
      </c>
      <c r="B6703" s="1" t="s">
        <v>12760</v>
      </c>
      <c r="C6703" s="9" t="s">
        <v>1362</v>
      </c>
      <c r="D6703" s="14" t="s">
        <v>12761</v>
      </c>
      <c r="E6703" s="9" t="s">
        <v>8</v>
      </c>
    </row>
    <row r="6704" spans="1:5" ht="15" customHeight="1" outlineLevel="2" x14ac:dyDescent="0.25">
      <c r="A6704" s="3" t="str">
        <f>HYPERLINK("http://mystore1.ru/price_items/search?utf8=%E2%9C%93&amp;oem=6294AGSW","6294AGSW")</f>
        <v>6294AGSW</v>
      </c>
      <c r="B6704" s="1" t="s">
        <v>12762</v>
      </c>
      <c r="C6704" s="9" t="s">
        <v>1362</v>
      </c>
      <c r="D6704" s="14" t="s">
        <v>12763</v>
      </c>
      <c r="E6704" s="9" t="s">
        <v>8</v>
      </c>
    </row>
    <row r="6705" spans="1:5" ht="15" customHeight="1" outlineLevel="2" x14ac:dyDescent="0.25">
      <c r="A6705" s="3" t="str">
        <f>HYPERLINK("http://mystore1.ru/price_items/search?utf8=%E2%9C%93&amp;oem=6294BGDEBZ","6294BGDEBZ")</f>
        <v>6294BGDEBZ</v>
      </c>
      <c r="B6705" s="1" t="s">
        <v>12764</v>
      </c>
      <c r="C6705" s="9" t="s">
        <v>1362</v>
      </c>
      <c r="D6705" s="14" t="s">
        <v>12765</v>
      </c>
      <c r="E6705" s="9" t="s">
        <v>30</v>
      </c>
    </row>
    <row r="6706" spans="1:5" ht="15" customHeight="1" outlineLevel="2" x14ac:dyDescent="0.25">
      <c r="A6706" s="3" t="str">
        <f>HYPERLINK("http://mystore1.ru/price_items/search?utf8=%E2%9C%93&amp;oem=6294BGDVZ","6294BGDVZ")</f>
        <v>6294BGDVZ</v>
      </c>
      <c r="B6706" s="1" t="s">
        <v>12766</v>
      </c>
      <c r="C6706" s="9" t="s">
        <v>1362</v>
      </c>
      <c r="D6706" s="14" t="s">
        <v>12767</v>
      </c>
      <c r="E6706" s="9" t="s">
        <v>30</v>
      </c>
    </row>
    <row r="6707" spans="1:5" ht="15" customHeight="1" outlineLevel="2" x14ac:dyDescent="0.25">
      <c r="A6707" s="3" t="str">
        <f>HYPERLINK("http://mystore1.ru/price_items/search?utf8=%E2%9C%93&amp;oem=6294BGSHZ","6294BGSHZ")</f>
        <v>6294BGSHZ</v>
      </c>
      <c r="B6707" s="1" t="s">
        <v>12768</v>
      </c>
      <c r="C6707" s="9" t="s">
        <v>4782</v>
      </c>
      <c r="D6707" s="14" t="s">
        <v>12769</v>
      </c>
      <c r="E6707" s="9" t="s">
        <v>30</v>
      </c>
    </row>
    <row r="6708" spans="1:5" ht="15" customHeight="1" outlineLevel="2" x14ac:dyDescent="0.25">
      <c r="A6708" s="3" t="str">
        <f>HYPERLINK("http://mystore1.ru/price_items/search?utf8=%E2%9C%93&amp;oem=6294BGSHZ1E","6294BGSHZ1E")</f>
        <v>6294BGSHZ1E</v>
      </c>
      <c r="B6708" s="1" t="s">
        <v>12770</v>
      </c>
      <c r="C6708" s="9" t="s">
        <v>4782</v>
      </c>
      <c r="D6708" s="14" t="s">
        <v>12771</v>
      </c>
      <c r="E6708" s="9" t="s">
        <v>30</v>
      </c>
    </row>
    <row r="6709" spans="1:5" ht="15" customHeight="1" outlineLevel="2" x14ac:dyDescent="0.25">
      <c r="A6709" s="3" t="str">
        <f>HYPERLINK("http://mystore1.ru/price_items/search?utf8=%E2%9C%93&amp;oem=6294BGSSW","6294BGSSW")</f>
        <v>6294BGSSW</v>
      </c>
      <c r="B6709" s="1" t="s">
        <v>12772</v>
      </c>
      <c r="C6709" s="9" t="s">
        <v>4782</v>
      </c>
      <c r="D6709" s="14" t="s">
        <v>12773</v>
      </c>
      <c r="E6709" s="9" t="s">
        <v>30</v>
      </c>
    </row>
    <row r="6710" spans="1:5" ht="15" customHeight="1" outlineLevel="2" x14ac:dyDescent="0.25">
      <c r="A6710" s="3" t="str">
        <f>HYPERLINK("http://mystore1.ru/price_items/search?utf8=%E2%9C%93&amp;oem=6294BGSVZ","6294BGSVZ")</f>
        <v>6294BGSVZ</v>
      </c>
      <c r="B6710" s="1" t="s">
        <v>12774</v>
      </c>
      <c r="C6710" s="9" t="s">
        <v>1362</v>
      </c>
      <c r="D6710" s="14" t="s">
        <v>12775</v>
      </c>
      <c r="E6710" s="9" t="s">
        <v>30</v>
      </c>
    </row>
    <row r="6711" spans="1:5" ht="15" customHeight="1" outlineLevel="2" x14ac:dyDescent="0.25">
      <c r="A6711" s="3" t="str">
        <f>HYPERLINK("http://mystore1.ru/price_items/search?utf8=%E2%9C%93&amp;oem=6294BGSEBZ","6294BGSEBZ")</f>
        <v>6294BGSEBZ</v>
      </c>
      <c r="B6711" s="1" t="s">
        <v>12776</v>
      </c>
      <c r="C6711" s="9" t="s">
        <v>1362</v>
      </c>
      <c r="D6711" s="14" t="s">
        <v>12777</v>
      </c>
      <c r="E6711" s="9" t="s">
        <v>30</v>
      </c>
    </row>
    <row r="6712" spans="1:5" ht="15" customHeight="1" outlineLevel="2" x14ac:dyDescent="0.25">
      <c r="A6712" s="3" t="str">
        <f>HYPERLINK("http://mystore1.ru/price_items/search?utf8=%E2%9C%93&amp;oem=6294LGSH5FDW","6294LGSH5FDW")</f>
        <v>6294LGSH5FDW</v>
      </c>
      <c r="B6712" s="1" t="s">
        <v>12778</v>
      </c>
      <c r="C6712" s="9" t="s">
        <v>4782</v>
      </c>
      <c r="D6712" s="14" t="s">
        <v>12779</v>
      </c>
      <c r="E6712" s="9" t="s">
        <v>11</v>
      </c>
    </row>
    <row r="6713" spans="1:5" ht="15" customHeight="1" outlineLevel="2" x14ac:dyDescent="0.25">
      <c r="A6713" s="3" t="str">
        <f>HYPERLINK("http://mystore1.ru/price_items/search?utf8=%E2%9C%93&amp;oem=6294LGSH5RD","6294LGSH5RD")</f>
        <v>6294LGSH5RD</v>
      </c>
      <c r="B6713" s="1" t="s">
        <v>12780</v>
      </c>
      <c r="C6713" s="9" t="s">
        <v>4782</v>
      </c>
      <c r="D6713" s="14" t="s">
        <v>12781</v>
      </c>
      <c r="E6713" s="9" t="s">
        <v>11</v>
      </c>
    </row>
    <row r="6714" spans="1:5" ht="15" customHeight="1" outlineLevel="2" x14ac:dyDescent="0.25">
      <c r="A6714" s="3" t="str">
        <f>HYPERLINK("http://mystore1.ru/price_items/search?utf8=%E2%9C%93&amp;oem=6294LGSH5RQZ","6294LGSH5RQZ")</f>
        <v>6294LGSH5RQZ</v>
      </c>
      <c r="B6714" s="1" t="s">
        <v>12782</v>
      </c>
      <c r="C6714" s="9" t="s">
        <v>4782</v>
      </c>
      <c r="D6714" s="14" t="s">
        <v>12783</v>
      </c>
      <c r="E6714" s="9" t="s">
        <v>11</v>
      </c>
    </row>
    <row r="6715" spans="1:5" ht="15" customHeight="1" outlineLevel="2" x14ac:dyDescent="0.25">
      <c r="A6715" s="3" t="str">
        <f>HYPERLINK("http://mystore1.ru/price_items/search?utf8=%E2%9C%93&amp;oem=6294LGSH5RQZ1D","6294LGSH5RQZ1D")</f>
        <v>6294LGSH5RQZ1D</v>
      </c>
      <c r="B6715" s="1" t="s">
        <v>12784</v>
      </c>
      <c r="C6715" s="9" t="s">
        <v>4782</v>
      </c>
      <c r="D6715" s="14" t="s">
        <v>12785</v>
      </c>
      <c r="E6715" s="9" t="s">
        <v>11</v>
      </c>
    </row>
    <row r="6716" spans="1:5" ht="15" customHeight="1" outlineLevel="2" x14ac:dyDescent="0.25">
      <c r="A6716" s="3" t="str">
        <f>HYPERLINK("http://mystore1.ru/price_items/search?utf8=%E2%9C%93&amp;oem=6294LGSS4RDW","6294LGSS4RDW")</f>
        <v>6294LGSS4RDW</v>
      </c>
      <c r="B6716" s="1" t="s">
        <v>12786</v>
      </c>
      <c r="C6716" s="9" t="s">
        <v>4782</v>
      </c>
      <c r="D6716" s="14" t="s">
        <v>12787</v>
      </c>
      <c r="E6716" s="9" t="s">
        <v>11</v>
      </c>
    </row>
    <row r="6717" spans="1:5" ht="15" customHeight="1" outlineLevel="2" x14ac:dyDescent="0.25">
      <c r="A6717" s="3" t="str">
        <f>HYPERLINK("http://mystore1.ru/price_items/search?utf8=%E2%9C%93&amp;oem=6294LGSV5RDW","6294LGSV5RDW")</f>
        <v>6294LGSV5RDW</v>
      </c>
      <c r="B6717" s="1" t="s">
        <v>12788</v>
      </c>
      <c r="C6717" s="9" t="s">
        <v>1362</v>
      </c>
      <c r="D6717" s="14" t="s">
        <v>12789</v>
      </c>
      <c r="E6717" s="9" t="s">
        <v>11</v>
      </c>
    </row>
    <row r="6718" spans="1:5" ht="15" customHeight="1" outlineLevel="2" x14ac:dyDescent="0.25">
      <c r="A6718" s="3" t="str">
        <f>HYPERLINK("http://mystore1.ru/price_items/search?utf8=%E2%9C%93&amp;oem=6294RGSH5FDW","6294RGSH5FDW")</f>
        <v>6294RGSH5FDW</v>
      </c>
      <c r="B6718" s="1" t="s">
        <v>12790</v>
      </c>
      <c r="C6718" s="9" t="s">
        <v>4782</v>
      </c>
      <c r="D6718" s="14" t="s">
        <v>12791</v>
      </c>
      <c r="E6718" s="9" t="s">
        <v>11</v>
      </c>
    </row>
    <row r="6719" spans="1:5" ht="15" customHeight="1" outlineLevel="2" x14ac:dyDescent="0.25">
      <c r="A6719" s="3" t="str">
        <f>HYPERLINK("http://mystore1.ru/price_items/search?utf8=%E2%9C%93&amp;oem=6294RGSH5RD","6294RGSH5RD")</f>
        <v>6294RGSH5RD</v>
      </c>
      <c r="B6719" s="1" t="s">
        <v>12792</v>
      </c>
      <c r="C6719" s="9" t="s">
        <v>4782</v>
      </c>
      <c r="D6719" s="14" t="s">
        <v>12793</v>
      </c>
      <c r="E6719" s="9" t="s">
        <v>11</v>
      </c>
    </row>
    <row r="6720" spans="1:5" ht="15" customHeight="1" outlineLevel="2" x14ac:dyDescent="0.25">
      <c r="A6720" s="3" t="str">
        <f>HYPERLINK("http://mystore1.ru/price_items/search?utf8=%E2%9C%93&amp;oem=6294RGSH5RQZ","6294RGSH5RQZ")</f>
        <v>6294RGSH5RQZ</v>
      </c>
      <c r="B6720" s="1" t="s">
        <v>12794</v>
      </c>
      <c r="C6720" s="9" t="s">
        <v>4782</v>
      </c>
      <c r="D6720" s="14" t="s">
        <v>12795</v>
      </c>
      <c r="E6720" s="9" t="s">
        <v>11</v>
      </c>
    </row>
    <row r="6721" spans="1:5" ht="15" customHeight="1" outlineLevel="2" x14ac:dyDescent="0.25">
      <c r="A6721" s="3" t="str">
        <f>HYPERLINK("http://mystore1.ru/price_items/search?utf8=%E2%9C%93&amp;oem=6294RGSH5RQZ1D","6294RGSH5RQZ1D")</f>
        <v>6294RGSH5RQZ1D</v>
      </c>
      <c r="B6721" s="1" t="s">
        <v>12796</v>
      </c>
      <c r="C6721" s="9" t="s">
        <v>4782</v>
      </c>
      <c r="D6721" s="14" t="s">
        <v>12797</v>
      </c>
      <c r="E6721" s="9" t="s">
        <v>11</v>
      </c>
    </row>
    <row r="6722" spans="1:5" ht="15" customHeight="1" outlineLevel="2" x14ac:dyDescent="0.25">
      <c r="A6722" s="3" t="str">
        <f>HYPERLINK("http://mystore1.ru/price_items/search?utf8=%E2%9C%93&amp;oem=6294RGSS4RD","6294RGSS4RD")</f>
        <v>6294RGSS4RD</v>
      </c>
      <c r="B6722" s="1" t="s">
        <v>12798</v>
      </c>
      <c r="C6722" s="9" t="s">
        <v>4782</v>
      </c>
      <c r="D6722" s="14" t="s">
        <v>12799</v>
      </c>
      <c r="E6722" s="9" t="s">
        <v>11</v>
      </c>
    </row>
    <row r="6723" spans="1:5" ht="15" customHeight="1" outlineLevel="2" x14ac:dyDescent="0.25">
      <c r="A6723" s="3" t="str">
        <f>HYPERLINK("http://mystore1.ru/price_items/search?utf8=%E2%9C%93&amp;oem=6294RGSV5RDW","6294RGSV5RDW")</f>
        <v>6294RGSV5RDW</v>
      </c>
      <c r="B6723" s="1" t="s">
        <v>12800</v>
      </c>
      <c r="C6723" s="9" t="s">
        <v>1362</v>
      </c>
      <c r="D6723" s="14" t="s">
        <v>12801</v>
      </c>
      <c r="E6723" s="9" t="s">
        <v>11</v>
      </c>
    </row>
    <row r="6724" spans="1:5" outlineLevel="1" x14ac:dyDescent="0.25">
      <c r="A6724" s="2"/>
      <c r="B6724" s="6" t="s">
        <v>12802</v>
      </c>
      <c r="C6724" s="8"/>
      <c r="D6724" s="8"/>
      <c r="E6724" s="8"/>
    </row>
    <row r="6725" spans="1:5" ht="15" customHeight="1" outlineLevel="2" x14ac:dyDescent="0.25">
      <c r="A6725" s="3" t="str">
        <f>HYPERLINK("http://mystore1.ru/price_items/search?utf8=%E2%9C%93&amp;oem=6300ACCV","6300ACCV")</f>
        <v>6300ACCV</v>
      </c>
      <c r="B6725" s="1" t="s">
        <v>12803</v>
      </c>
      <c r="C6725" s="9" t="s">
        <v>1423</v>
      </c>
      <c r="D6725" s="14" t="s">
        <v>12804</v>
      </c>
      <c r="E6725" s="9" t="s">
        <v>8</v>
      </c>
    </row>
    <row r="6726" spans="1:5" ht="15" customHeight="1" outlineLevel="2" x14ac:dyDescent="0.25">
      <c r="A6726" s="3" t="str">
        <f>HYPERLINK("http://mystore1.ru/price_items/search?utf8=%E2%9C%93&amp;oem=6300ACCV1H","6300ACCV1H")</f>
        <v>6300ACCV1H</v>
      </c>
      <c r="B6726" s="1" t="s">
        <v>12805</v>
      </c>
      <c r="C6726" s="9" t="s">
        <v>1423</v>
      </c>
      <c r="D6726" s="14" t="s">
        <v>12806</v>
      </c>
      <c r="E6726" s="9" t="s">
        <v>8</v>
      </c>
    </row>
    <row r="6727" spans="1:5" ht="15" customHeight="1" outlineLevel="2" x14ac:dyDescent="0.25">
      <c r="A6727" s="3" t="str">
        <f>HYPERLINK("http://mystore1.ru/price_items/search?utf8=%E2%9C%93&amp;oem=6300AGSV1C","6300AGSV1C")</f>
        <v>6300AGSV1C</v>
      </c>
      <c r="B6727" s="1" t="s">
        <v>12807</v>
      </c>
      <c r="C6727" s="9" t="s">
        <v>1423</v>
      </c>
      <c r="D6727" s="14" t="s">
        <v>12808</v>
      </c>
      <c r="E6727" s="9" t="s">
        <v>8</v>
      </c>
    </row>
    <row r="6728" spans="1:5" ht="15" customHeight="1" outlineLevel="2" x14ac:dyDescent="0.25">
      <c r="A6728" s="3" t="str">
        <f>HYPERLINK("http://mystore1.ru/price_items/search?utf8=%E2%9C%93&amp;oem=6300AGSV1H","6300AGSV1H")</f>
        <v>6300AGSV1H</v>
      </c>
      <c r="B6728" s="1" t="s">
        <v>12809</v>
      </c>
      <c r="C6728" s="9" t="s">
        <v>1423</v>
      </c>
      <c r="D6728" s="14" t="s">
        <v>12810</v>
      </c>
      <c r="E6728" s="9" t="s">
        <v>8</v>
      </c>
    </row>
    <row r="6729" spans="1:5" ht="15" customHeight="1" outlineLevel="2" x14ac:dyDescent="0.25">
      <c r="A6729" s="3" t="str">
        <f>HYPERLINK("http://mystore1.ru/price_items/search?utf8=%E2%9C%93&amp;oem=OLD-6300ASMVT","OLD-6300ASMVT")</f>
        <v>OLD-6300ASMVT</v>
      </c>
      <c r="B6729" s="1" t="s">
        <v>12811</v>
      </c>
      <c r="C6729" s="9" t="s">
        <v>25</v>
      </c>
      <c r="D6729" s="14" t="s">
        <v>12812</v>
      </c>
      <c r="E6729" s="9" t="s">
        <v>27</v>
      </c>
    </row>
    <row r="6730" spans="1:5" ht="15" customHeight="1" outlineLevel="2" x14ac:dyDescent="0.25">
      <c r="A6730" s="3" t="str">
        <f>HYPERLINK("http://mystore1.ru/price_items/search?utf8=%E2%9C%93&amp;oem=6300BGSV","6300BGSV")</f>
        <v>6300BGSV</v>
      </c>
      <c r="B6730" s="1" t="s">
        <v>12813</v>
      </c>
      <c r="C6730" s="9" t="s">
        <v>1423</v>
      </c>
      <c r="D6730" s="14" t="s">
        <v>12814</v>
      </c>
      <c r="E6730" s="9" t="s">
        <v>30</v>
      </c>
    </row>
    <row r="6731" spans="1:5" ht="15" customHeight="1" outlineLevel="2" x14ac:dyDescent="0.25">
      <c r="A6731" s="3" t="str">
        <f>HYPERLINK("http://mystore1.ru/price_items/search?utf8=%E2%9C%93&amp;oem=6300BGSVL","6300BGSVL")</f>
        <v>6300BGSVL</v>
      </c>
      <c r="B6731" s="1" t="s">
        <v>12815</v>
      </c>
      <c r="C6731" s="9" t="s">
        <v>1423</v>
      </c>
      <c r="D6731" s="14" t="s">
        <v>12816</v>
      </c>
      <c r="E6731" s="9" t="s">
        <v>30</v>
      </c>
    </row>
    <row r="6732" spans="1:5" ht="15" customHeight="1" outlineLevel="2" x14ac:dyDescent="0.25">
      <c r="A6732" s="3" t="str">
        <f>HYPERLINK("http://mystore1.ru/price_items/search?utf8=%E2%9C%93&amp;oem=6300BGSVLU","6300BGSVLU")</f>
        <v>6300BGSVLU</v>
      </c>
      <c r="B6732" s="1" t="s">
        <v>12817</v>
      </c>
      <c r="C6732" s="9" t="s">
        <v>1423</v>
      </c>
      <c r="D6732" s="14" t="s">
        <v>12818</v>
      </c>
      <c r="E6732" s="9" t="s">
        <v>30</v>
      </c>
    </row>
    <row r="6733" spans="1:5" ht="15" customHeight="1" outlineLevel="2" x14ac:dyDescent="0.25">
      <c r="A6733" s="3" t="str">
        <f>HYPERLINK("http://mystore1.ru/price_items/search?utf8=%E2%9C%93&amp;oem=6300BGSVR","6300BGSVR")</f>
        <v>6300BGSVR</v>
      </c>
      <c r="B6733" s="1" t="s">
        <v>12819</v>
      </c>
      <c r="C6733" s="9" t="s">
        <v>1423</v>
      </c>
      <c r="D6733" s="14" t="s">
        <v>12820</v>
      </c>
      <c r="E6733" s="9" t="s">
        <v>30</v>
      </c>
    </row>
    <row r="6734" spans="1:5" ht="15" customHeight="1" outlineLevel="2" x14ac:dyDescent="0.25">
      <c r="A6734" s="3" t="str">
        <f>HYPERLINK("http://mystore1.ru/price_items/search?utf8=%E2%9C%93&amp;oem=6300BGSVRU","6300BGSVRU")</f>
        <v>6300BGSVRU</v>
      </c>
      <c r="B6734" s="1" t="s">
        <v>12821</v>
      </c>
      <c r="C6734" s="9" t="s">
        <v>1423</v>
      </c>
      <c r="D6734" s="14" t="s">
        <v>12822</v>
      </c>
      <c r="E6734" s="9" t="s">
        <v>30</v>
      </c>
    </row>
    <row r="6735" spans="1:5" ht="15" customHeight="1" outlineLevel="2" x14ac:dyDescent="0.25">
      <c r="A6735" s="3" t="str">
        <f>HYPERLINK("http://mystore1.ru/price_items/search?utf8=%E2%9C%93&amp;oem=6300LGSV2FD","6300LGSV2FD")</f>
        <v>6300LGSV2FD</v>
      </c>
      <c r="B6735" s="1" t="s">
        <v>12823</v>
      </c>
      <c r="C6735" s="9" t="s">
        <v>1423</v>
      </c>
      <c r="D6735" s="14" t="s">
        <v>12824</v>
      </c>
      <c r="E6735" s="9" t="s">
        <v>11</v>
      </c>
    </row>
    <row r="6736" spans="1:5" ht="15" customHeight="1" outlineLevel="2" x14ac:dyDescent="0.25">
      <c r="A6736" s="3" t="str">
        <f>HYPERLINK("http://mystore1.ru/price_items/search?utf8=%E2%9C%93&amp;oem=6300LGSV2FV","6300LGSV2FV")</f>
        <v>6300LGSV2FV</v>
      </c>
      <c r="B6736" s="1" t="s">
        <v>12825</v>
      </c>
      <c r="C6736" s="9" t="s">
        <v>1423</v>
      </c>
      <c r="D6736" s="14" t="s">
        <v>12826</v>
      </c>
      <c r="E6736" s="9" t="s">
        <v>11</v>
      </c>
    </row>
    <row r="6737" spans="1:5" ht="15" customHeight="1" outlineLevel="2" x14ac:dyDescent="0.25">
      <c r="A6737" s="3" t="str">
        <f>HYPERLINK("http://mystore1.ru/price_items/search?utf8=%E2%9C%93&amp;oem=6300LGSV2RQ","6300LGSV2RQ")</f>
        <v>6300LGSV2RQ</v>
      </c>
      <c r="B6737" s="1" t="s">
        <v>12827</v>
      </c>
      <c r="C6737" s="9" t="s">
        <v>1423</v>
      </c>
      <c r="D6737" s="14" t="s">
        <v>12828</v>
      </c>
      <c r="E6737" s="9" t="s">
        <v>11</v>
      </c>
    </row>
    <row r="6738" spans="1:5" ht="15" customHeight="1" outlineLevel="2" x14ac:dyDescent="0.25">
      <c r="A6738" s="3" t="str">
        <f>HYPERLINK("http://mystore1.ru/price_items/search?utf8=%E2%9C%93&amp;oem=6300LGSV3MQ","6300LGSV3MQ")</f>
        <v>6300LGSV3MQ</v>
      </c>
      <c r="B6738" s="1" t="s">
        <v>12829</v>
      </c>
      <c r="C6738" s="9" t="s">
        <v>1423</v>
      </c>
      <c r="D6738" s="14" t="s">
        <v>12830</v>
      </c>
      <c r="E6738" s="9" t="s">
        <v>11</v>
      </c>
    </row>
    <row r="6739" spans="1:5" ht="15" customHeight="1" outlineLevel="2" x14ac:dyDescent="0.25">
      <c r="A6739" s="3" t="str">
        <f>HYPERLINK("http://mystore1.ru/price_items/search?utf8=%E2%9C%93&amp;oem=6300LGSV4RD","6300LGSV4RD")</f>
        <v>6300LGSV4RD</v>
      </c>
      <c r="B6739" s="1" t="s">
        <v>12831</v>
      </c>
      <c r="C6739" s="9" t="s">
        <v>1423</v>
      </c>
      <c r="D6739" s="14" t="s">
        <v>12832</v>
      </c>
      <c r="E6739" s="9" t="s">
        <v>11</v>
      </c>
    </row>
    <row r="6740" spans="1:5" ht="15" customHeight="1" outlineLevel="2" x14ac:dyDescent="0.25">
      <c r="A6740" s="3" t="str">
        <f>HYPERLINK("http://mystore1.ru/price_items/search?utf8=%E2%9C%93&amp;oem=6300LGSV4RQ1J","6300LGSV4RQ1J")</f>
        <v>6300LGSV4RQ1J</v>
      </c>
      <c r="B6740" s="1" t="s">
        <v>12833</v>
      </c>
      <c r="C6740" s="9" t="s">
        <v>1423</v>
      </c>
      <c r="D6740" s="14" t="s">
        <v>12834</v>
      </c>
      <c r="E6740" s="9" t="s">
        <v>11</v>
      </c>
    </row>
    <row r="6741" spans="1:5" ht="15" customHeight="1" outlineLevel="2" x14ac:dyDescent="0.25">
      <c r="A6741" s="3" t="str">
        <f>HYPERLINK("http://mystore1.ru/price_items/search?utf8=%E2%9C%93&amp;oem=6300RGSV2FD","6300RGSV2FD")</f>
        <v>6300RGSV2FD</v>
      </c>
      <c r="B6741" s="1" t="s">
        <v>12835</v>
      </c>
      <c r="C6741" s="9" t="s">
        <v>1423</v>
      </c>
      <c r="D6741" s="14" t="s">
        <v>12836</v>
      </c>
      <c r="E6741" s="9" t="s">
        <v>11</v>
      </c>
    </row>
    <row r="6742" spans="1:5" ht="15" customHeight="1" outlineLevel="2" x14ac:dyDescent="0.25">
      <c r="A6742" s="3" t="str">
        <f>HYPERLINK("http://mystore1.ru/price_items/search?utf8=%E2%9C%93&amp;oem=6300RGSV2FV","6300RGSV2FV")</f>
        <v>6300RGSV2FV</v>
      </c>
      <c r="B6742" s="1" t="s">
        <v>12837</v>
      </c>
      <c r="C6742" s="9" t="s">
        <v>1423</v>
      </c>
      <c r="D6742" s="14" t="s">
        <v>12838</v>
      </c>
      <c r="E6742" s="9" t="s">
        <v>11</v>
      </c>
    </row>
    <row r="6743" spans="1:5" ht="15" customHeight="1" outlineLevel="2" x14ac:dyDescent="0.25">
      <c r="A6743" s="3" t="str">
        <f>HYPERLINK("http://mystore1.ru/price_items/search?utf8=%E2%9C%93&amp;oem=6300RGSV2RQ","6300RGSV2RQ")</f>
        <v>6300RGSV2RQ</v>
      </c>
      <c r="B6743" s="1" t="s">
        <v>12839</v>
      </c>
      <c r="C6743" s="9" t="s">
        <v>1423</v>
      </c>
      <c r="D6743" s="14" t="s">
        <v>12840</v>
      </c>
      <c r="E6743" s="9" t="s">
        <v>11</v>
      </c>
    </row>
    <row r="6744" spans="1:5" ht="15" customHeight="1" outlineLevel="2" x14ac:dyDescent="0.25">
      <c r="A6744" s="3" t="str">
        <f>HYPERLINK("http://mystore1.ru/price_items/search?utf8=%E2%9C%93&amp;oem=6300RGSV4RD","6300RGSV4RD")</f>
        <v>6300RGSV4RD</v>
      </c>
      <c r="B6744" s="1" t="s">
        <v>12841</v>
      </c>
      <c r="C6744" s="9" t="s">
        <v>1423</v>
      </c>
      <c r="D6744" s="14" t="s">
        <v>12842</v>
      </c>
      <c r="E6744" s="9" t="s">
        <v>11</v>
      </c>
    </row>
    <row r="6745" spans="1:5" ht="15" customHeight="1" outlineLevel="2" x14ac:dyDescent="0.25">
      <c r="A6745" s="3" t="str">
        <f>HYPERLINK("http://mystore1.ru/price_items/search?utf8=%E2%9C%93&amp;oem=6300RGSV4RQ1J","6300RGSV4RQ1J")</f>
        <v>6300RGSV4RQ1J</v>
      </c>
      <c r="B6745" s="1" t="s">
        <v>12843</v>
      </c>
      <c r="C6745" s="9" t="s">
        <v>1423</v>
      </c>
      <c r="D6745" s="14" t="s">
        <v>12844</v>
      </c>
      <c r="E6745" s="9" t="s">
        <v>11</v>
      </c>
    </row>
    <row r="6746" spans="1:5" outlineLevel="1" x14ac:dyDescent="0.25">
      <c r="A6746" s="2"/>
      <c r="B6746" s="6" t="s">
        <v>12845</v>
      </c>
      <c r="C6746" s="8"/>
      <c r="D6746" s="8"/>
      <c r="E6746" s="8"/>
    </row>
    <row r="6747" spans="1:5" ht="15" customHeight="1" outlineLevel="2" x14ac:dyDescent="0.25">
      <c r="A6747" s="3" t="str">
        <f>HYPERLINK("http://mystore1.ru/price_items/search?utf8=%E2%9C%93&amp;oem=6283ACCBL","6283ACCBL")</f>
        <v>6283ACCBL</v>
      </c>
      <c r="B6747" s="1" t="s">
        <v>12846</v>
      </c>
      <c r="C6747" s="9" t="s">
        <v>981</v>
      </c>
      <c r="D6747" s="14" t="s">
        <v>12847</v>
      </c>
      <c r="E6747" s="9" t="s">
        <v>8</v>
      </c>
    </row>
    <row r="6748" spans="1:5" ht="15" customHeight="1" outlineLevel="2" x14ac:dyDescent="0.25">
      <c r="A6748" s="3" t="str">
        <f>HYPERLINK("http://mystore1.ru/price_items/search?utf8=%E2%9C%93&amp;oem=6283ACCBLV","6283ACCBLV")</f>
        <v>6283ACCBLV</v>
      </c>
      <c r="B6748" s="1" t="s">
        <v>12848</v>
      </c>
      <c r="C6748" s="9" t="s">
        <v>981</v>
      </c>
      <c r="D6748" s="14" t="s">
        <v>12849</v>
      </c>
      <c r="E6748" s="9" t="s">
        <v>8</v>
      </c>
    </row>
    <row r="6749" spans="1:5" ht="15" customHeight="1" outlineLevel="2" x14ac:dyDescent="0.25">
      <c r="A6749" s="3" t="str">
        <f>HYPERLINK("http://mystore1.ru/price_items/search?utf8=%E2%9C%93&amp;oem=6283AGS","6283AGS")</f>
        <v>6283AGS</v>
      </c>
      <c r="B6749" s="1" t="s">
        <v>12850</v>
      </c>
      <c r="C6749" s="9" t="s">
        <v>981</v>
      </c>
      <c r="D6749" s="14" t="s">
        <v>12851</v>
      </c>
      <c r="E6749" s="9" t="s">
        <v>8</v>
      </c>
    </row>
    <row r="6750" spans="1:5" ht="15" customHeight="1" outlineLevel="2" x14ac:dyDescent="0.25">
      <c r="A6750" s="3" t="str">
        <f>HYPERLINK("http://mystore1.ru/price_items/search?utf8=%E2%9C%93&amp;oem=6283AGSBL","6283AGSBL")</f>
        <v>6283AGSBL</v>
      </c>
      <c r="B6750" s="1" t="s">
        <v>12852</v>
      </c>
      <c r="C6750" s="9" t="s">
        <v>981</v>
      </c>
      <c r="D6750" s="14" t="s">
        <v>12853</v>
      </c>
      <c r="E6750" s="9" t="s">
        <v>8</v>
      </c>
    </row>
    <row r="6751" spans="1:5" ht="15" customHeight="1" outlineLevel="2" x14ac:dyDescent="0.25">
      <c r="A6751" s="3" t="str">
        <f>HYPERLINK("http://mystore1.ru/price_items/search?utf8=%E2%9C%93&amp;oem=6283AGSBLV","6283AGSBLV")</f>
        <v>6283AGSBLV</v>
      </c>
      <c r="B6751" s="1" t="s">
        <v>12854</v>
      </c>
      <c r="C6751" s="9" t="s">
        <v>981</v>
      </c>
      <c r="D6751" s="14" t="s">
        <v>12855</v>
      </c>
      <c r="E6751" s="9" t="s">
        <v>8</v>
      </c>
    </row>
    <row r="6752" spans="1:5" ht="15" customHeight="1" outlineLevel="2" x14ac:dyDescent="0.25">
      <c r="A6752" s="3" t="str">
        <f>HYPERLINK("http://mystore1.ru/price_items/search?utf8=%E2%9C%93&amp;oem=6283AGSV","6283AGSV")</f>
        <v>6283AGSV</v>
      </c>
      <c r="B6752" s="1" t="s">
        <v>12856</v>
      </c>
      <c r="C6752" s="9" t="s">
        <v>981</v>
      </c>
      <c r="D6752" s="14" t="s">
        <v>12857</v>
      </c>
      <c r="E6752" s="9" t="s">
        <v>8</v>
      </c>
    </row>
    <row r="6753" spans="1:5" ht="15" customHeight="1" outlineLevel="2" x14ac:dyDescent="0.25">
      <c r="A6753" s="3" t="str">
        <f>HYPERLINK("http://mystore1.ru/price_items/search?utf8=%E2%9C%93&amp;oem=6283AKMV","6283AKMV")</f>
        <v>6283AKMV</v>
      </c>
      <c r="B6753" s="1" t="s">
        <v>12858</v>
      </c>
      <c r="C6753" s="9" t="s">
        <v>25</v>
      </c>
      <c r="D6753" s="14" t="s">
        <v>12859</v>
      </c>
      <c r="E6753" s="9" t="s">
        <v>27</v>
      </c>
    </row>
    <row r="6754" spans="1:5" ht="15" customHeight="1" outlineLevel="2" x14ac:dyDescent="0.25">
      <c r="A6754" s="3" t="str">
        <f>HYPERLINK("http://mystore1.ru/price_items/search?utf8=%E2%9C%93&amp;oem=6283ASMVB","6283ASMVB")</f>
        <v>6283ASMVB</v>
      </c>
      <c r="B6754" s="1" t="s">
        <v>12860</v>
      </c>
      <c r="C6754" s="9" t="s">
        <v>25</v>
      </c>
      <c r="D6754" s="14" t="s">
        <v>12861</v>
      </c>
      <c r="E6754" s="9" t="s">
        <v>27</v>
      </c>
    </row>
    <row r="6755" spans="1:5" ht="15" customHeight="1" outlineLevel="2" x14ac:dyDescent="0.25">
      <c r="A6755" s="3" t="str">
        <f>HYPERLINK("http://mystore1.ru/price_items/search?utf8=%E2%9C%93&amp;oem=6283ASMVT","6283ASMVT")</f>
        <v>6283ASMVT</v>
      </c>
      <c r="B6755" s="1" t="s">
        <v>12862</v>
      </c>
      <c r="C6755" s="9" t="s">
        <v>25</v>
      </c>
      <c r="D6755" s="14" t="s">
        <v>12863</v>
      </c>
      <c r="E6755" s="9" t="s">
        <v>27</v>
      </c>
    </row>
    <row r="6756" spans="1:5" ht="15" customHeight="1" outlineLevel="2" x14ac:dyDescent="0.25">
      <c r="A6756" s="3" t="str">
        <f>HYPERLINK("http://mystore1.ru/price_items/search?utf8=%E2%9C%93&amp;oem=6283BGDVB","6283BGDVB")</f>
        <v>6283BGDVB</v>
      </c>
      <c r="B6756" s="1" t="s">
        <v>12864</v>
      </c>
      <c r="C6756" s="9" t="s">
        <v>981</v>
      </c>
      <c r="D6756" s="14" t="s">
        <v>12865</v>
      </c>
      <c r="E6756" s="9" t="s">
        <v>30</v>
      </c>
    </row>
    <row r="6757" spans="1:5" ht="15" customHeight="1" outlineLevel="2" x14ac:dyDescent="0.25">
      <c r="A6757" s="3" t="str">
        <f>HYPERLINK("http://mystore1.ru/price_items/search?utf8=%E2%9C%93&amp;oem=6283BGNVB","6283BGNVB")</f>
        <v>6283BGNVB</v>
      </c>
      <c r="B6757" s="1" t="s">
        <v>12866</v>
      </c>
      <c r="C6757" s="9" t="s">
        <v>981</v>
      </c>
      <c r="D6757" s="14" t="s">
        <v>12867</v>
      </c>
      <c r="E6757" s="9" t="s">
        <v>30</v>
      </c>
    </row>
    <row r="6758" spans="1:5" ht="15" customHeight="1" outlineLevel="2" x14ac:dyDescent="0.25">
      <c r="A6758" s="3" t="str">
        <f>HYPERLINK("http://mystore1.ru/price_items/search?utf8=%E2%9C%93&amp;oem=6283BGNVB1J","6283BGNVB1J")</f>
        <v>6283BGNVB1J</v>
      </c>
      <c r="B6758" s="1" t="s">
        <v>12868</v>
      </c>
      <c r="C6758" s="9" t="s">
        <v>981</v>
      </c>
      <c r="D6758" s="14" t="s">
        <v>12869</v>
      </c>
      <c r="E6758" s="9" t="s">
        <v>30</v>
      </c>
    </row>
    <row r="6759" spans="1:5" ht="15" customHeight="1" outlineLevel="2" x14ac:dyDescent="0.25">
      <c r="A6759" s="3" t="str">
        <f>HYPERLINK("http://mystore1.ru/price_items/search?utf8=%E2%9C%93&amp;oem=6283BSMV","6283BSMV")</f>
        <v>6283BSMV</v>
      </c>
      <c r="B6759" s="1" t="s">
        <v>12870</v>
      </c>
      <c r="C6759" s="9" t="s">
        <v>25</v>
      </c>
      <c r="D6759" s="14" t="s">
        <v>12871</v>
      </c>
      <c r="E6759" s="9" t="s">
        <v>27</v>
      </c>
    </row>
    <row r="6760" spans="1:5" ht="15" customHeight="1" outlineLevel="2" x14ac:dyDescent="0.25">
      <c r="A6760" s="3" t="str">
        <f>HYPERLINK("http://mystore1.ru/price_items/search?utf8=%E2%9C%93&amp;oem=6283LGNV5FD","6283LGNV5FD")</f>
        <v>6283LGNV5FD</v>
      </c>
      <c r="B6760" s="1" t="s">
        <v>12872</v>
      </c>
      <c r="C6760" s="9" t="s">
        <v>981</v>
      </c>
      <c r="D6760" s="14" t="s">
        <v>12873</v>
      </c>
      <c r="E6760" s="9" t="s">
        <v>11</v>
      </c>
    </row>
    <row r="6761" spans="1:5" ht="15" customHeight="1" outlineLevel="2" x14ac:dyDescent="0.25">
      <c r="A6761" s="3" t="str">
        <f>HYPERLINK("http://mystore1.ru/price_items/search?utf8=%E2%9C%93&amp;oem=6283LGNV5RD","6283LGNV5RD")</f>
        <v>6283LGNV5RD</v>
      </c>
      <c r="B6761" s="1" t="s">
        <v>12874</v>
      </c>
      <c r="C6761" s="9" t="s">
        <v>981</v>
      </c>
      <c r="D6761" s="14" t="s">
        <v>12875</v>
      </c>
      <c r="E6761" s="9" t="s">
        <v>11</v>
      </c>
    </row>
    <row r="6762" spans="1:5" ht="15" customHeight="1" outlineLevel="2" x14ac:dyDescent="0.25">
      <c r="A6762" s="3" t="str">
        <f>HYPERLINK("http://mystore1.ru/price_items/search?utf8=%E2%9C%93&amp;oem=6283LGNV5RV","6283LGNV5RV")</f>
        <v>6283LGNV5RV</v>
      </c>
      <c r="B6762" s="1" t="s">
        <v>12876</v>
      </c>
      <c r="C6762" s="9" t="s">
        <v>981</v>
      </c>
      <c r="D6762" s="14" t="s">
        <v>12877</v>
      </c>
      <c r="E6762" s="9" t="s">
        <v>11</v>
      </c>
    </row>
    <row r="6763" spans="1:5" ht="15" customHeight="1" outlineLevel="2" x14ac:dyDescent="0.25">
      <c r="A6763" s="3" t="str">
        <f>HYPERLINK("http://mystore1.ru/price_items/search?utf8=%E2%9C%93&amp;oem=6283LGNV5FQZ","6283LGNV5FQZ")</f>
        <v>6283LGNV5FQZ</v>
      </c>
      <c r="B6763" s="1" t="s">
        <v>12878</v>
      </c>
      <c r="C6763" s="9" t="s">
        <v>981</v>
      </c>
      <c r="D6763" s="14" t="s">
        <v>12879</v>
      </c>
      <c r="E6763" s="9" t="s">
        <v>11</v>
      </c>
    </row>
    <row r="6764" spans="1:5" ht="15" customHeight="1" outlineLevel="2" x14ac:dyDescent="0.25">
      <c r="A6764" s="3" t="str">
        <f>HYPERLINK("http://mystore1.ru/price_items/search?utf8=%E2%9C%93&amp;oem=6283RGNV5FD","6283RGNV5FD")</f>
        <v>6283RGNV5FD</v>
      </c>
      <c r="B6764" s="1" t="s">
        <v>12880</v>
      </c>
      <c r="C6764" s="9" t="s">
        <v>981</v>
      </c>
      <c r="D6764" s="14" t="s">
        <v>12881</v>
      </c>
      <c r="E6764" s="9" t="s">
        <v>11</v>
      </c>
    </row>
    <row r="6765" spans="1:5" ht="15" customHeight="1" outlineLevel="2" x14ac:dyDescent="0.25">
      <c r="A6765" s="3" t="str">
        <f>HYPERLINK("http://mystore1.ru/price_items/search?utf8=%E2%9C%93&amp;oem=6283RGNV5RD","6283RGNV5RD")</f>
        <v>6283RGNV5RD</v>
      </c>
      <c r="B6765" s="1" t="s">
        <v>12882</v>
      </c>
      <c r="C6765" s="9" t="s">
        <v>981</v>
      </c>
      <c r="D6765" s="14" t="s">
        <v>12883</v>
      </c>
      <c r="E6765" s="9" t="s">
        <v>11</v>
      </c>
    </row>
    <row r="6766" spans="1:5" ht="15" customHeight="1" outlineLevel="2" x14ac:dyDescent="0.25">
      <c r="A6766" s="3" t="str">
        <f>HYPERLINK("http://mystore1.ru/price_items/search?utf8=%E2%9C%93&amp;oem=6283RGNV5RV","6283RGNV5RV")</f>
        <v>6283RGNV5RV</v>
      </c>
      <c r="B6766" s="1" t="s">
        <v>12884</v>
      </c>
      <c r="C6766" s="9" t="s">
        <v>981</v>
      </c>
      <c r="D6766" s="14" t="s">
        <v>12885</v>
      </c>
      <c r="E6766" s="9" t="s">
        <v>11</v>
      </c>
    </row>
    <row r="6767" spans="1:5" outlineLevel="1" x14ac:dyDescent="0.25">
      <c r="A6767" s="2"/>
      <c r="B6767" s="6" t="s">
        <v>12886</v>
      </c>
      <c r="C6767" s="8"/>
      <c r="D6767" s="8"/>
      <c r="E6767" s="8"/>
    </row>
    <row r="6768" spans="1:5" outlineLevel="2" x14ac:dyDescent="0.25">
      <c r="A6768" s="3" t="str">
        <f>HYPERLINK("http://mystore1.ru/price_items/search?utf8=%E2%9C%93&amp;oem=6307ACCBLMVW1R","6307ACCBLMVW1R")</f>
        <v>6307ACCBLMVW1R</v>
      </c>
      <c r="B6768" s="1" t="s">
        <v>12887</v>
      </c>
      <c r="C6768" s="9" t="s">
        <v>140</v>
      </c>
      <c r="D6768" s="14" t="s">
        <v>12888</v>
      </c>
      <c r="E6768" s="9" t="s">
        <v>8</v>
      </c>
    </row>
    <row r="6769" spans="1:5" outlineLevel="2" x14ac:dyDescent="0.25">
      <c r="A6769" s="3" t="str">
        <f>HYPERLINK("http://mystore1.ru/price_items/search?utf8=%E2%9C%93&amp;oem=6307ACCBLVW1M","6307ACCBLVW1M")</f>
        <v>6307ACCBLVW1M</v>
      </c>
      <c r="B6769" s="1" t="s">
        <v>12889</v>
      </c>
      <c r="C6769" s="9" t="s">
        <v>140</v>
      </c>
      <c r="D6769" s="14" t="s">
        <v>12890</v>
      </c>
      <c r="E6769" s="9" t="s">
        <v>8</v>
      </c>
    </row>
    <row r="6770" spans="1:5" outlineLevel="2" x14ac:dyDescent="0.25">
      <c r="A6770" s="3" t="str">
        <f>HYPERLINK("http://mystore1.ru/price_items/search?utf8=%E2%9C%93&amp;oem=6307AGSMVW1R","6307AGSMVW1R")</f>
        <v>6307AGSMVW1R</v>
      </c>
      <c r="B6770" s="1" t="s">
        <v>12891</v>
      </c>
      <c r="C6770" s="9" t="s">
        <v>140</v>
      </c>
      <c r="D6770" s="14" t="s">
        <v>12892</v>
      </c>
      <c r="E6770" s="9" t="s">
        <v>8</v>
      </c>
    </row>
    <row r="6771" spans="1:5" outlineLevel="2" x14ac:dyDescent="0.25">
      <c r="A6771" s="3" t="str">
        <f>HYPERLINK("http://mystore1.ru/price_items/search?utf8=%E2%9C%93&amp;oem=6307AGSVW1M","6307AGSVW1M")</f>
        <v>6307AGSVW1M</v>
      </c>
      <c r="B6771" s="1" t="s">
        <v>12893</v>
      </c>
      <c r="C6771" s="9" t="s">
        <v>140</v>
      </c>
      <c r="D6771" s="14" t="s">
        <v>12894</v>
      </c>
      <c r="E6771" s="9" t="s">
        <v>8</v>
      </c>
    </row>
    <row r="6772" spans="1:5" outlineLevel="2" x14ac:dyDescent="0.25">
      <c r="A6772" s="3" t="str">
        <f>HYPERLINK("http://mystore1.ru/price_items/search?utf8=%E2%9C%93&amp;oem=6307ASMV","6307ASMV")</f>
        <v>6307ASMV</v>
      </c>
      <c r="B6772" s="1" t="s">
        <v>12895</v>
      </c>
      <c r="C6772" s="9" t="s">
        <v>25</v>
      </c>
      <c r="D6772" s="14" t="s">
        <v>12896</v>
      </c>
      <c r="E6772" s="9" t="s">
        <v>27</v>
      </c>
    </row>
    <row r="6773" spans="1:5" outlineLevel="2" x14ac:dyDescent="0.25">
      <c r="A6773" s="3" t="str">
        <f>HYPERLINK("http://mystore1.ru/price_items/search?utf8=%E2%9C%93&amp;oem=6307BGDV","6307BGDV")</f>
        <v>6307BGDV</v>
      </c>
      <c r="B6773" s="1" t="s">
        <v>12897</v>
      </c>
      <c r="C6773" s="9" t="s">
        <v>140</v>
      </c>
      <c r="D6773" s="14" t="s">
        <v>12898</v>
      </c>
      <c r="E6773" s="9" t="s">
        <v>30</v>
      </c>
    </row>
    <row r="6774" spans="1:5" outlineLevel="2" x14ac:dyDescent="0.25">
      <c r="A6774" s="3" t="str">
        <f>HYPERLINK("http://mystore1.ru/price_items/search?utf8=%E2%9C%93&amp;oem=6307BGNV","6307BGNV")</f>
        <v>6307BGNV</v>
      </c>
      <c r="B6774" s="1" t="s">
        <v>12899</v>
      </c>
      <c r="C6774" s="9" t="s">
        <v>140</v>
      </c>
      <c r="D6774" s="14" t="s">
        <v>12900</v>
      </c>
      <c r="E6774" s="9" t="s">
        <v>30</v>
      </c>
    </row>
    <row r="6775" spans="1:5" outlineLevel="2" x14ac:dyDescent="0.25">
      <c r="A6775" s="3" t="str">
        <f>HYPERLINK("http://mystore1.ru/price_items/search?utf8=%E2%9C%93&amp;oem=6307LGDV5RDW","6307LGDV5RDW")</f>
        <v>6307LGDV5RDW</v>
      </c>
      <c r="B6775" s="1" t="s">
        <v>12901</v>
      </c>
      <c r="C6775" s="9" t="s">
        <v>140</v>
      </c>
      <c r="D6775" s="14" t="s">
        <v>12902</v>
      </c>
      <c r="E6775" s="9" t="s">
        <v>11</v>
      </c>
    </row>
    <row r="6776" spans="1:5" outlineLevel="2" x14ac:dyDescent="0.25">
      <c r="A6776" s="3" t="str">
        <f>HYPERLINK("http://mystore1.ru/price_items/search?utf8=%E2%9C%93&amp;oem=6307LGDV5RV","6307LGDV5RV")</f>
        <v>6307LGDV5RV</v>
      </c>
      <c r="B6776" s="1" t="s">
        <v>12903</v>
      </c>
      <c r="C6776" s="9" t="s">
        <v>140</v>
      </c>
      <c r="D6776" s="14" t="s">
        <v>12904</v>
      </c>
      <c r="E6776" s="9" t="s">
        <v>11</v>
      </c>
    </row>
    <row r="6777" spans="1:5" outlineLevel="2" x14ac:dyDescent="0.25">
      <c r="A6777" s="3" t="str">
        <f>HYPERLINK("http://mystore1.ru/price_items/search?utf8=%E2%9C%93&amp;oem=6307LGNV5FDW","6307LGNV5FDW")</f>
        <v>6307LGNV5FDW</v>
      </c>
      <c r="B6777" s="1" t="s">
        <v>12905</v>
      </c>
      <c r="C6777" s="9" t="s">
        <v>140</v>
      </c>
      <c r="D6777" s="14" t="s">
        <v>12906</v>
      </c>
      <c r="E6777" s="9" t="s">
        <v>11</v>
      </c>
    </row>
    <row r="6778" spans="1:5" outlineLevel="2" x14ac:dyDescent="0.25">
      <c r="A6778" s="3" t="str">
        <f>HYPERLINK("http://mystore1.ru/price_items/search?utf8=%E2%9C%93&amp;oem=6307LGNV5FQZ","6307LGNV5FQZ")</f>
        <v>6307LGNV5FQZ</v>
      </c>
      <c r="B6778" s="1" t="s">
        <v>12907</v>
      </c>
      <c r="C6778" s="9" t="s">
        <v>140</v>
      </c>
      <c r="D6778" s="14" t="s">
        <v>12908</v>
      </c>
      <c r="E6778" s="9" t="s">
        <v>11</v>
      </c>
    </row>
    <row r="6779" spans="1:5" outlineLevel="2" x14ac:dyDescent="0.25">
      <c r="A6779" s="3" t="str">
        <f>HYPERLINK("http://mystore1.ru/price_items/search?utf8=%E2%9C%93&amp;oem=6307LGNV5FQZ1D","6307LGNV5FQZ1D")</f>
        <v>6307LGNV5FQZ1D</v>
      </c>
      <c r="B6779" s="1" t="s">
        <v>12909</v>
      </c>
      <c r="C6779" s="9" t="s">
        <v>140</v>
      </c>
      <c r="D6779" s="14" t="s">
        <v>12908</v>
      </c>
      <c r="E6779" s="9" t="s">
        <v>11</v>
      </c>
    </row>
    <row r="6780" spans="1:5" outlineLevel="2" x14ac:dyDescent="0.25">
      <c r="A6780" s="3" t="str">
        <f>HYPERLINK("http://mystore1.ru/price_items/search?utf8=%E2%9C%93&amp;oem=6307LGNV5RDW","6307LGNV5RDW")</f>
        <v>6307LGNV5RDW</v>
      </c>
      <c r="B6780" s="1" t="s">
        <v>12910</v>
      </c>
      <c r="C6780" s="9" t="s">
        <v>140</v>
      </c>
      <c r="D6780" s="14" t="s">
        <v>12911</v>
      </c>
      <c r="E6780" s="9" t="s">
        <v>11</v>
      </c>
    </row>
    <row r="6781" spans="1:5" outlineLevel="2" x14ac:dyDescent="0.25">
      <c r="A6781" s="3" t="str">
        <f>HYPERLINK("http://mystore1.ru/price_items/search?utf8=%E2%9C%93&amp;oem=6307LGNV5RV","6307LGNV5RV")</f>
        <v>6307LGNV5RV</v>
      </c>
      <c r="B6781" s="1" t="s">
        <v>12912</v>
      </c>
      <c r="C6781" s="9" t="s">
        <v>140</v>
      </c>
      <c r="D6781" s="14" t="s">
        <v>12913</v>
      </c>
      <c r="E6781" s="9" t="s">
        <v>11</v>
      </c>
    </row>
    <row r="6782" spans="1:5" outlineLevel="2" x14ac:dyDescent="0.25">
      <c r="A6782" s="3" t="str">
        <f>HYPERLINK("http://mystore1.ru/price_items/search?utf8=%E2%9C%93&amp;oem=6307RGDV5RDW","6307RGDV5RDW")</f>
        <v>6307RGDV5RDW</v>
      </c>
      <c r="B6782" s="1" t="s">
        <v>12914</v>
      </c>
      <c r="C6782" s="9" t="s">
        <v>140</v>
      </c>
      <c r="D6782" s="14" t="s">
        <v>12915</v>
      </c>
      <c r="E6782" s="9" t="s">
        <v>11</v>
      </c>
    </row>
    <row r="6783" spans="1:5" outlineLevel="2" x14ac:dyDescent="0.25">
      <c r="A6783" s="3" t="str">
        <f>HYPERLINK("http://mystore1.ru/price_items/search?utf8=%E2%9C%93&amp;oem=6307RGDV5RV","6307RGDV5RV")</f>
        <v>6307RGDV5RV</v>
      </c>
      <c r="B6783" s="1" t="s">
        <v>12916</v>
      </c>
      <c r="C6783" s="9" t="s">
        <v>140</v>
      </c>
      <c r="D6783" s="14" t="s">
        <v>12917</v>
      </c>
      <c r="E6783" s="9" t="s">
        <v>11</v>
      </c>
    </row>
    <row r="6784" spans="1:5" outlineLevel="2" x14ac:dyDescent="0.25">
      <c r="A6784" s="3" t="str">
        <f>HYPERLINK("http://mystore1.ru/price_items/search?utf8=%E2%9C%93&amp;oem=6307RGNV5FDW","6307RGNV5FDW")</f>
        <v>6307RGNV5FDW</v>
      </c>
      <c r="B6784" s="1" t="s">
        <v>12918</v>
      </c>
      <c r="C6784" s="9" t="s">
        <v>140</v>
      </c>
      <c r="D6784" s="14" t="s">
        <v>12919</v>
      </c>
      <c r="E6784" s="9" t="s">
        <v>11</v>
      </c>
    </row>
    <row r="6785" spans="1:5" outlineLevel="2" x14ac:dyDescent="0.25">
      <c r="A6785" s="3" t="str">
        <f>HYPERLINK("http://mystore1.ru/price_items/search?utf8=%E2%9C%93&amp;oem=6307RGNV5FQZ","6307RGNV5FQZ")</f>
        <v>6307RGNV5FQZ</v>
      </c>
      <c r="B6785" s="1" t="s">
        <v>12920</v>
      </c>
      <c r="C6785" s="9" t="s">
        <v>140</v>
      </c>
      <c r="D6785" s="14" t="s">
        <v>12921</v>
      </c>
      <c r="E6785" s="9" t="s">
        <v>11</v>
      </c>
    </row>
    <row r="6786" spans="1:5" outlineLevel="2" x14ac:dyDescent="0.25">
      <c r="A6786" s="3" t="str">
        <f>HYPERLINK("http://mystore1.ru/price_items/search?utf8=%E2%9C%93&amp;oem=6307RGNV5FQZ1D","6307RGNV5FQZ1D")</f>
        <v>6307RGNV5FQZ1D</v>
      </c>
      <c r="B6786" s="1" t="s">
        <v>12922</v>
      </c>
      <c r="C6786" s="9" t="s">
        <v>140</v>
      </c>
      <c r="D6786" s="14" t="s">
        <v>12921</v>
      </c>
      <c r="E6786" s="9" t="s">
        <v>11</v>
      </c>
    </row>
    <row r="6787" spans="1:5" outlineLevel="2" x14ac:dyDescent="0.25">
      <c r="A6787" s="3" t="str">
        <f>HYPERLINK("http://mystore1.ru/price_items/search?utf8=%E2%9C%93&amp;oem=6307RGNV5RDW","6307RGNV5RDW")</f>
        <v>6307RGNV5RDW</v>
      </c>
      <c r="B6787" s="1" t="s">
        <v>12923</v>
      </c>
      <c r="C6787" s="9" t="s">
        <v>140</v>
      </c>
      <c r="D6787" s="14" t="s">
        <v>12924</v>
      </c>
      <c r="E6787" s="9" t="s">
        <v>11</v>
      </c>
    </row>
    <row r="6788" spans="1:5" outlineLevel="2" x14ac:dyDescent="0.25">
      <c r="A6788" s="3" t="str">
        <f>HYPERLINK("http://mystore1.ru/price_items/search?utf8=%E2%9C%93&amp;oem=6307RGNV5RV","6307RGNV5RV")</f>
        <v>6307RGNV5RV</v>
      </c>
      <c r="B6788" s="1" t="s">
        <v>12925</v>
      </c>
      <c r="C6788" s="9" t="s">
        <v>140</v>
      </c>
      <c r="D6788" s="14" t="s">
        <v>12926</v>
      </c>
      <c r="E6788" s="9" t="s">
        <v>11</v>
      </c>
    </row>
    <row r="6789" spans="1:5" x14ac:dyDescent="0.25">
      <c r="A6789" s="61" t="s">
        <v>12927</v>
      </c>
      <c r="B6789" s="61"/>
      <c r="C6789" s="61"/>
      <c r="D6789" s="61"/>
      <c r="E6789" s="61"/>
    </row>
    <row r="6790" spans="1:5" outlineLevel="1" x14ac:dyDescent="0.25">
      <c r="A6790" s="2"/>
      <c r="B6790" s="6" t="s">
        <v>12928</v>
      </c>
      <c r="C6790" s="8"/>
      <c r="D6790" s="8"/>
      <c r="E6790" s="8"/>
    </row>
    <row r="6791" spans="1:5" outlineLevel="2" x14ac:dyDescent="0.25">
      <c r="A6791" s="3" t="str">
        <f>HYPERLINK("http://mystore1.ru/price_items/search?utf8=%E2%9C%93&amp;oem=9245LBZL2FD","9245LBZL2FD")</f>
        <v>9245LBZL2FD</v>
      </c>
      <c r="B6791" s="1" t="s">
        <v>12929</v>
      </c>
      <c r="C6791" s="9" t="s">
        <v>2126</v>
      </c>
      <c r="D6791" s="14" t="s">
        <v>12930</v>
      </c>
      <c r="E6791" s="9" t="s">
        <v>11</v>
      </c>
    </row>
    <row r="6792" spans="1:5" x14ac:dyDescent="0.25">
      <c r="A6792" s="61" t="s">
        <v>12931</v>
      </c>
      <c r="B6792" s="61"/>
      <c r="C6792" s="61"/>
      <c r="D6792" s="61"/>
      <c r="E6792" s="61"/>
    </row>
    <row r="6793" spans="1:5" outlineLevel="1" x14ac:dyDescent="0.25">
      <c r="A6793" s="2"/>
      <c r="B6793" s="6" t="s">
        <v>12932</v>
      </c>
      <c r="C6793" s="8"/>
      <c r="D6793" s="8"/>
      <c r="E6793" s="8"/>
    </row>
    <row r="6794" spans="1:5" ht="15" customHeight="1" outlineLevel="2" x14ac:dyDescent="0.25">
      <c r="A6794" s="3" t="str">
        <f>HYPERLINK("http://mystore1.ru/price_items/search?utf8=%E2%9C%93&amp;oem=6510ACL","6510ACL")</f>
        <v>6510ACL</v>
      </c>
      <c r="B6794" s="1" t="s">
        <v>12933</v>
      </c>
      <c r="C6794" s="9" t="s">
        <v>12934</v>
      </c>
      <c r="D6794" s="14" t="s">
        <v>12935</v>
      </c>
      <c r="E6794" s="9" t="s">
        <v>8</v>
      </c>
    </row>
    <row r="6795" spans="1:5" outlineLevel="1" x14ac:dyDescent="0.25">
      <c r="A6795" s="2"/>
      <c r="B6795" s="6" t="s">
        <v>12936</v>
      </c>
      <c r="C6795" s="8"/>
      <c r="D6795" s="8"/>
      <c r="E6795" s="8"/>
    </row>
    <row r="6796" spans="1:5" ht="15" customHeight="1" outlineLevel="2" x14ac:dyDescent="0.25">
      <c r="A6796" s="3" t="str">
        <f>HYPERLINK("http://mystore1.ru/price_items/search?utf8=%E2%9C%93&amp;oem=6520ABZ1B","6520ABZ1B")</f>
        <v>6520ABZ1B</v>
      </c>
      <c r="B6796" s="1" t="s">
        <v>12937</v>
      </c>
      <c r="C6796" s="9" t="s">
        <v>1985</v>
      </c>
      <c r="D6796" s="14" t="s">
        <v>12938</v>
      </c>
      <c r="E6796" s="9" t="s">
        <v>8</v>
      </c>
    </row>
    <row r="6797" spans="1:5" ht="15" customHeight="1" outlineLevel="2" x14ac:dyDescent="0.25">
      <c r="A6797" s="3" t="str">
        <f>HYPERLINK("http://mystore1.ru/price_items/search?utf8=%E2%9C%93&amp;oem=6520ACC2B","6520ACC2B")</f>
        <v>6520ACC2B</v>
      </c>
      <c r="B6797" s="1" t="s">
        <v>12939</v>
      </c>
      <c r="C6797" s="9" t="s">
        <v>1154</v>
      </c>
      <c r="D6797" s="14" t="s">
        <v>12940</v>
      </c>
      <c r="E6797" s="9" t="s">
        <v>8</v>
      </c>
    </row>
    <row r="6798" spans="1:5" ht="15" customHeight="1" outlineLevel="2" x14ac:dyDescent="0.25">
      <c r="A6798" s="3" t="str">
        <f>HYPERLINK("http://mystore1.ru/price_items/search?utf8=%E2%9C%93&amp;oem=6520ACL1B","6520ACL1B")</f>
        <v>6520ACL1B</v>
      </c>
      <c r="B6798" s="1" t="s">
        <v>12941</v>
      </c>
      <c r="C6798" s="9" t="s">
        <v>420</v>
      </c>
      <c r="D6798" s="14" t="s">
        <v>12942</v>
      </c>
      <c r="E6798" s="9" t="s">
        <v>8</v>
      </c>
    </row>
    <row r="6799" spans="1:5" ht="15" customHeight="1" outlineLevel="2" x14ac:dyDescent="0.25">
      <c r="A6799" s="3" t="str">
        <f>HYPERLINK("http://mystore1.ru/price_items/search?utf8=%E2%9C%93&amp;oem=6520ACL2B","6520ACL2B")</f>
        <v>6520ACL2B</v>
      </c>
      <c r="B6799" s="1" t="s">
        <v>12943</v>
      </c>
      <c r="C6799" s="9" t="s">
        <v>1154</v>
      </c>
      <c r="D6799" s="14" t="s">
        <v>12944</v>
      </c>
      <c r="E6799" s="9" t="s">
        <v>8</v>
      </c>
    </row>
    <row r="6800" spans="1:5" ht="15" customHeight="1" outlineLevel="2" x14ac:dyDescent="0.25">
      <c r="A6800" s="3" t="str">
        <f>HYPERLINK("http://mystore1.ru/price_items/search?utf8=%E2%9C%93&amp;oem=6520AGN2B","6520AGN2B")</f>
        <v>6520AGN2B</v>
      </c>
      <c r="B6800" s="1" t="s">
        <v>12945</v>
      </c>
      <c r="C6800" s="9" t="s">
        <v>420</v>
      </c>
      <c r="D6800" s="14" t="s">
        <v>12946</v>
      </c>
      <c r="E6800" s="9" t="s">
        <v>8</v>
      </c>
    </row>
    <row r="6801" spans="1:5" ht="15" customHeight="1" outlineLevel="2" x14ac:dyDescent="0.25">
      <c r="A6801" s="3" t="str">
        <f>HYPERLINK("http://mystore1.ru/price_items/search?utf8=%E2%9C%93&amp;oem=6520AGNBL1B","6520AGNBL1B")</f>
        <v>6520AGNBL1B</v>
      </c>
      <c r="B6801" s="1" t="s">
        <v>12947</v>
      </c>
      <c r="C6801" s="9" t="s">
        <v>420</v>
      </c>
      <c r="D6801" s="14" t="s">
        <v>12948</v>
      </c>
      <c r="E6801" s="9" t="s">
        <v>8</v>
      </c>
    </row>
    <row r="6802" spans="1:5" ht="15" customHeight="1" outlineLevel="2" x14ac:dyDescent="0.25">
      <c r="A6802" s="3" t="str">
        <f>HYPERLINK("http://mystore1.ru/price_items/search?utf8=%E2%9C%93&amp;oem=6520AGNBL2B","6520AGNBL2B")</f>
        <v>6520AGNBL2B</v>
      </c>
      <c r="B6802" s="1" t="s">
        <v>12949</v>
      </c>
      <c r="C6802" s="9" t="s">
        <v>1154</v>
      </c>
      <c r="D6802" s="14" t="s">
        <v>12950</v>
      </c>
      <c r="E6802" s="9" t="s">
        <v>8</v>
      </c>
    </row>
    <row r="6803" spans="1:5" ht="15" customHeight="1" outlineLevel="2" x14ac:dyDescent="0.25">
      <c r="A6803" s="3" t="str">
        <f>HYPERLINK("http://mystore1.ru/price_items/search?utf8=%E2%9C%93&amp;oem=6520ASMH","6520ASMH")</f>
        <v>6520ASMH</v>
      </c>
      <c r="B6803" s="1" t="s">
        <v>12951</v>
      </c>
      <c r="C6803" s="9" t="s">
        <v>25</v>
      </c>
      <c r="D6803" s="14" t="s">
        <v>12952</v>
      </c>
      <c r="E6803" s="9" t="s">
        <v>27</v>
      </c>
    </row>
    <row r="6804" spans="1:5" ht="15" customHeight="1" outlineLevel="2" x14ac:dyDescent="0.25">
      <c r="A6804" s="3" t="str">
        <f>HYPERLINK("http://mystore1.ru/price_items/search?utf8=%E2%9C%93&amp;oem=6520BCLH1H","6520BCLH1H")</f>
        <v>6520BCLH1H</v>
      </c>
      <c r="B6804" s="1" t="s">
        <v>12953</v>
      </c>
      <c r="C6804" s="9" t="s">
        <v>1985</v>
      </c>
      <c r="D6804" s="14" t="s">
        <v>12954</v>
      </c>
      <c r="E6804" s="9" t="s">
        <v>30</v>
      </c>
    </row>
    <row r="6805" spans="1:5" ht="15" customHeight="1" outlineLevel="2" x14ac:dyDescent="0.25">
      <c r="A6805" s="3" t="str">
        <f>HYPERLINK("http://mystore1.ru/price_items/search?utf8=%E2%9C%93&amp;oem=6520BCLH1J","6520BCLH1J")</f>
        <v>6520BCLH1J</v>
      </c>
      <c r="B6805" s="1" t="s">
        <v>12955</v>
      </c>
      <c r="C6805" s="9" t="s">
        <v>420</v>
      </c>
      <c r="D6805" s="14" t="s">
        <v>12956</v>
      </c>
      <c r="E6805" s="9" t="s">
        <v>30</v>
      </c>
    </row>
    <row r="6806" spans="1:5" ht="15" customHeight="1" outlineLevel="2" x14ac:dyDescent="0.25">
      <c r="A6806" s="3" t="str">
        <f>HYPERLINK("http://mystore1.ru/price_items/search?utf8=%E2%9C%93&amp;oem=6520BCLH1U","6520BCLH1U")</f>
        <v>6520BCLH1U</v>
      </c>
      <c r="B6806" s="1" t="s">
        <v>12957</v>
      </c>
      <c r="C6806" s="9" t="s">
        <v>3218</v>
      </c>
      <c r="D6806" s="14" t="s">
        <v>12958</v>
      </c>
      <c r="E6806" s="9" t="s">
        <v>30</v>
      </c>
    </row>
    <row r="6807" spans="1:5" ht="15" customHeight="1" outlineLevel="2" x14ac:dyDescent="0.25">
      <c r="A6807" s="3" t="str">
        <f>HYPERLINK("http://mystore1.ru/price_items/search?utf8=%E2%9C%93&amp;oem=6520BGNH1H","6520BGNH1H")</f>
        <v>6520BGNH1H</v>
      </c>
      <c r="B6807" s="1" t="s">
        <v>12959</v>
      </c>
      <c r="C6807" s="9" t="s">
        <v>1985</v>
      </c>
      <c r="D6807" s="14" t="s">
        <v>12960</v>
      </c>
      <c r="E6807" s="9" t="s">
        <v>30</v>
      </c>
    </row>
    <row r="6808" spans="1:5" ht="15" customHeight="1" outlineLevel="2" x14ac:dyDescent="0.25">
      <c r="A6808" s="3" t="str">
        <f>HYPERLINK("http://mystore1.ru/price_items/search?utf8=%E2%9C%93&amp;oem=6520BGNH1J","6520BGNH1J")</f>
        <v>6520BGNH1J</v>
      </c>
      <c r="B6808" s="1" t="s">
        <v>12961</v>
      </c>
      <c r="C6808" s="9" t="s">
        <v>420</v>
      </c>
      <c r="D6808" s="14" t="s">
        <v>12962</v>
      </c>
      <c r="E6808" s="9" t="s">
        <v>30</v>
      </c>
    </row>
    <row r="6809" spans="1:5" ht="15" customHeight="1" outlineLevel="2" x14ac:dyDescent="0.25">
      <c r="A6809" s="3" t="str">
        <f>HYPERLINK("http://mystore1.ru/price_items/search?utf8=%E2%9C%93&amp;oem=6520BGNH1U","6520BGNH1U")</f>
        <v>6520BGNH1U</v>
      </c>
      <c r="B6809" s="1" t="s">
        <v>12963</v>
      </c>
      <c r="C6809" s="9" t="s">
        <v>3218</v>
      </c>
      <c r="D6809" s="14" t="s">
        <v>12964</v>
      </c>
      <c r="E6809" s="9" t="s">
        <v>30</v>
      </c>
    </row>
    <row r="6810" spans="1:5" ht="15" customHeight="1" outlineLevel="2" x14ac:dyDescent="0.25">
      <c r="A6810" s="3" t="str">
        <f>HYPERLINK("http://mystore1.ru/price_items/search?utf8=%E2%9C%93&amp;oem=6520BSMH","6520BSMH")</f>
        <v>6520BSMH</v>
      </c>
      <c r="B6810" s="1" t="s">
        <v>12965</v>
      </c>
      <c r="C6810" s="9" t="s">
        <v>25</v>
      </c>
      <c r="D6810" s="14" t="s">
        <v>12966</v>
      </c>
      <c r="E6810" s="9" t="s">
        <v>27</v>
      </c>
    </row>
    <row r="6811" spans="1:5" ht="15" customHeight="1" outlineLevel="2" x14ac:dyDescent="0.25">
      <c r="A6811" s="3" t="str">
        <f>HYPERLINK("http://mystore1.ru/price_items/search?utf8=%E2%9C%93&amp;oem=6520LBZH3FD","6520LBZH3FD")</f>
        <v>6520LBZH3FD</v>
      </c>
      <c r="B6811" s="1" t="s">
        <v>12967</v>
      </c>
      <c r="C6811" s="9" t="s">
        <v>1985</v>
      </c>
      <c r="D6811" s="14" t="s">
        <v>12968</v>
      </c>
      <c r="E6811" s="9" t="s">
        <v>11</v>
      </c>
    </row>
    <row r="6812" spans="1:5" ht="15" customHeight="1" outlineLevel="2" x14ac:dyDescent="0.25">
      <c r="A6812" s="3" t="str">
        <f>HYPERLINK("http://mystore1.ru/price_items/search?utf8=%E2%9C%93&amp;oem=6520LCLH3FD","6520LCLH3FD")</f>
        <v>6520LCLH3FD</v>
      </c>
      <c r="B6812" s="1" t="s">
        <v>12969</v>
      </c>
      <c r="C6812" s="9" t="s">
        <v>1985</v>
      </c>
      <c r="D6812" s="14" t="s">
        <v>12970</v>
      </c>
      <c r="E6812" s="9" t="s">
        <v>11</v>
      </c>
    </row>
    <row r="6813" spans="1:5" ht="15" customHeight="1" outlineLevel="2" x14ac:dyDescent="0.25">
      <c r="A6813" s="3" t="str">
        <f>HYPERLINK("http://mystore1.ru/price_items/search?utf8=%E2%9C%93&amp;oem=6520LCLH3RQ","6520LCLH3RQ")</f>
        <v>6520LCLH3RQ</v>
      </c>
      <c r="B6813" s="1" t="s">
        <v>12971</v>
      </c>
      <c r="C6813" s="9" t="s">
        <v>1985</v>
      </c>
      <c r="D6813" s="14" t="s">
        <v>12972</v>
      </c>
      <c r="E6813" s="9" t="s">
        <v>11</v>
      </c>
    </row>
    <row r="6814" spans="1:5" ht="15" customHeight="1" outlineLevel="2" x14ac:dyDescent="0.25">
      <c r="A6814" s="3" t="str">
        <f>HYPERLINK("http://mystore1.ru/price_items/search?utf8=%E2%9C%93&amp;oem=6520LCLH3RQO","6520LCLH3RQO")</f>
        <v>6520LCLH3RQO</v>
      </c>
      <c r="B6814" s="1" t="s">
        <v>12973</v>
      </c>
      <c r="C6814" s="9" t="s">
        <v>1985</v>
      </c>
      <c r="D6814" s="14" t="s">
        <v>12974</v>
      </c>
      <c r="E6814" s="9" t="s">
        <v>11</v>
      </c>
    </row>
    <row r="6815" spans="1:5" ht="15" customHeight="1" outlineLevel="2" x14ac:dyDescent="0.25">
      <c r="A6815" s="3" t="str">
        <f>HYPERLINK("http://mystore1.ru/price_items/search?utf8=%E2%9C%93&amp;oem=6520LCLH5FD","6520LCLH5FD")</f>
        <v>6520LCLH5FD</v>
      </c>
      <c r="B6815" s="1" t="s">
        <v>12975</v>
      </c>
      <c r="C6815" s="9" t="s">
        <v>1985</v>
      </c>
      <c r="D6815" s="14" t="s">
        <v>12976</v>
      </c>
      <c r="E6815" s="9" t="s">
        <v>11</v>
      </c>
    </row>
    <row r="6816" spans="1:5" ht="15" customHeight="1" outlineLevel="2" x14ac:dyDescent="0.25">
      <c r="A6816" s="3" t="str">
        <f>HYPERLINK("http://mystore1.ru/price_items/search?utf8=%E2%9C%93&amp;oem=6520LCLH5RD","6520LCLH5RD")</f>
        <v>6520LCLH5RD</v>
      </c>
      <c r="B6816" s="1" t="s">
        <v>12977</v>
      </c>
      <c r="C6816" s="9" t="s">
        <v>1985</v>
      </c>
      <c r="D6816" s="14" t="s">
        <v>12978</v>
      </c>
      <c r="E6816" s="9" t="s">
        <v>11</v>
      </c>
    </row>
    <row r="6817" spans="1:5" ht="15" customHeight="1" outlineLevel="2" x14ac:dyDescent="0.25">
      <c r="A6817" s="3" t="str">
        <f>HYPERLINK("http://mystore1.ru/price_items/search?utf8=%E2%9C%93&amp;oem=6520LCLH5RV","6520LCLH5RV")</f>
        <v>6520LCLH5RV</v>
      </c>
      <c r="B6817" s="1" t="s">
        <v>12979</v>
      </c>
      <c r="C6817" s="9" t="s">
        <v>1985</v>
      </c>
      <c r="D6817" s="14" t="s">
        <v>12980</v>
      </c>
      <c r="E6817" s="9" t="s">
        <v>11</v>
      </c>
    </row>
    <row r="6818" spans="1:5" ht="15" customHeight="1" outlineLevel="2" x14ac:dyDescent="0.25">
      <c r="A6818" s="3" t="str">
        <f>HYPERLINK("http://mystore1.ru/price_items/search?utf8=%E2%9C%93&amp;oem=6520LGNH3FD","6520LGNH3FD")</f>
        <v>6520LGNH3FD</v>
      </c>
      <c r="B6818" s="1" t="s">
        <v>12981</v>
      </c>
      <c r="C6818" s="9" t="s">
        <v>1985</v>
      </c>
      <c r="D6818" s="14" t="s">
        <v>12982</v>
      </c>
      <c r="E6818" s="9" t="s">
        <v>11</v>
      </c>
    </row>
    <row r="6819" spans="1:5" ht="15" customHeight="1" outlineLevel="2" x14ac:dyDescent="0.25">
      <c r="A6819" s="3" t="str">
        <f>HYPERLINK("http://mystore1.ru/price_items/search?utf8=%E2%9C%93&amp;oem=6520LGNH3RQ","6520LGNH3RQ")</f>
        <v>6520LGNH3RQ</v>
      </c>
      <c r="B6819" s="1" t="s">
        <v>12983</v>
      </c>
      <c r="C6819" s="9" t="s">
        <v>1985</v>
      </c>
      <c r="D6819" s="14" t="s">
        <v>12984</v>
      </c>
      <c r="E6819" s="9" t="s">
        <v>11</v>
      </c>
    </row>
    <row r="6820" spans="1:5" ht="15" customHeight="1" outlineLevel="2" x14ac:dyDescent="0.25">
      <c r="A6820" s="3" t="str">
        <f>HYPERLINK("http://mystore1.ru/price_items/search?utf8=%E2%9C%93&amp;oem=6520LGNH3RQO","6520LGNH3RQO")</f>
        <v>6520LGNH3RQO</v>
      </c>
      <c r="B6820" s="1" t="s">
        <v>12985</v>
      </c>
      <c r="C6820" s="9" t="s">
        <v>1985</v>
      </c>
      <c r="D6820" s="14" t="s">
        <v>12986</v>
      </c>
      <c r="E6820" s="9" t="s">
        <v>11</v>
      </c>
    </row>
    <row r="6821" spans="1:5" ht="15" customHeight="1" outlineLevel="2" x14ac:dyDescent="0.25">
      <c r="A6821" s="3" t="str">
        <f>HYPERLINK("http://mystore1.ru/price_items/search?utf8=%E2%9C%93&amp;oem=6520LGNH5FD","6520LGNH5FD")</f>
        <v>6520LGNH5FD</v>
      </c>
      <c r="B6821" s="1" t="s">
        <v>12987</v>
      </c>
      <c r="C6821" s="9" t="s">
        <v>1985</v>
      </c>
      <c r="D6821" s="14" t="s">
        <v>12988</v>
      </c>
      <c r="E6821" s="9" t="s">
        <v>11</v>
      </c>
    </row>
    <row r="6822" spans="1:5" ht="15" customHeight="1" outlineLevel="2" x14ac:dyDescent="0.25">
      <c r="A6822" s="3" t="str">
        <f>HYPERLINK("http://mystore1.ru/price_items/search?utf8=%E2%9C%93&amp;oem=6520LGNH5RD","6520LGNH5RD")</f>
        <v>6520LGNH5RD</v>
      </c>
      <c r="B6822" s="1" t="s">
        <v>12989</v>
      </c>
      <c r="C6822" s="9" t="s">
        <v>1985</v>
      </c>
      <c r="D6822" s="14" t="s">
        <v>12990</v>
      </c>
      <c r="E6822" s="9" t="s">
        <v>11</v>
      </c>
    </row>
    <row r="6823" spans="1:5" ht="15" customHeight="1" outlineLevel="2" x14ac:dyDescent="0.25">
      <c r="A6823" s="3" t="str">
        <f>HYPERLINK("http://mystore1.ru/price_items/search?utf8=%E2%9C%93&amp;oem=6520LGNH5RV","6520LGNH5RV")</f>
        <v>6520LGNH5RV</v>
      </c>
      <c r="B6823" s="1" t="s">
        <v>12991</v>
      </c>
      <c r="C6823" s="9" t="s">
        <v>1985</v>
      </c>
      <c r="D6823" s="14" t="s">
        <v>12992</v>
      </c>
      <c r="E6823" s="9" t="s">
        <v>11</v>
      </c>
    </row>
    <row r="6824" spans="1:5" ht="15" customHeight="1" outlineLevel="2" x14ac:dyDescent="0.25">
      <c r="A6824" s="3" t="str">
        <f>HYPERLINK("http://mystore1.ru/price_items/search?utf8=%E2%9C%93&amp;oem=6520RCLH3FD","6520RCLH3FD")</f>
        <v>6520RCLH3FD</v>
      </c>
      <c r="B6824" s="1" t="s">
        <v>12993</v>
      </c>
      <c r="C6824" s="9" t="s">
        <v>1985</v>
      </c>
      <c r="D6824" s="14" t="s">
        <v>12994</v>
      </c>
      <c r="E6824" s="9" t="s">
        <v>11</v>
      </c>
    </row>
    <row r="6825" spans="1:5" ht="15" customHeight="1" outlineLevel="2" x14ac:dyDescent="0.25">
      <c r="A6825" s="3" t="str">
        <f>HYPERLINK("http://mystore1.ru/price_items/search?utf8=%E2%9C%93&amp;oem=6520RCLH3RQ","6520RCLH3RQ")</f>
        <v>6520RCLH3RQ</v>
      </c>
      <c r="B6825" s="1" t="s">
        <v>12995</v>
      </c>
      <c r="C6825" s="9" t="s">
        <v>1985</v>
      </c>
      <c r="D6825" s="14" t="s">
        <v>12996</v>
      </c>
      <c r="E6825" s="9" t="s">
        <v>11</v>
      </c>
    </row>
    <row r="6826" spans="1:5" ht="15" customHeight="1" outlineLevel="2" x14ac:dyDescent="0.25">
      <c r="A6826" s="3" t="str">
        <f>HYPERLINK("http://mystore1.ru/price_items/search?utf8=%E2%9C%93&amp;oem=6520RCLH3RQO","6520RCLH3RQO")</f>
        <v>6520RCLH3RQO</v>
      </c>
      <c r="B6826" s="1" t="s">
        <v>12997</v>
      </c>
      <c r="C6826" s="9" t="s">
        <v>1985</v>
      </c>
      <c r="D6826" s="14" t="s">
        <v>12998</v>
      </c>
      <c r="E6826" s="9" t="s">
        <v>11</v>
      </c>
    </row>
    <row r="6827" spans="1:5" ht="15" customHeight="1" outlineLevel="2" x14ac:dyDescent="0.25">
      <c r="A6827" s="3" t="str">
        <f>HYPERLINK("http://mystore1.ru/price_items/search?utf8=%E2%9C%93&amp;oem=6520RCLH5FD","6520RCLH5FD")</f>
        <v>6520RCLH5FD</v>
      </c>
      <c r="B6827" s="1" t="s">
        <v>12999</v>
      </c>
      <c r="C6827" s="9" t="s">
        <v>1985</v>
      </c>
      <c r="D6827" s="14" t="s">
        <v>13000</v>
      </c>
      <c r="E6827" s="9" t="s">
        <v>11</v>
      </c>
    </row>
    <row r="6828" spans="1:5" ht="15" customHeight="1" outlineLevel="2" x14ac:dyDescent="0.25">
      <c r="A6828" s="3" t="str">
        <f>HYPERLINK("http://mystore1.ru/price_items/search?utf8=%E2%9C%93&amp;oem=6520RCLH5RD","6520RCLH5RD")</f>
        <v>6520RCLH5RD</v>
      </c>
      <c r="B6828" s="1" t="s">
        <v>13001</v>
      </c>
      <c r="C6828" s="9" t="s">
        <v>1985</v>
      </c>
      <c r="D6828" s="14" t="s">
        <v>13002</v>
      </c>
      <c r="E6828" s="9" t="s">
        <v>11</v>
      </c>
    </row>
    <row r="6829" spans="1:5" ht="15" customHeight="1" outlineLevel="2" x14ac:dyDescent="0.25">
      <c r="A6829" s="3" t="str">
        <f>HYPERLINK("http://mystore1.ru/price_items/search?utf8=%E2%9C%93&amp;oem=6520RCLH5RV","6520RCLH5RV")</f>
        <v>6520RCLH5RV</v>
      </c>
      <c r="B6829" s="1" t="s">
        <v>13003</v>
      </c>
      <c r="C6829" s="9" t="s">
        <v>1985</v>
      </c>
      <c r="D6829" s="14" t="s">
        <v>13004</v>
      </c>
      <c r="E6829" s="9" t="s">
        <v>11</v>
      </c>
    </row>
    <row r="6830" spans="1:5" ht="15" customHeight="1" outlineLevel="2" x14ac:dyDescent="0.25">
      <c r="A6830" s="3" t="str">
        <f>HYPERLINK("http://mystore1.ru/price_items/search?utf8=%E2%9C%93&amp;oem=6520RGNH3FD","6520RGNH3FD")</f>
        <v>6520RGNH3FD</v>
      </c>
      <c r="B6830" s="1" t="s">
        <v>13005</v>
      </c>
      <c r="C6830" s="9" t="s">
        <v>1985</v>
      </c>
      <c r="D6830" s="14" t="s">
        <v>13006</v>
      </c>
      <c r="E6830" s="9" t="s">
        <v>11</v>
      </c>
    </row>
    <row r="6831" spans="1:5" ht="15" customHeight="1" outlineLevel="2" x14ac:dyDescent="0.25">
      <c r="A6831" s="3" t="str">
        <f>HYPERLINK("http://mystore1.ru/price_items/search?utf8=%E2%9C%93&amp;oem=6520RGNH3RQ","6520RGNH3RQ")</f>
        <v>6520RGNH3RQ</v>
      </c>
      <c r="B6831" s="1" t="s">
        <v>13007</v>
      </c>
      <c r="C6831" s="9" t="s">
        <v>1985</v>
      </c>
      <c r="D6831" s="14" t="s">
        <v>13008</v>
      </c>
      <c r="E6831" s="9" t="s">
        <v>11</v>
      </c>
    </row>
    <row r="6832" spans="1:5" ht="15" customHeight="1" outlineLevel="2" x14ac:dyDescent="0.25">
      <c r="A6832" s="3" t="str">
        <f>HYPERLINK("http://mystore1.ru/price_items/search?utf8=%E2%9C%93&amp;oem=6520RGNH3RQO","6520RGNH3RQO")</f>
        <v>6520RGNH3RQO</v>
      </c>
      <c r="B6832" s="1" t="s">
        <v>13009</v>
      </c>
      <c r="C6832" s="9" t="s">
        <v>1985</v>
      </c>
      <c r="D6832" s="14" t="s">
        <v>13010</v>
      </c>
      <c r="E6832" s="9" t="s">
        <v>11</v>
      </c>
    </row>
    <row r="6833" spans="1:5" ht="15" customHeight="1" outlineLevel="2" x14ac:dyDescent="0.25">
      <c r="A6833" s="3" t="str">
        <f>HYPERLINK("http://mystore1.ru/price_items/search?utf8=%E2%9C%93&amp;oem=6520RGNH5FD","6520RGNH5FD")</f>
        <v>6520RGNH5FD</v>
      </c>
      <c r="B6833" s="1" t="s">
        <v>13011</v>
      </c>
      <c r="C6833" s="9" t="s">
        <v>1985</v>
      </c>
      <c r="D6833" s="14" t="s">
        <v>13012</v>
      </c>
      <c r="E6833" s="9" t="s">
        <v>11</v>
      </c>
    </row>
    <row r="6834" spans="1:5" ht="15" customHeight="1" outlineLevel="2" x14ac:dyDescent="0.25">
      <c r="A6834" s="3" t="str">
        <f>HYPERLINK("http://mystore1.ru/price_items/search?utf8=%E2%9C%93&amp;oem=6520RGNH5RD","6520RGNH5RD")</f>
        <v>6520RGNH5RD</v>
      </c>
      <c r="B6834" s="1" t="s">
        <v>13013</v>
      </c>
      <c r="C6834" s="9" t="s">
        <v>1985</v>
      </c>
      <c r="D6834" s="14" t="s">
        <v>13014</v>
      </c>
      <c r="E6834" s="9" t="s">
        <v>11</v>
      </c>
    </row>
    <row r="6835" spans="1:5" ht="15" customHeight="1" outlineLevel="2" x14ac:dyDescent="0.25">
      <c r="A6835" s="3" t="str">
        <f>HYPERLINK("http://mystore1.ru/price_items/search?utf8=%E2%9C%93&amp;oem=6520RGNH5RV","6520RGNH5RV")</f>
        <v>6520RGNH5RV</v>
      </c>
      <c r="B6835" s="1" t="s">
        <v>13015</v>
      </c>
      <c r="C6835" s="9" t="s">
        <v>1985</v>
      </c>
      <c r="D6835" s="14" t="s">
        <v>13016</v>
      </c>
      <c r="E6835" s="9" t="s">
        <v>11</v>
      </c>
    </row>
    <row r="6836" spans="1:5" outlineLevel="1" x14ac:dyDescent="0.25">
      <c r="A6836" s="2"/>
      <c r="B6836" s="6" t="s">
        <v>13017</v>
      </c>
      <c r="C6836" s="8"/>
      <c r="D6836" s="8"/>
      <c r="E6836" s="8"/>
    </row>
    <row r="6837" spans="1:5" ht="15" customHeight="1" outlineLevel="2" x14ac:dyDescent="0.25">
      <c r="A6837" s="3" t="str">
        <f>HYPERLINK("http://mystore1.ru/price_items/search?utf8=%E2%9C%93&amp;oem=6549AGS","6549AGS")</f>
        <v>6549AGS</v>
      </c>
      <c r="B6837" s="1" t="s">
        <v>13018</v>
      </c>
      <c r="C6837" s="9" t="s">
        <v>1607</v>
      </c>
      <c r="D6837" s="14" t="s">
        <v>13019</v>
      </c>
      <c r="E6837" s="9" t="s">
        <v>8</v>
      </c>
    </row>
    <row r="6838" spans="1:5" ht="15" customHeight="1" outlineLevel="2" x14ac:dyDescent="0.25">
      <c r="A6838" s="3" t="str">
        <f>HYPERLINK("http://mystore1.ru/price_items/search?utf8=%E2%9C%93&amp;oem=6549BGSHO","6549BGSHO")</f>
        <v>6549BGSHO</v>
      </c>
      <c r="B6838" s="1" t="s">
        <v>13020</v>
      </c>
      <c r="C6838" s="9" t="s">
        <v>1607</v>
      </c>
      <c r="D6838" s="14" t="s">
        <v>13021</v>
      </c>
      <c r="E6838" s="9" t="s">
        <v>30</v>
      </c>
    </row>
    <row r="6839" spans="1:5" ht="15" customHeight="1" outlineLevel="2" x14ac:dyDescent="0.25">
      <c r="A6839" s="3" t="str">
        <f>HYPERLINK("http://mystore1.ru/price_items/search?utf8=%E2%9C%93&amp;oem=6549LGSH3FD","6549LGSH3FD")</f>
        <v>6549LGSH3FD</v>
      </c>
      <c r="B6839" s="1" t="s">
        <v>13022</v>
      </c>
      <c r="C6839" s="9" t="s">
        <v>1607</v>
      </c>
      <c r="D6839" s="14" t="s">
        <v>13023</v>
      </c>
      <c r="E6839" s="9" t="s">
        <v>11</v>
      </c>
    </row>
    <row r="6840" spans="1:5" ht="15" customHeight="1" outlineLevel="2" x14ac:dyDescent="0.25">
      <c r="A6840" s="3" t="str">
        <f>HYPERLINK("http://mystore1.ru/price_items/search?utf8=%E2%9C%93&amp;oem=6549LGSH3RQ","6549LGSH3RQ")</f>
        <v>6549LGSH3RQ</v>
      </c>
      <c r="B6840" s="1" t="s">
        <v>13024</v>
      </c>
      <c r="C6840" s="9" t="s">
        <v>1607</v>
      </c>
      <c r="D6840" s="14" t="s">
        <v>13025</v>
      </c>
      <c r="E6840" s="9" t="s">
        <v>11</v>
      </c>
    </row>
    <row r="6841" spans="1:5" ht="15" customHeight="1" outlineLevel="2" x14ac:dyDescent="0.25">
      <c r="A6841" s="3" t="str">
        <f>HYPERLINK("http://mystore1.ru/price_items/search?utf8=%E2%9C%93&amp;oem=6549LGSH5FD","6549LGSH5FD")</f>
        <v>6549LGSH5FD</v>
      </c>
      <c r="B6841" s="1" t="s">
        <v>13026</v>
      </c>
      <c r="C6841" s="9" t="s">
        <v>1607</v>
      </c>
      <c r="D6841" s="14" t="s">
        <v>13027</v>
      </c>
      <c r="E6841" s="9" t="s">
        <v>11</v>
      </c>
    </row>
    <row r="6842" spans="1:5" ht="15" customHeight="1" outlineLevel="2" x14ac:dyDescent="0.25">
      <c r="A6842" s="3" t="str">
        <f>HYPERLINK("http://mystore1.ru/price_items/search?utf8=%E2%9C%93&amp;oem=6549LGSH5RDOW","6549LGSH5RDOW")</f>
        <v>6549LGSH5RDOW</v>
      </c>
      <c r="B6842" s="1" t="s">
        <v>13028</v>
      </c>
      <c r="C6842" s="9" t="s">
        <v>1607</v>
      </c>
      <c r="D6842" s="14" t="s">
        <v>13029</v>
      </c>
      <c r="E6842" s="9" t="s">
        <v>11</v>
      </c>
    </row>
    <row r="6843" spans="1:5" ht="15" customHeight="1" outlineLevel="2" x14ac:dyDescent="0.25">
      <c r="A6843" s="3" t="str">
        <f>HYPERLINK("http://mystore1.ru/price_items/search?utf8=%E2%9C%93&amp;oem=6549RGSH3FD","6549RGSH3FD")</f>
        <v>6549RGSH3FD</v>
      </c>
      <c r="B6843" s="1" t="s">
        <v>13030</v>
      </c>
      <c r="C6843" s="9" t="s">
        <v>1607</v>
      </c>
      <c r="D6843" s="14" t="s">
        <v>13031</v>
      </c>
      <c r="E6843" s="9" t="s">
        <v>11</v>
      </c>
    </row>
    <row r="6844" spans="1:5" ht="15" customHeight="1" outlineLevel="2" x14ac:dyDescent="0.25">
      <c r="A6844" s="3" t="str">
        <f>HYPERLINK("http://mystore1.ru/price_items/search?utf8=%E2%9C%93&amp;oem=6549RGSH3RQ","6549RGSH3RQ")</f>
        <v>6549RGSH3RQ</v>
      </c>
      <c r="B6844" s="1" t="s">
        <v>13032</v>
      </c>
      <c r="C6844" s="9" t="s">
        <v>1607</v>
      </c>
      <c r="D6844" s="14" t="s">
        <v>13033</v>
      </c>
      <c r="E6844" s="9" t="s">
        <v>11</v>
      </c>
    </row>
    <row r="6845" spans="1:5" ht="15" customHeight="1" outlineLevel="2" x14ac:dyDescent="0.25">
      <c r="A6845" s="3" t="str">
        <f>HYPERLINK("http://mystore1.ru/price_items/search?utf8=%E2%9C%93&amp;oem=6549RGSH5FD","6549RGSH5FD")</f>
        <v>6549RGSH5FD</v>
      </c>
      <c r="B6845" s="1" t="s">
        <v>13034</v>
      </c>
      <c r="C6845" s="9" t="s">
        <v>1607</v>
      </c>
      <c r="D6845" s="14" t="s">
        <v>13035</v>
      </c>
      <c r="E6845" s="9" t="s">
        <v>11</v>
      </c>
    </row>
    <row r="6846" spans="1:5" ht="15" customHeight="1" outlineLevel="2" x14ac:dyDescent="0.25">
      <c r="A6846" s="3" t="str">
        <f>HYPERLINK("http://mystore1.ru/price_items/search?utf8=%E2%9C%93&amp;oem=6549RGSH5RDOW","6549RGSH5RDOW")</f>
        <v>6549RGSH5RDOW</v>
      </c>
      <c r="B6846" s="1" t="s">
        <v>13036</v>
      </c>
      <c r="C6846" s="9" t="s">
        <v>1607</v>
      </c>
      <c r="D6846" s="14" t="s">
        <v>13037</v>
      </c>
      <c r="E6846" s="9" t="s">
        <v>11</v>
      </c>
    </row>
    <row r="6847" spans="1:5" outlineLevel="1" x14ac:dyDescent="0.25">
      <c r="A6847" s="2"/>
      <c r="B6847" s="6" t="s">
        <v>13038</v>
      </c>
      <c r="C6847" s="8"/>
      <c r="D6847" s="8"/>
      <c r="E6847" s="8"/>
    </row>
    <row r="6848" spans="1:5" ht="15" customHeight="1" outlineLevel="2" x14ac:dyDescent="0.25">
      <c r="A6848" s="3" t="str">
        <f>HYPERLINK("http://mystore1.ru/price_items/search?utf8=%E2%9C%93&amp;oem=6514ABZ1C","6514ABZ1C")</f>
        <v>6514ABZ1C</v>
      </c>
      <c r="B6848" s="1" t="s">
        <v>13039</v>
      </c>
      <c r="C6848" s="9" t="s">
        <v>13040</v>
      </c>
      <c r="D6848" s="14" t="s">
        <v>13041</v>
      </c>
      <c r="E6848" s="9" t="s">
        <v>8</v>
      </c>
    </row>
    <row r="6849" spans="1:5" ht="15" customHeight="1" outlineLevel="2" x14ac:dyDescent="0.25">
      <c r="A6849" s="3" t="str">
        <f>HYPERLINK("http://mystore1.ru/price_items/search?utf8=%E2%9C%93&amp;oem=6514ABZBL1C","6514ABZBL1C")</f>
        <v>6514ABZBL1C</v>
      </c>
      <c r="B6849" s="1" t="s">
        <v>13042</v>
      </c>
      <c r="C6849" s="9" t="s">
        <v>13040</v>
      </c>
      <c r="D6849" s="14" t="s">
        <v>13043</v>
      </c>
      <c r="E6849" s="9" t="s">
        <v>8</v>
      </c>
    </row>
    <row r="6850" spans="1:5" ht="15" customHeight="1" outlineLevel="2" x14ac:dyDescent="0.25">
      <c r="A6850" s="3" t="str">
        <f>HYPERLINK("http://mystore1.ru/price_items/search?utf8=%E2%9C%93&amp;oem=6514ACL1C","6514ACL1C")</f>
        <v>6514ACL1C</v>
      </c>
      <c r="B6850" s="1" t="s">
        <v>13044</v>
      </c>
      <c r="C6850" s="9" t="s">
        <v>13040</v>
      </c>
      <c r="D6850" s="14" t="s">
        <v>13045</v>
      </c>
      <c r="E6850" s="9" t="s">
        <v>8</v>
      </c>
    </row>
    <row r="6851" spans="1:5" ht="15" customHeight="1" outlineLevel="2" x14ac:dyDescent="0.25">
      <c r="A6851" s="3" t="str">
        <f>HYPERLINK("http://mystore1.ru/price_items/search?utf8=%E2%9C%93&amp;oem=6514AGN1C","6514AGN1C")</f>
        <v>6514AGN1C</v>
      </c>
      <c r="B6851" s="1" t="s">
        <v>13046</v>
      </c>
      <c r="C6851" s="9" t="s">
        <v>13040</v>
      </c>
      <c r="D6851" s="14" t="s">
        <v>13047</v>
      </c>
      <c r="E6851" s="9" t="s">
        <v>8</v>
      </c>
    </row>
    <row r="6852" spans="1:5" ht="15" customHeight="1" outlineLevel="2" x14ac:dyDescent="0.25">
      <c r="A6852" s="3" t="str">
        <f>HYPERLINK("http://mystore1.ru/price_items/search?utf8=%E2%9C%93&amp;oem=6514ASRH","6514ASRH")</f>
        <v>6514ASRH</v>
      </c>
      <c r="B6852" s="1" t="s">
        <v>13048</v>
      </c>
      <c r="C6852" s="9" t="s">
        <v>25</v>
      </c>
      <c r="D6852" s="14" t="s">
        <v>13049</v>
      </c>
      <c r="E6852" s="9" t="s">
        <v>27</v>
      </c>
    </row>
    <row r="6853" spans="1:5" ht="15" customHeight="1" outlineLevel="2" x14ac:dyDescent="0.25">
      <c r="A6853" s="3" t="str">
        <f>HYPERLINK("http://mystore1.ru/price_items/search?utf8=%E2%9C%93&amp;oem=6514BCLH","6514BCLH")</f>
        <v>6514BCLH</v>
      </c>
      <c r="B6853" s="1" t="s">
        <v>13050</v>
      </c>
      <c r="C6853" s="9" t="s">
        <v>13040</v>
      </c>
      <c r="D6853" s="14" t="s">
        <v>13051</v>
      </c>
      <c r="E6853" s="9" t="s">
        <v>30</v>
      </c>
    </row>
    <row r="6854" spans="1:5" ht="15" customHeight="1" outlineLevel="2" x14ac:dyDescent="0.25">
      <c r="A6854" s="3" t="str">
        <f>HYPERLINK("http://mystore1.ru/price_items/search?utf8=%E2%9C%93&amp;oem=6514BGNH","6514BGNH")</f>
        <v>6514BGNH</v>
      </c>
      <c r="B6854" s="1" t="s">
        <v>13052</v>
      </c>
      <c r="C6854" s="9" t="s">
        <v>13040</v>
      </c>
      <c r="D6854" s="14" t="s">
        <v>13053</v>
      </c>
      <c r="E6854" s="9" t="s">
        <v>30</v>
      </c>
    </row>
    <row r="6855" spans="1:5" ht="15" customHeight="1" outlineLevel="2" x14ac:dyDescent="0.25">
      <c r="A6855" s="3" t="str">
        <f>HYPERLINK("http://mystore1.ru/price_items/search?utf8=%E2%9C%93&amp;oem=6514LCLH3FD","6514LCLH3FD")</f>
        <v>6514LCLH3FD</v>
      </c>
      <c r="B6855" s="1" t="s">
        <v>13054</v>
      </c>
      <c r="C6855" s="9" t="s">
        <v>13040</v>
      </c>
      <c r="D6855" s="14" t="s">
        <v>13055</v>
      </c>
      <c r="E6855" s="9" t="s">
        <v>11</v>
      </c>
    </row>
    <row r="6856" spans="1:5" ht="15" customHeight="1" outlineLevel="2" x14ac:dyDescent="0.25">
      <c r="A6856" s="3" t="str">
        <f>HYPERLINK("http://mystore1.ru/price_items/search?utf8=%E2%9C%93&amp;oem=6514LCLH3RQ","6514LCLH3RQ")</f>
        <v>6514LCLH3RQ</v>
      </c>
      <c r="B6856" s="1" t="s">
        <v>13056</v>
      </c>
      <c r="C6856" s="9" t="s">
        <v>13040</v>
      </c>
      <c r="D6856" s="14" t="s">
        <v>13057</v>
      </c>
      <c r="E6856" s="9" t="s">
        <v>11</v>
      </c>
    </row>
    <row r="6857" spans="1:5" ht="15" customHeight="1" outlineLevel="2" x14ac:dyDescent="0.25">
      <c r="A6857" s="3" t="str">
        <f>HYPERLINK("http://mystore1.ru/price_items/search?utf8=%E2%9C%93&amp;oem=6514LCLH3RQO1B","6514LCLH3RQO1B")</f>
        <v>6514LCLH3RQO1B</v>
      </c>
      <c r="B6857" s="1" t="s">
        <v>13058</v>
      </c>
      <c r="C6857" s="9" t="s">
        <v>13040</v>
      </c>
      <c r="D6857" s="14" t="s">
        <v>13059</v>
      </c>
      <c r="E6857" s="9" t="s">
        <v>11</v>
      </c>
    </row>
    <row r="6858" spans="1:5" ht="15" customHeight="1" outlineLevel="2" x14ac:dyDescent="0.25">
      <c r="A6858" s="3" t="str">
        <f>HYPERLINK("http://mystore1.ru/price_items/search?utf8=%E2%9C%93&amp;oem=6514LCLH5FD","6514LCLH5FD")</f>
        <v>6514LCLH5FD</v>
      </c>
      <c r="B6858" s="1" t="s">
        <v>13060</v>
      </c>
      <c r="C6858" s="9" t="s">
        <v>13040</v>
      </c>
      <c r="D6858" s="14" t="s">
        <v>13061</v>
      </c>
      <c r="E6858" s="9" t="s">
        <v>11</v>
      </c>
    </row>
    <row r="6859" spans="1:5" ht="15" customHeight="1" outlineLevel="2" x14ac:dyDescent="0.25">
      <c r="A6859" s="3" t="str">
        <f>HYPERLINK("http://mystore1.ru/price_items/search?utf8=%E2%9C%93&amp;oem=6514LCLH5RD","6514LCLH5RD")</f>
        <v>6514LCLH5RD</v>
      </c>
      <c r="B6859" s="1" t="s">
        <v>13062</v>
      </c>
      <c r="C6859" s="9" t="s">
        <v>13040</v>
      </c>
      <c r="D6859" s="14" t="s">
        <v>13063</v>
      </c>
      <c r="E6859" s="9" t="s">
        <v>11</v>
      </c>
    </row>
    <row r="6860" spans="1:5" ht="15" customHeight="1" outlineLevel="2" x14ac:dyDescent="0.25">
      <c r="A6860" s="3" t="str">
        <f>HYPERLINK("http://mystore1.ru/price_items/search?utf8=%E2%9C%93&amp;oem=6514LCLH5RV","6514LCLH5RV")</f>
        <v>6514LCLH5RV</v>
      </c>
      <c r="B6860" s="1" t="s">
        <v>13064</v>
      </c>
      <c r="C6860" s="9" t="s">
        <v>13040</v>
      </c>
      <c r="D6860" s="14" t="s">
        <v>13065</v>
      </c>
      <c r="E6860" s="9" t="s">
        <v>11</v>
      </c>
    </row>
    <row r="6861" spans="1:5" ht="15" customHeight="1" outlineLevel="2" x14ac:dyDescent="0.25">
      <c r="A6861" s="3" t="str">
        <f>HYPERLINK("http://mystore1.ru/price_items/search?utf8=%E2%9C%93&amp;oem=6514LGNH3FD","6514LGNH3FD")</f>
        <v>6514LGNH3FD</v>
      </c>
      <c r="B6861" s="1" t="s">
        <v>13066</v>
      </c>
      <c r="C6861" s="9" t="s">
        <v>13040</v>
      </c>
      <c r="D6861" s="14" t="s">
        <v>13067</v>
      </c>
      <c r="E6861" s="9" t="s">
        <v>11</v>
      </c>
    </row>
    <row r="6862" spans="1:5" ht="15" customHeight="1" outlineLevel="2" x14ac:dyDescent="0.25">
      <c r="A6862" s="3" t="str">
        <f>HYPERLINK("http://mystore1.ru/price_items/search?utf8=%E2%9C%93&amp;oem=6514LGNH5FD","6514LGNH5FD")</f>
        <v>6514LGNH5FD</v>
      </c>
      <c r="B6862" s="1" t="s">
        <v>13068</v>
      </c>
      <c r="C6862" s="9" t="s">
        <v>13040</v>
      </c>
      <c r="D6862" s="14" t="s">
        <v>13069</v>
      </c>
      <c r="E6862" s="9" t="s">
        <v>11</v>
      </c>
    </row>
    <row r="6863" spans="1:5" ht="15" customHeight="1" outlineLevel="2" x14ac:dyDescent="0.25">
      <c r="A6863" s="3" t="str">
        <f>HYPERLINK("http://mystore1.ru/price_items/search?utf8=%E2%9C%93&amp;oem=6514RBZH3RQO1B","6514RBZH3RQO1B")</f>
        <v>6514RBZH3RQO1B</v>
      </c>
      <c r="B6863" s="1" t="s">
        <v>13070</v>
      </c>
      <c r="C6863" s="9" t="s">
        <v>13040</v>
      </c>
      <c r="D6863" s="14" t="s">
        <v>13071</v>
      </c>
      <c r="E6863" s="9" t="s">
        <v>11</v>
      </c>
    </row>
    <row r="6864" spans="1:5" ht="15" customHeight="1" outlineLevel="2" x14ac:dyDescent="0.25">
      <c r="A6864" s="3" t="str">
        <f>HYPERLINK("http://mystore1.ru/price_items/search?utf8=%E2%9C%93&amp;oem=6514RBZH5RV","6514RBZH5RV")</f>
        <v>6514RBZH5RV</v>
      </c>
      <c r="B6864" s="1" t="s">
        <v>13072</v>
      </c>
      <c r="C6864" s="9" t="s">
        <v>13040</v>
      </c>
      <c r="D6864" s="14" t="s">
        <v>13073</v>
      </c>
      <c r="E6864" s="9" t="s">
        <v>11</v>
      </c>
    </row>
    <row r="6865" spans="1:5" ht="15" customHeight="1" outlineLevel="2" x14ac:dyDescent="0.25">
      <c r="A6865" s="3" t="str">
        <f>HYPERLINK("http://mystore1.ru/price_items/search?utf8=%E2%9C%93&amp;oem=6514RCLH3FD","6514RCLH3FD")</f>
        <v>6514RCLH3FD</v>
      </c>
      <c r="B6865" s="1" t="s">
        <v>13074</v>
      </c>
      <c r="C6865" s="9" t="s">
        <v>13040</v>
      </c>
      <c r="D6865" s="14" t="s">
        <v>13075</v>
      </c>
      <c r="E6865" s="9" t="s">
        <v>11</v>
      </c>
    </row>
    <row r="6866" spans="1:5" ht="15" customHeight="1" outlineLevel="2" x14ac:dyDescent="0.25">
      <c r="A6866" s="3" t="str">
        <f>HYPERLINK("http://mystore1.ru/price_items/search?utf8=%E2%9C%93&amp;oem=6514RCLH3RQ","6514RCLH3RQ")</f>
        <v>6514RCLH3RQ</v>
      </c>
      <c r="B6866" s="1" t="s">
        <v>13076</v>
      </c>
      <c r="C6866" s="9" t="s">
        <v>13040</v>
      </c>
      <c r="D6866" s="14" t="s">
        <v>13077</v>
      </c>
      <c r="E6866" s="9" t="s">
        <v>11</v>
      </c>
    </row>
    <row r="6867" spans="1:5" ht="15" customHeight="1" outlineLevel="2" x14ac:dyDescent="0.25">
      <c r="A6867" s="3" t="str">
        <f>HYPERLINK("http://mystore1.ru/price_items/search?utf8=%E2%9C%93&amp;oem=6514RCLH5FD","6514RCLH5FD")</f>
        <v>6514RCLH5FD</v>
      </c>
      <c r="B6867" s="1" t="s">
        <v>13078</v>
      </c>
      <c r="C6867" s="9" t="s">
        <v>13040</v>
      </c>
      <c r="D6867" s="14" t="s">
        <v>13079</v>
      </c>
      <c r="E6867" s="9" t="s">
        <v>11</v>
      </c>
    </row>
    <row r="6868" spans="1:5" ht="15" customHeight="1" outlineLevel="2" x14ac:dyDescent="0.25">
      <c r="A6868" s="3" t="str">
        <f>HYPERLINK("http://mystore1.ru/price_items/search?utf8=%E2%9C%93&amp;oem=6514RCLH5RD","6514RCLH5RD")</f>
        <v>6514RCLH5RD</v>
      </c>
      <c r="B6868" s="1" t="s">
        <v>13080</v>
      </c>
      <c r="C6868" s="9" t="s">
        <v>13040</v>
      </c>
      <c r="D6868" s="14" t="s">
        <v>13081</v>
      </c>
      <c r="E6868" s="9" t="s">
        <v>11</v>
      </c>
    </row>
    <row r="6869" spans="1:5" ht="15" customHeight="1" outlineLevel="2" x14ac:dyDescent="0.25">
      <c r="A6869" s="3" t="str">
        <f>HYPERLINK("http://mystore1.ru/price_items/search?utf8=%E2%9C%93&amp;oem=6514RCLH5RV","6514RCLH5RV")</f>
        <v>6514RCLH5RV</v>
      </c>
      <c r="B6869" s="1" t="s">
        <v>13082</v>
      </c>
      <c r="C6869" s="9" t="s">
        <v>13040</v>
      </c>
      <c r="D6869" s="14" t="s">
        <v>13083</v>
      </c>
      <c r="E6869" s="9" t="s">
        <v>11</v>
      </c>
    </row>
    <row r="6870" spans="1:5" ht="15" customHeight="1" outlineLevel="2" x14ac:dyDescent="0.25">
      <c r="A6870" s="3" t="str">
        <f>HYPERLINK("http://mystore1.ru/price_items/search?utf8=%E2%9C%93&amp;oem=6514RGNH3FD","6514RGNH3FD")</f>
        <v>6514RGNH3FD</v>
      </c>
      <c r="B6870" s="1" t="s">
        <v>13084</v>
      </c>
      <c r="C6870" s="9" t="s">
        <v>13040</v>
      </c>
      <c r="D6870" s="14" t="s">
        <v>13085</v>
      </c>
      <c r="E6870" s="9" t="s">
        <v>11</v>
      </c>
    </row>
    <row r="6871" spans="1:5" ht="15" customHeight="1" outlineLevel="2" x14ac:dyDescent="0.25">
      <c r="A6871" s="3" t="str">
        <f>HYPERLINK("http://mystore1.ru/price_items/search?utf8=%E2%9C%93&amp;oem=6514RGNH5FD","6514RGNH5FD")</f>
        <v>6514RGNH5FD</v>
      </c>
      <c r="B6871" s="1" t="s">
        <v>13086</v>
      </c>
      <c r="C6871" s="9" t="s">
        <v>13040</v>
      </c>
      <c r="D6871" s="14" t="s">
        <v>13087</v>
      </c>
      <c r="E6871" s="9" t="s">
        <v>11</v>
      </c>
    </row>
    <row r="6872" spans="1:5" ht="15" customHeight="1" outlineLevel="2" x14ac:dyDescent="0.25">
      <c r="A6872" s="3" t="str">
        <f>HYPERLINK("http://mystore1.ru/price_items/search?utf8=%E2%9C%93&amp;oem=6514RGNH5RD","6514RGNH5RD")</f>
        <v>6514RGNH5RD</v>
      </c>
      <c r="B6872" s="1" t="s">
        <v>13088</v>
      </c>
      <c r="C6872" s="9" t="s">
        <v>13040</v>
      </c>
      <c r="D6872" s="14" t="s">
        <v>13089</v>
      </c>
      <c r="E6872" s="9" t="s">
        <v>11</v>
      </c>
    </row>
    <row r="6873" spans="1:5" outlineLevel="1" x14ac:dyDescent="0.25">
      <c r="A6873" s="2"/>
      <c r="B6873" s="6" t="s">
        <v>13090</v>
      </c>
      <c r="C6873" s="8"/>
      <c r="D6873" s="8"/>
      <c r="E6873" s="8"/>
    </row>
    <row r="6874" spans="1:5" ht="15" customHeight="1" outlineLevel="2" x14ac:dyDescent="0.25">
      <c r="A6874" s="3" t="str">
        <f>HYPERLINK("http://mystore1.ru/price_items/search?utf8=%E2%9C%93&amp;oem=6539ACCMV1B","6539ACCMV1B")</f>
        <v>6539ACCMV1B</v>
      </c>
      <c r="B6874" s="1" t="s">
        <v>13091</v>
      </c>
      <c r="C6874" s="9" t="s">
        <v>1499</v>
      </c>
      <c r="D6874" s="14" t="s">
        <v>13092</v>
      </c>
      <c r="E6874" s="9" t="s">
        <v>8</v>
      </c>
    </row>
    <row r="6875" spans="1:5" ht="15" customHeight="1" outlineLevel="2" x14ac:dyDescent="0.25">
      <c r="A6875" s="3" t="str">
        <f>HYPERLINK("http://mystore1.ru/price_items/search?utf8=%E2%9C%93&amp;oem=6539ACCMV6T","6539ACCMV6T")</f>
        <v>6539ACCMV6T</v>
      </c>
      <c r="B6875" s="1" t="s">
        <v>13093</v>
      </c>
      <c r="C6875" s="9" t="s">
        <v>959</v>
      </c>
      <c r="D6875" s="14" t="s">
        <v>13094</v>
      </c>
      <c r="E6875" s="9" t="s">
        <v>8</v>
      </c>
    </row>
    <row r="6876" spans="1:5" ht="15" customHeight="1" outlineLevel="2" x14ac:dyDescent="0.25">
      <c r="A6876" s="3" t="str">
        <f>HYPERLINK("http://mystore1.ru/price_items/search?utf8=%E2%9C%93&amp;oem=6539ACCV","6539ACCV")</f>
        <v>6539ACCV</v>
      </c>
      <c r="B6876" s="1" t="s">
        <v>13095</v>
      </c>
      <c r="C6876" s="9" t="s">
        <v>727</v>
      </c>
      <c r="D6876" s="14" t="s">
        <v>13096</v>
      </c>
      <c r="E6876" s="9" t="s">
        <v>8</v>
      </c>
    </row>
    <row r="6877" spans="1:5" ht="15" customHeight="1" outlineLevel="2" x14ac:dyDescent="0.25">
      <c r="A6877" s="3" t="str">
        <f>HYPERLINK("http://mystore1.ru/price_items/search?utf8=%E2%9C%93&amp;oem=6539AGSMV","6539AGSMV")</f>
        <v>6539AGSMV</v>
      </c>
      <c r="B6877" s="1" t="s">
        <v>13097</v>
      </c>
      <c r="C6877" s="9" t="s">
        <v>727</v>
      </c>
      <c r="D6877" s="14" t="s">
        <v>13098</v>
      </c>
      <c r="E6877" s="9" t="s">
        <v>8</v>
      </c>
    </row>
    <row r="6878" spans="1:5" ht="15" customHeight="1" outlineLevel="2" x14ac:dyDescent="0.25">
      <c r="A6878" s="3" t="str">
        <f>HYPERLINK("http://mystore1.ru/price_items/search?utf8=%E2%9C%93&amp;oem=6539AGSMV6T","6539AGSMV6T")</f>
        <v>6539AGSMV6T</v>
      </c>
      <c r="B6878" s="1" t="s">
        <v>13099</v>
      </c>
      <c r="C6878" s="9" t="s">
        <v>959</v>
      </c>
      <c r="D6878" s="14" t="s">
        <v>13100</v>
      </c>
      <c r="E6878" s="9" t="s">
        <v>8</v>
      </c>
    </row>
    <row r="6879" spans="1:5" ht="15" customHeight="1" outlineLevel="2" x14ac:dyDescent="0.25">
      <c r="A6879" s="3" t="str">
        <f>HYPERLINK("http://mystore1.ru/price_items/search?utf8=%E2%9C%93&amp;oem=6539AGSV","6539AGSV")</f>
        <v>6539AGSV</v>
      </c>
      <c r="B6879" s="1" t="s">
        <v>13101</v>
      </c>
      <c r="C6879" s="9" t="s">
        <v>727</v>
      </c>
      <c r="D6879" s="14" t="s">
        <v>13102</v>
      </c>
      <c r="E6879" s="9" t="s">
        <v>8</v>
      </c>
    </row>
    <row r="6880" spans="1:5" ht="15" customHeight="1" outlineLevel="2" x14ac:dyDescent="0.25">
      <c r="A6880" s="3" t="str">
        <f>HYPERLINK("http://mystore1.ru/price_items/search?utf8=%E2%9C%93&amp;oem=6539ASMHT","6539ASMHT")</f>
        <v>6539ASMHT</v>
      </c>
      <c r="B6880" s="1" t="s">
        <v>13103</v>
      </c>
      <c r="C6880" s="9" t="s">
        <v>25</v>
      </c>
      <c r="D6880" s="14" t="s">
        <v>13104</v>
      </c>
      <c r="E6880" s="9" t="s">
        <v>27</v>
      </c>
    </row>
    <row r="6881" spans="1:5" ht="15" customHeight="1" outlineLevel="2" x14ac:dyDescent="0.25">
      <c r="A6881" s="3" t="str">
        <f>HYPERLINK("http://mystore1.ru/price_items/search?utf8=%E2%9C%93&amp;oem=6539BGSH","6539BGSH")</f>
        <v>6539BGSH</v>
      </c>
      <c r="B6881" s="1" t="s">
        <v>13105</v>
      </c>
      <c r="C6881" s="9" t="s">
        <v>727</v>
      </c>
      <c r="D6881" s="14" t="s">
        <v>13106</v>
      </c>
      <c r="E6881" s="9" t="s">
        <v>30</v>
      </c>
    </row>
    <row r="6882" spans="1:5" ht="15" customHeight="1" outlineLevel="2" x14ac:dyDescent="0.25">
      <c r="A6882" s="3" t="str">
        <f>HYPERLINK("http://mystore1.ru/price_items/search?utf8=%E2%9C%93&amp;oem=6539LGSH3FD","6539LGSH3FD")</f>
        <v>6539LGSH3FD</v>
      </c>
      <c r="B6882" s="1" t="s">
        <v>13107</v>
      </c>
      <c r="C6882" s="9" t="s">
        <v>727</v>
      </c>
      <c r="D6882" s="14" t="s">
        <v>13108</v>
      </c>
      <c r="E6882" s="9" t="s">
        <v>11</v>
      </c>
    </row>
    <row r="6883" spans="1:5" ht="15" customHeight="1" outlineLevel="2" x14ac:dyDescent="0.25">
      <c r="A6883" s="3" t="str">
        <f>HYPERLINK("http://mystore1.ru/price_items/search?utf8=%E2%9C%93&amp;oem=6539LGSH3RQO","6539LGSH3RQO")</f>
        <v>6539LGSH3RQO</v>
      </c>
      <c r="B6883" s="1" t="s">
        <v>13109</v>
      </c>
      <c r="C6883" s="9" t="s">
        <v>727</v>
      </c>
      <c r="D6883" s="14" t="s">
        <v>13110</v>
      </c>
      <c r="E6883" s="9" t="s">
        <v>11</v>
      </c>
    </row>
    <row r="6884" spans="1:5" ht="15" customHeight="1" outlineLevel="2" x14ac:dyDescent="0.25">
      <c r="A6884" s="3" t="str">
        <f>HYPERLINK("http://mystore1.ru/price_items/search?utf8=%E2%9C%93&amp;oem=6539LGSH5FD","6539LGSH5FD")</f>
        <v>6539LGSH5FD</v>
      </c>
      <c r="B6884" s="1" t="s">
        <v>13111</v>
      </c>
      <c r="C6884" s="9" t="s">
        <v>727</v>
      </c>
      <c r="D6884" s="14" t="s">
        <v>13112</v>
      </c>
      <c r="E6884" s="9" t="s">
        <v>11</v>
      </c>
    </row>
    <row r="6885" spans="1:5" ht="15" customHeight="1" outlineLevel="2" x14ac:dyDescent="0.25">
      <c r="A6885" s="3" t="str">
        <f>HYPERLINK("http://mystore1.ru/price_items/search?utf8=%E2%9C%93&amp;oem=6539LGSH5RD","6539LGSH5RD")</f>
        <v>6539LGSH5RD</v>
      </c>
      <c r="B6885" s="1" t="s">
        <v>13113</v>
      </c>
      <c r="C6885" s="9" t="s">
        <v>727</v>
      </c>
      <c r="D6885" s="14" t="s">
        <v>13114</v>
      </c>
      <c r="E6885" s="9" t="s">
        <v>11</v>
      </c>
    </row>
    <row r="6886" spans="1:5" ht="15" customHeight="1" outlineLevel="2" x14ac:dyDescent="0.25">
      <c r="A6886" s="3" t="str">
        <f>HYPERLINK("http://mystore1.ru/price_items/search?utf8=%E2%9C%93&amp;oem=6539RGSH3FD","6539RGSH3FD")</f>
        <v>6539RGSH3FD</v>
      </c>
      <c r="B6886" s="1" t="s">
        <v>13115</v>
      </c>
      <c r="C6886" s="9" t="s">
        <v>727</v>
      </c>
      <c r="D6886" s="14" t="s">
        <v>13116</v>
      </c>
      <c r="E6886" s="9" t="s">
        <v>11</v>
      </c>
    </row>
    <row r="6887" spans="1:5" ht="15" customHeight="1" outlineLevel="2" x14ac:dyDescent="0.25">
      <c r="A6887" s="3" t="str">
        <f>HYPERLINK("http://mystore1.ru/price_items/search?utf8=%E2%9C%93&amp;oem=6539RGSH3RQO","6539RGSH3RQO")</f>
        <v>6539RGSH3RQO</v>
      </c>
      <c r="B6887" s="1" t="s">
        <v>13117</v>
      </c>
      <c r="C6887" s="9" t="s">
        <v>727</v>
      </c>
      <c r="D6887" s="14" t="s">
        <v>13118</v>
      </c>
      <c r="E6887" s="9" t="s">
        <v>11</v>
      </c>
    </row>
    <row r="6888" spans="1:5" ht="15" customHeight="1" outlineLevel="2" x14ac:dyDescent="0.25">
      <c r="A6888" s="3" t="str">
        <f>HYPERLINK("http://mystore1.ru/price_items/search?utf8=%E2%9C%93&amp;oem=6539RGSH5FD","6539RGSH5FD")</f>
        <v>6539RGSH5FD</v>
      </c>
      <c r="B6888" s="1" t="s">
        <v>13119</v>
      </c>
      <c r="C6888" s="9" t="s">
        <v>727</v>
      </c>
      <c r="D6888" s="14" t="s">
        <v>13120</v>
      </c>
      <c r="E6888" s="9" t="s">
        <v>11</v>
      </c>
    </row>
    <row r="6889" spans="1:5" ht="15" customHeight="1" outlineLevel="2" x14ac:dyDescent="0.25">
      <c r="A6889" s="3" t="str">
        <f>HYPERLINK("http://mystore1.ru/price_items/search?utf8=%E2%9C%93&amp;oem=6539RGSH5RD","6539RGSH5RD")</f>
        <v>6539RGSH5RD</v>
      </c>
      <c r="B6889" s="1" t="s">
        <v>13121</v>
      </c>
      <c r="C6889" s="9" t="s">
        <v>727</v>
      </c>
      <c r="D6889" s="14" t="s">
        <v>13122</v>
      </c>
      <c r="E6889" s="9" t="s">
        <v>11</v>
      </c>
    </row>
    <row r="6890" spans="1:5" outlineLevel="1" x14ac:dyDescent="0.25">
      <c r="A6890" s="2"/>
      <c r="B6890" s="6" t="s">
        <v>13123</v>
      </c>
      <c r="C6890" s="8"/>
      <c r="D6890" s="8"/>
      <c r="E6890" s="8"/>
    </row>
    <row r="6891" spans="1:5" ht="15" customHeight="1" outlineLevel="2" x14ac:dyDescent="0.25">
      <c r="A6891" s="3" t="str">
        <f>HYPERLINK("http://mystore1.ru/price_items/search?utf8=%E2%9C%93&amp;oem=6545ACCMV6T","6545ACCMV6T")</f>
        <v>6545ACCMV6T</v>
      </c>
      <c r="B6891" s="1" t="s">
        <v>13124</v>
      </c>
      <c r="C6891" s="9" t="s">
        <v>1359</v>
      </c>
      <c r="D6891" s="14" t="s">
        <v>13125</v>
      </c>
      <c r="E6891" s="9" t="s">
        <v>8</v>
      </c>
    </row>
    <row r="6892" spans="1:5" ht="15" customHeight="1" outlineLevel="2" x14ac:dyDescent="0.25">
      <c r="A6892" s="3" t="str">
        <f>HYPERLINK("http://mystore1.ru/price_items/search?utf8=%E2%9C%93&amp;oem=6545ACCV1B","6545ACCV1B")</f>
        <v>6545ACCV1B</v>
      </c>
      <c r="B6892" s="1" t="s">
        <v>13126</v>
      </c>
      <c r="C6892" s="9" t="s">
        <v>1703</v>
      </c>
      <c r="D6892" s="14" t="s">
        <v>13127</v>
      </c>
      <c r="E6892" s="9" t="s">
        <v>8</v>
      </c>
    </row>
    <row r="6893" spans="1:5" ht="15" customHeight="1" outlineLevel="2" x14ac:dyDescent="0.25">
      <c r="A6893" s="3" t="str">
        <f>HYPERLINK("http://mystore1.ru/price_items/search?utf8=%E2%9C%93&amp;oem=6545AGSMV6T","6545AGSMV6T")</f>
        <v>6545AGSMV6T</v>
      </c>
      <c r="B6893" s="1" t="s">
        <v>13128</v>
      </c>
      <c r="C6893" s="9" t="s">
        <v>1359</v>
      </c>
      <c r="D6893" s="14" t="s">
        <v>13129</v>
      </c>
      <c r="E6893" s="9" t="s">
        <v>8</v>
      </c>
    </row>
    <row r="6894" spans="1:5" ht="15" customHeight="1" outlineLevel="2" x14ac:dyDescent="0.25">
      <c r="A6894" s="3" t="str">
        <f>HYPERLINK("http://mystore1.ru/price_items/search?utf8=%E2%9C%93&amp;oem=6545AGSV","6545AGSV")</f>
        <v>6545AGSV</v>
      </c>
      <c r="B6894" s="1" t="s">
        <v>13130</v>
      </c>
      <c r="C6894" s="9" t="s">
        <v>1703</v>
      </c>
      <c r="D6894" s="14" t="s">
        <v>13131</v>
      </c>
      <c r="E6894" s="9" t="s">
        <v>8</v>
      </c>
    </row>
    <row r="6895" spans="1:5" ht="15" customHeight="1" outlineLevel="2" x14ac:dyDescent="0.25">
      <c r="A6895" s="3" t="str">
        <f>HYPERLINK("http://mystore1.ru/price_items/search?utf8=%E2%9C%93&amp;oem=6545BGST","6545BGST")</f>
        <v>6545BGST</v>
      </c>
      <c r="B6895" s="1" t="s">
        <v>13132</v>
      </c>
      <c r="C6895" s="9" t="s">
        <v>1703</v>
      </c>
      <c r="D6895" s="14" t="s">
        <v>13133</v>
      </c>
      <c r="E6895" s="9" t="s">
        <v>30</v>
      </c>
    </row>
    <row r="6896" spans="1:5" ht="15" customHeight="1" outlineLevel="2" x14ac:dyDescent="0.25">
      <c r="A6896" s="3" t="str">
        <f>HYPERLINK("http://mystore1.ru/price_items/search?utf8=%E2%9C%93&amp;oem=6545LGST2FD","6545LGST2FD")</f>
        <v>6545LGST2FD</v>
      </c>
      <c r="B6896" s="1" t="s">
        <v>13134</v>
      </c>
      <c r="C6896" s="9" t="s">
        <v>1703</v>
      </c>
      <c r="D6896" s="14" t="s">
        <v>13135</v>
      </c>
      <c r="E6896" s="9" t="s">
        <v>11</v>
      </c>
    </row>
    <row r="6897" spans="1:5" ht="15" customHeight="1" outlineLevel="2" x14ac:dyDescent="0.25">
      <c r="A6897" s="3" t="str">
        <f>HYPERLINK("http://mystore1.ru/price_items/search?utf8=%E2%9C%93&amp;oem=6545LGST2RQOW","6545LGST2RQOW")</f>
        <v>6545LGST2RQOW</v>
      </c>
      <c r="B6897" s="1" t="s">
        <v>13136</v>
      </c>
      <c r="C6897" s="9" t="s">
        <v>1703</v>
      </c>
      <c r="D6897" s="14" t="s">
        <v>13137</v>
      </c>
      <c r="E6897" s="9" t="s">
        <v>11</v>
      </c>
    </row>
    <row r="6898" spans="1:5" ht="15" customHeight="1" outlineLevel="2" x14ac:dyDescent="0.25">
      <c r="A6898" s="3" t="str">
        <f>HYPERLINK("http://mystore1.ru/price_items/search?utf8=%E2%9C%93&amp;oem=6545RGST2FD","6545RGST2FD")</f>
        <v>6545RGST2FD</v>
      </c>
      <c r="B6898" s="1" t="s">
        <v>13138</v>
      </c>
      <c r="C6898" s="9" t="s">
        <v>1703</v>
      </c>
      <c r="D6898" s="14" t="s">
        <v>13139</v>
      </c>
      <c r="E6898" s="9" t="s">
        <v>11</v>
      </c>
    </row>
    <row r="6899" spans="1:5" ht="15" customHeight="1" outlineLevel="2" x14ac:dyDescent="0.25">
      <c r="A6899" s="3" t="str">
        <f>HYPERLINK("http://mystore1.ru/price_items/search?utf8=%E2%9C%93&amp;oem=6545RGST2RQOW","6545RGST2RQOW")</f>
        <v>6545RGST2RQOW</v>
      </c>
      <c r="B6899" s="1" t="s">
        <v>13140</v>
      </c>
      <c r="C6899" s="9" t="s">
        <v>1703</v>
      </c>
      <c r="D6899" s="14" t="s">
        <v>13141</v>
      </c>
      <c r="E6899" s="9" t="s">
        <v>11</v>
      </c>
    </row>
    <row r="6900" spans="1:5" outlineLevel="1" x14ac:dyDescent="0.25">
      <c r="A6900" s="2"/>
      <c r="B6900" s="6" t="s">
        <v>13142</v>
      </c>
      <c r="C6900" s="8"/>
      <c r="D6900" s="8"/>
      <c r="E6900" s="8"/>
    </row>
    <row r="6901" spans="1:5" ht="15" customHeight="1" outlineLevel="2" x14ac:dyDescent="0.25">
      <c r="A6901" s="3" t="str">
        <f>HYPERLINK("http://mystore1.ru/price_items/search?utf8=%E2%9C%93&amp;oem=6548ACCMVZ1B","6548ACCMVZ1B")</f>
        <v>6548ACCMVZ1B</v>
      </c>
      <c r="B6901" s="1" t="s">
        <v>13143</v>
      </c>
      <c r="C6901" s="9" t="s">
        <v>1722</v>
      </c>
      <c r="D6901" s="14" t="s">
        <v>13144</v>
      </c>
      <c r="E6901" s="9" t="s">
        <v>8</v>
      </c>
    </row>
    <row r="6902" spans="1:5" ht="15" customHeight="1" outlineLevel="2" x14ac:dyDescent="0.25">
      <c r="A6902" s="3" t="str">
        <f>HYPERLINK("http://mystore1.ru/price_items/search?utf8=%E2%9C%93&amp;oem=6548ACCVZ","6548ACCVZ")</f>
        <v>6548ACCVZ</v>
      </c>
      <c r="B6902" s="1" t="s">
        <v>13145</v>
      </c>
      <c r="C6902" s="9" t="s">
        <v>1722</v>
      </c>
      <c r="D6902" s="14" t="s">
        <v>13146</v>
      </c>
      <c r="E6902" s="9" t="s">
        <v>8</v>
      </c>
    </row>
    <row r="6903" spans="1:5" ht="15" customHeight="1" outlineLevel="2" x14ac:dyDescent="0.25">
      <c r="A6903" s="3" t="str">
        <f>HYPERLINK("http://mystore1.ru/price_items/search?utf8=%E2%9C%93&amp;oem=6548AGSMVZ1B","6548AGSMVZ1B")</f>
        <v>6548AGSMVZ1B</v>
      </c>
      <c r="B6903" s="1" t="s">
        <v>13147</v>
      </c>
      <c r="C6903" s="9" t="s">
        <v>1722</v>
      </c>
      <c r="D6903" s="14" t="s">
        <v>13148</v>
      </c>
      <c r="E6903" s="9" t="s">
        <v>8</v>
      </c>
    </row>
    <row r="6904" spans="1:5" ht="15" customHeight="1" outlineLevel="2" x14ac:dyDescent="0.25">
      <c r="A6904" s="3" t="str">
        <f>HYPERLINK("http://mystore1.ru/price_items/search?utf8=%E2%9C%93&amp;oem=6548AGSVZ","6548AGSVZ")</f>
        <v>6548AGSVZ</v>
      </c>
      <c r="B6904" s="1" t="s">
        <v>13149</v>
      </c>
      <c r="C6904" s="9" t="s">
        <v>1722</v>
      </c>
      <c r="D6904" s="14" t="s">
        <v>13150</v>
      </c>
      <c r="E6904" s="9" t="s">
        <v>8</v>
      </c>
    </row>
    <row r="6905" spans="1:5" ht="15" customHeight="1" outlineLevel="2" x14ac:dyDescent="0.25">
      <c r="A6905" s="3" t="str">
        <f>HYPERLINK("http://mystore1.ru/price_items/search?utf8=%E2%9C%93&amp;oem=6548BGSHA","6548BGSHA")</f>
        <v>6548BGSHA</v>
      </c>
      <c r="B6905" s="1" t="s">
        <v>13151</v>
      </c>
      <c r="C6905" s="9" t="s">
        <v>1722</v>
      </c>
      <c r="D6905" s="14" t="s">
        <v>13152</v>
      </c>
      <c r="E6905" s="9" t="s">
        <v>30</v>
      </c>
    </row>
    <row r="6906" spans="1:5" ht="15" customHeight="1" outlineLevel="2" x14ac:dyDescent="0.25">
      <c r="A6906" s="3" t="str">
        <f>HYPERLINK("http://mystore1.ru/price_items/search?utf8=%E2%9C%93&amp;oem=6548LGSH3FD","6548LGSH3FD")</f>
        <v>6548LGSH3FD</v>
      </c>
      <c r="B6906" s="1" t="s">
        <v>13153</v>
      </c>
      <c r="C6906" s="9" t="s">
        <v>1722</v>
      </c>
      <c r="D6906" s="14" t="s">
        <v>13154</v>
      </c>
      <c r="E6906" s="9" t="s">
        <v>11</v>
      </c>
    </row>
    <row r="6907" spans="1:5" ht="15" customHeight="1" outlineLevel="2" x14ac:dyDescent="0.25">
      <c r="A6907" s="3" t="str">
        <f>HYPERLINK("http://mystore1.ru/price_items/search?utf8=%E2%9C%93&amp;oem=6548LGSH3RQOW","6548LGSH3RQOW")</f>
        <v>6548LGSH3RQOW</v>
      </c>
      <c r="B6907" s="1" t="s">
        <v>13155</v>
      </c>
      <c r="C6907" s="9" t="s">
        <v>1722</v>
      </c>
      <c r="D6907" s="14" t="s">
        <v>13156</v>
      </c>
      <c r="E6907" s="9" t="s">
        <v>11</v>
      </c>
    </row>
    <row r="6908" spans="1:5" ht="15" customHeight="1" outlineLevel="2" x14ac:dyDescent="0.25">
      <c r="A6908" s="3" t="str">
        <f>HYPERLINK("http://mystore1.ru/price_items/search?utf8=%E2%9C%93&amp;oem=6548LGSH5FD","6548LGSH5FD")</f>
        <v>6548LGSH5FD</v>
      </c>
      <c r="B6908" s="1" t="s">
        <v>13157</v>
      </c>
      <c r="C6908" s="9" t="s">
        <v>1722</v>
      </c>
      <c r="D6908" s="14" t="s">
        <v>13158</v>
      </c>
      <c r="E6908" s="9" t="s">
        <v>11</v>
      </c>
    </row>
    <row r="6909" spans="1:5" ht="15" customHeight="1" outlineLevel="2" x14ac:dyDescent="0.25">
      <c r="A6909" s="3" t="str">
        <f>HYPERLINK("http://mystore1.ru/price_items/search?utf8=%E2%9C%93&amp;oem=6548LGSH5RD","6548LGSH5RD")</f>
        <v>6548LGSH5RD</v>
      </c>
      <c r="B6909" s="1" t="s">
        <v>13159</v>
      </c>
      <c r="C6909" s="9" t="s">
        <v>1722</v>
      </c>
      <c r="D6909" s="14" t="s">
        <v>13160</v>
      </c>
      <c r="E6909" s="9" t="s">
        <v>11</v>
      </c>
    </row>
    <row r="6910" spans="1:5" ht="15" customHeight="1" outlineLevel="2" x14ac:dyDescent="0.25">
      <c r="A6910" s="3" t="str">
        <f>HYPERLINK("http://mystore1.ru/price_items/search?utf8=%E2%9C%93&amp;oem=6548RGSH3FD","6548RGSH3FD")</f>
        <v>6548RGSH3FD</v>
      </c>
      <c r="B6910" s="1" t="s">
        <v>13161</v>
      </c>
      <c r="C6910" s="9" t="s">
        <v>1722</v>
      </c>
      <c r="D6910" s="14" t="s">
        <v>13162</v>
      </c>
      <c r="E6910" s="9" t="s">
        <v>11</v>
      </c>
    </row>
    <row r="6911" spans="1:5" ht="15" customHeight="1" outlineLevel="2" x14ac:dyDescent="0.25">
      <c r="A6911" s="3" t="str">
        <f>HYPERLINK("http://mystore1.ru/price_items/search?utf8=%E2%9C%93&amp;oem=6548RGSH3RQOW","6548RGSH3RQOW")</f>
        <v>6548RGSH3RQOW</v>
      </c>
      <c r="B6911" s="1" t="s">
        <v>13163</v>
      </c>
      <c r="C6911" s="9" t="s">
        <v>1722</v>
      </c>
      <c r="D6911" s="14" t="s">
        <v>13164</v>
      </c>
      <c r="E6911" s="9" t="s">
        <v>11</v>
      </c>
    </row>
    <row r="6912" spans="1:5" ht="15" customHeight="1" outlineLevel="2" x14ac:dyDescent="0.25">
      <c r="A6912" s="3" t="str">
        <f>HYPERLINK("http://mystore1.ru/price_items/search?utf8=%E2%9C%93&amp;oem=6548RGSH5FD","6548RGSH5FD")</f>
        <v>6548RGSH5FD</v>
      </c>
      <c r="B6912" s="1" t="s">
        <v>13165</v>
      </c>
      <c r="C6912" s="9" t="s">
        <v>1722</v>
      </c>
      <c r="D6912" s="14" t="s">
        <v>13166</v>
      </c>
      <c r="E6912" s="9" t="s">
        <v>11</v>
      </c>
    </row>
    <row r="6913" spans="1:5" ht="15" customHeight="1" outlineLevel="2" x14ac:dyDescent="0.25">
      <c r="A6913" s="3" t="str">
        <f>HYPERLINK("http://mystore1.ru/price_items/search?utf8=%E2%9C%93&amp;oem=6548RGSH5RD","6548RGSH5RD")</f>
        <v>6548RGSH5RD</v>
      </c>
      <c r="B6913" s="1" t="s">
        <v>13167</v>
      </c>
      <c r="C6913" s="9" t="s">
        <v>1722</v>
      </c>
      <c r="D6913" s="14" t="s">
        <v>13168</v>
      </c>
      <c r="E6913" s="9" t="s">
        <v>11</v>
      </c>
    </row>
    <row r="6914" spans="1:5" outlineLevel="1" x14ac:dyDescent="0.25">
      <c r="A6914" s="2"/>
      <c r="B6914" s="6" t="s">
        <v>13169</v>
      </c>
      <c r="C6914" s="8"/>
      <c r="D6914" s="8"/>
      <c r="E6914" s="8"/>
    </row>
    <row r="6915" spans="1:5" ht="15" customHeight="1" outlineLevel="2" x14ac:dyDescent="0.25">
      <c r="A6915" s="3" t="str">
        <f>HYPERLINK("http://mystore1.ru/price_items/search?utf8=%E2%9C%93&amp;oem=6551AGSAMVZ1P","6551AGSAMVZ1P")</f>
        <v>6551AGSAMVZ1P</v>
      </c>
      <c r="B6915" s="1" t="s">
        <v>13170</v>
      </c>
      <c r="C6915" s="9" t="s">
        <v>6231</v>
      </c>
      <c r="D6915" s="14" t="s">
        <v>13171</v>
      </c>
      <c r="E6915" s="9" t="s">
        <v>8</v>
      </c>
    </row>
    <row r="6916" spans="1:5" ht="15" customHeight="1" outlineLevel="2" x14ac:dyDescent="0.25">
      <c r="A6916" s="3" t="str">
        <f>HYPERLINK("http://mystore1.ru/price_items/search?utf8=%E2%9C%93&amp;oem=6551AGSAVZ1P","6551AGSAVZ1P")</f>
        <v>6551AGSAVZ1P</v>
      </c>
      <c r="B6916" s="1" t="s">
        <v>13172</v>
      </c>
      <c r="C6916" s="9" t="s">
        <v>6231</v>
      </c>
      <c r="D6916" s="14" t="s">
        <v>13173</v>
      </c>
      <c r="E6916" s="9" t="s">
        <v>8</v>
      </c>
    </row>
    <row r="6917" spans="1:5" ht="15" customHeight="1" outlineLevel="2" x14ac:dyDescent="0.25">
      <c r="A6917" s="3" t="str">
        <f>HYPERLINK("http://mystore1.ru/price_items/search?utf8=%E2%9C%93&amp;oem=6551AGSMVZ1P","6551AGSMVZ1P")</f>
        <v>6551AGSMVZ1P</v>
      </c>
      <c r="B6917" s="1" t="s">
        <v>13174</v>
      </c>
      <c r="C6917" s="9" t="s">
        <v>6231</v>
      </c>
      <c r="D6917" s="14" t="s">
        <v>13175</v>
      </c>
      <c r="E6917" s="9" t="s">
        <v>8</v>
      </c>
    </row>
    <row r="6918" spans="1:5" ht="15" customHeight="1" outlineLevel="2" x14ac:dyDescent="0.25">
      <c r="A6918" s="3" t="str">
        <f>HYPERLINK("http://mystore1.ru/price_items/search?utf8=%E2%9C%93&amp;oem=6551AGSVZ","6551AGSVZ")</f>
        <v>6551AGSVZ</v>
      </c>
      <c r="B6918" s="1" t="s">
        <v>13176</v>
      </c>
      <c r="C6918" s="9" t="s">
        <v>6231</v>
      </c>
      <c r="D6918" s="14" t="s">
        <v>13177</v>
      </c>
      <c r="E6918" s="9" t="s">
        <v>8</v>
      </c>
    </row>
    <row r="6919" spans="1:5" outlineLevel="1" x14ac:dyDescent="0.25">
      <c r="A6919" s="2"/>
      <c r="B6919" s="6" t="s">
        <v>13178</v>
      </c>
      <c r="C6919" s="8"/>
      <c r="D6919" s="8"/>
      <c r="E6919" s="8"/>
    </row>
    <row r="6920" spans="1:5" ht="15" customHeight="1" outlineLevel="2" x14ac:dyDescent="0.25">
      <c r="A6920" s="3" t="str">
        <f>HYPERLINK("http://mystore1.ru/price_items/search?utf8=%E2%9C%93&amp;oem=6564AGAMVZ1B","6564AGAMVZ1B")</f>
        <v>6564AGAMVZ1B</v>
      </c>
      <c r="B6920" s="1" t="s">
        <v>13179</v>
      </c>
      <c r="C6920" s="9" t="s">
        <v>1738</v>
      </c>
      <c r="D6920" s="14" t="s">
        <v>13180</v>
      </c>
      <c r="E6920" s="9" t="s">
        <v>8</v>
      </c>
    </row>
    <row r="6921" spans="1:5" outlineLevel="1" x14ac:dyDescent="0.25">
      <c r="A6921" s="2"/>
      <c r="B6921" s="6" t="s">
        <v>13181</v>
      </c>
      <c r="C6921" s="8"/>
      <c r="D6921" s="8"/>
      <c r="E6921" s="8"/>
    </row>
    <row r="6922" spans="1:5" ht="15" customHeight="1" outlineLevel="2" x14ac:dyDescent="0.25">
      <c r="A6922" s="3" t="str">
        <f>HYPERLINK("http://mystore1.ru/price_items/search?utf8=%E2%9C%93&amp;oem=6512ACL1C","6512ACL1C")</f>
        <v>6512ACL1C</v>
      </c>
      <c r="B6922" s="1" t="s">
        <v>13182</v>
      </c>
      <c r="C6922" s="9" t="s">
        <v>13183</v>
      </c>
      <c r="D6922" s="14" t="s">
        <v>13184</v>
      </c>
      <c r="E6922" s="9" t="s">
        <v>8</v>
      </c>
    </row>
    <row r="6923" spans="1:5" outlineLevel="1" x14ac:dyDescent="0.25">
      <c r="A6923" s="2"/>
      <c r="B6923" s="6" t="s">
        <v>13185</v>
      </c>
      <c r="C6923" s="8"/>
      <c r="D6923" s="8"/>
      <c r="E6923" s="8"/>
    </row>
    <row r="6924" spans="1:5" ht="15" customHeight="1" outlineLevel="2" x14ac:dyDescent="0.25">
      <c r="A6924" s="3" t="str">
        <f>HYPERLINK("http://mystore1.ru/price_items/search?utf8=%E2%9C%93&amp;oem=6521ACCM1C","6521ACCM1C")</f>
        <v>6521ACCM1C</v>
      </c>
      <c r="B6924" s="1" t="s">
        <v>13186</v>
      </c>
      <c r="C6924" s="9" t="s">
        <v>2841</v>
      </c>
      <c r="D6924" s="14" t="s">
        <v>13187</v>
      </c>
      <c r="E6924" s="9" t="s">
        <v>8</v>
      </c>
    </row>
    <row r="6925" spans="1:5" ht="15" customHeight="1" outlineLevel="2" x14ac:dyDescent="0.25">
      <c r="A6925" s="3" t="str">
        <f>HYPERLINK("http://mystore1.ru/price_items/search?utf8=%E2%9C%93&amp;oem=6521ACL","6521ACL")</f>
        <v>6521ACL</v>
      </c>
      <c r="B6925" s="1" t="s">
        <v>13188</v>
      </c>
      <c r="C6925" s="9" t="s">
        <v>1924</v>
      </c>
      <c r="D6925" s="14" t="s">
        <v>13189</v>
      </c>
      <c r="E6925" s="9" t="s">
        <v>8</v>
      </c>
    </row>
    <row r="6926" spans="1:5" ht="15" customHeight="1" outlineLevel="2" x14ac:dyDescent="0.25">
      <c r="A6926" s="3" t="str">
        <f>HYPERLINK("http://mystore1.ru/price_items/search?utf8=%E2%9C%93&amp;oem=6521AGN","6521AGN")</f>
        <v>6521AGN</v>
      </c>
      <c r="B6926" s="1" t="s">
        <v>13190</v>
      </c>
      <c r="C6926" s="9" t="s">
        <v>1924</v>
      </c>
      <c r="D6926" s="14" t="s">
        <v>13191</v>
      </c>
      <c r="E6926" s="9" t="s">
        <v>8</v>
      </c>
    </row>
    <row r="6927" spans="1:5" ht="15" customHeight="1" outlineLevel="2" x14ac:dyDescent="0.25">
      <c r="A6927" s="3" t="str">
        <f>HYPERLINK("http://mystore1.ru/price_items/search?utf8=%E2%9C%93&amp;oem=6521AGNBL","6521AGNBL")</f>
        <v>6521AGNBL</v>
      </c>
      <c r="B6927" s="1" t="s">
        <v>13192</v>
      </c>
      <c r="C6927" s="9" t="s">
        <v>1924</v>
      </c>
      <c r="D6927" s="14" t="s">
        <v>13193</v>
      </c>
      <c r="E6927" s="9" t="s">
        <v>8</v>
      </c>
    </row>
    <row r="6928" spans="1:5" ht="15" customHeight="1" outlineLevel="2" x14ac:dyDescent="0.25">
      <c r="A6928" s="3" t="str">
        <f>HYPERLINK("http://mystore1.ru/price_items/search?utf8=%E2%9C%93&amp;oem=6521AGNGN","6521AGNGN")</f>
        <v>6521AGNGN</v>
      </c>
      <c r="B6928" s="1" t="s">
        <v>13194</v>
      </c>
      <c r="C6928" s="9" t="s">
        <v>1924</v>
      </c>
      <c r="D6928" s="14" t="s">
        <v>13195</v>
      </c>
      <c r="E6928" s="9" t="s">
        <v>8</v>
      </c>
    </row>
    <row r="6929" spans="1:5" ht="15" customHeight="1" outlineLevel="2" x14ac:dyDescent="0.25">
      <c r="A6929" s="3" t="str">
        <f>HYPERLINK("http://mystore1.ru/price_items/search?utf8=%E2%9C%93&amp;oem=6521AGNM1C","6521AGNM1C")</f>
        <v>6521AGNM1C</v>
      </c>
      <c r="B6929" s="1" t="s">
        <v>13196</v>
      </c>
      <c r="C6929" s="9" t="s">
        <v>2841</v>
      </c>
      <c r="D6929" s="14" t="s">
        <v>13197</v>
      </c>
      <c r="E6929" s="9" t="s">
        <v>8</v>
      </c>
    </row>
    <row r="6930" spans="1:5" ht="15" customHeight="1" outlineLevel="2" x14ac:dyDescent="0.25">
      <c r="A6930" s="3" t="str">
        <f>HYPERLINK("http://mystore1.ru/price_items/search?utf8=%E2%9C%93&amp;oem=6521AKMH","6521AKMH")</f>
        <v>6521AKMH</v>
      </c>
      <c r="B6930" s="1" t="s">
        <v>13198</v>
      </c>
      <c r="C6930" s="9" t="s">
        <v>25</v>
      </c>
      <c r="D6930" s="14" t="s">
        <v>13199</v>
      </c>
      <c r="E6930" s="9" t="s">
        <v>27</v>
      </c>
    </row>
    <row r="6931" spans="1:5" ht="15" customHeight="1" outlineLevel="2" x14ac:dyDescent="0.25">
      <c r="A6931" s="3" t="str">
        <f>HYPERLINK("http://mystore1.ru/price_items/search?utf8=%E2%9C%93&amp;oem=6521ASGHT","6521ASGHT")</f>
        <v>6521ASGHT</v>
      </c>
      <c r="B6931" s="1" t="s">
        <v>13200</v>
      </c>
      <c r="C6931" s="9" t="s">
        <v>25</v>
      </c>
      <c r="D6931" s="14" t="s">
        <v>13201</v>
      </c>
      <c r="E6931" s="9" t="s">
        <v>27</v>
      </c>
    </row>
    <row r="6932" spans="1:5" ht="15" customHeight="1" outlineLevel="2" x14ac:dyDescent="0.25">
      <c r="A6932" s="3" t="str">
        <f>HYPERLINK("http://mystore1.ru/price_items/search?utf8=%E2%9C%93&amp;oem=6521ASMH","6521ASMH")</f>
        <v>6521ASMH</v>
      </c>
      <c r="B6932" s="1" t="s">
        <v>13202</v>
      </c>
      <c r="C6932" s="9" t="s">
        <v>25</v>
      </c>
      <c r="D6932" s="14" t="s">
        <v>13203</v>
      </c>
      <c r="E6932" s="9" t="s">
        <v>27</v>
      </c>
    </row>
    <row r="6933" spans="1:5" ht="15" customHeight="1" outlineLevel="2" x14ac:dyDescent="0.25">
      <c r="A6933" s="3" t="str">
        <f>HYPERLINK("http://mystore1.ru/price_items/search?utf8=%E2%9C%93&amp;oem=6521BCLH1H","6521BCLH1H")</f>
        <v>6521BCLH1H</v>
      </c>
      <c r="B6933" s="1" t="s">
        <v>13204</v>
      </c>
      <c r="C6933" s="9" t="s">
        <v>1924</v>
      </c>
      <c r="D6933" s="14" t="s">
        <v>13205</v>
      </c>
      <c r="E6933" s="9" t="s">
        <v>30</v>
      </c>
    </row>
    <row r="6934" spans="1:5" ht="15" customHeight="1" outlineLevel="2" x14ac:dyDescent="0.25">
      <c r="A6934" s="3" t="str">
        <f>HYPERLINK("http://mystore1.ru/price_items/search?utf8=%E2%9C%93&amp;oem=6521BGNH1H","6521BGNH1H")</f>
        <v>6521BGNH1H</v>
      </c>
      <c r="B6934" s="1" t="s">
        <v>13206</v>
      </c>
      <c r="C6934" s="9" t="s">
        <v>1924</v>
      </c>
      <c r="D6934" s="14" t="s">
        <v>13207</v>
      </c>
      <c r="E6934" s="9" t="s">
        <v>30</v>
      </c>
    </row>
    <row r="6935" spans="1:5" ht="15" customHeight="1" outlineLevel="2" x14ac:dyDescent="0.25">
      <c r="A6935" s="3" t="str">
        <f>HYPERLINK("http://mystore1.ru/price_items/search?utf8=%E2%9C%93&amp;oem=6521BGNS","6521BGNS")</f>
        <v>6521BGNS</v>
      </c>
      <c r="B6935" s="1" t="s">
        <v>13208</v>
      </c>
      <c r="C6935" s="9" t="s">
        <v>47</v>
      </c>
      <c r="D6935" s="14" t="s">
        <v>13209</v>
      </c>
      <c r="E6935" s="9" t="s">
        <v>30</v>
      </c>
    </row>
    <row r="6936" spans="1:5" ht="15" customHeight="1" outlineLevel="2" x14ac:dyDescent="0.25">
      <c r="A6936" s="3" t="str">
        <f>HYPERLINK("http://mystore1.ru/price_items/search?utf8=%E2%9C%93&amp;oem=6521BGNS1H","6521BGNS1H")</f>
        <v>6521BGNS1H</v>
      </c>
      <c r="B6936" s="1" t="s">
        <v>13210</v>
      </c>
      <c r="C6936" s="9" t="s">
        <v>47</v>
      </c>
      <c r="D6936" s="14" t="s">
        <v>13211</v>
      </c>
      <c r="E6936" s="9" t="s">
        <v>30</v>
      </c>
    </row>
    <row r="6937" spans="1:5" ht="15" customHeight="1" outlineLevel="2" x14ac:dyDescent="0.25">
      <c r="A6937" s="3" t="str">
        <f>HYPERLINK("http://mystore1.ru/price_items/search?utf8=%E2%9C%93&amp;oem=6521BGNS2H","6521BGNS2H")</f>
        <v>6521BGNS2H</v>
      </c>
      <c r="B6937" s="1" t="s">
        <v>13212</v>
      </c>
      <c r="C6937" s="9" t="s">
        <v>2841</v>
      </c>
      <c r="D6937" s="14" t="s">
        <v>13213</v>
      </c>
      <c r="E6937" s="9" t="s">
        <v>30</v>
      </c>
    </row>
    <row r="6938" spans="1:5" ht="15" customHeight="1" outlineLevel="2" x14ac:dyDescent="0.25">
      <c r="A6938" s="3" t="str">
        <f>HYPERLINK("http://mystore1.ru/price_items/search?utf8=%E2%9C%93&amp;oem=6521LCLH3FD","6521LCLH3FD")</f>
        <v>6521LCLH3FD</v>
      </c>
      <c r="B6938" s="1" t="s">
        <v>13214</v>
      </c>
      <c r="C6938" s="9" t="s">
        <v>1924</v>
      </c>
      <c r="D6938" s="14" t="s">
        <v>13215</v>
      </c>
      <c r="E6938" s="9" t="s">
        <v>11</v>
      </c>
    </row>
    <row r="6939" spans="1:5" ht="15" customHeight="1" outlineLevel="2" x14ac:dyDescent="0.25">
      <c r="A6939" s="3" t="str">
        <f>HYPERLINK("http://mystore1.ru/price_items/search?utf8=%E2%9C%93&amp;oem=6521LCLH5FD","6521LCLH5FD")</f>
        <v>6521LCLH5FD</v>
      </c>
      <c r="B6939" s="1" t="s">
        <v>13216</v>
      </c>
      <c r="C6939" s="9" t="s">
        <v>1924</v>
      </c>
      <c r="D6939" s="14" t="s">
        <v>13217</v>
      </c>
      <c r="E6939" s="9" t="s">
        <v>11</v>
      </c>
    </row>
    <row r="6940" spans="1:5" ht="15" customHeight="1" outlineLevel="2" x14ac:dyDescent="0.25">
      <c r="A6940" s="3" t="str">
        <f>HYPERLINK("http://mystore1.ru/price_items/search?utf8=%E2%9C%93&amp;oem=6521LCLH5RD","6521LCLH5RD")</f>
        <v>6521LCLH5RD</v>
      </c>
      <c r="B6940" s="1" t="s">
        <v>13218</v>
      </c>
      <c r="C6940" s="9" t="s">
        <v>1924</v>
      </c>
      <c r="D6940" s="14" t="s">
        <v>13219</v>
      </c>
      <c r="E6940" s="9" t="s">
        <v>11</v>
      </c>
    </row>
    <row r="6941" spans="1:5" ht="15" customHeight="1" outlineLevel="2" x14ac:dyDescent="0.25">
      <c r="A6941" s="3" t="str">
        <f>HYPERLINK("http://mystore1.ru/price_items/search?utf8=%E2%9C%93&amp;oem=6521LCLH5RV","6521LCLH5RV")</f>
        <v>6521LCLH5RV</v>
      </c>
      <c r="B6941" s="1" t="s">
        <v>13220</v>
      </c>
      <c r="C6941" s="9" t="s">
        <v>1924</v>
      </c>
      <c r="D6941" s="14" t="s">
        <v>13221</v>
      </c>
      <c r="E6941" s="9" t="s">
        <v>11</v>
      </c>
    </row>
    <row r="6942" spans="1:5" ht="15" customHeight="1" outlineLevel="2" x14ac:dyDescent="0.25">
      <c r="A6942" s="3" t="str">
        <f>HYPERLINK("http://mystore1.ru/price_items/search?utf8=%E2%9C%93&amp;oem=6521LGNE5RQ","6521LGNE5RQ")</f>
        <v>6521LGNE5RQ</v>
      </c>
      <c r="B6942" s="1" t="s">
        <v>13222</v>
      </c>
      <c r="C6942" s="9" t="s">
        <v>1924</v>
      </c>
      <c r="D6942" s="14" t="s">
        <v>13223</v>
      </c>
      <c r="E6942" s="9" t="s">
        <v>11</v>
      </c>
    </row>
    <row r="6943" spans="1:5" ht="15" customHeight="1" outlineLevel="2" x14ac:dyDescent="0.25">
      <c r="A6943" s="3" t="str">
        <f>HYPERLINK("http://mystore1.ru/price_items/search?utf8=%E2%9C%93&amp;oem=6521LGNH3FD","6521LGNH3FD")</f>
        <v>6521LGNH3FD</v>
      </c>
      <c r="B6943" s="1" t="s">
        <v>13224</v>
      </c>
      <c r="C6943" s="9" t="s">
        <v>1924</v>
      </c>
      <c r="D6943" s="14" t="s">
        <v>13225</v>
      </c>
      <c r="E6943" s="9" t="s">
        <v>11</v>
      </c>
    </row>
    <row r="6944" spans="1:5" ht="15" customHeight="1" outlineLevel="2" x14ac:dyDescent="0.25">
      <c r="A6944" s="3" t="str">
        <f>HYPERLINK("http://mystore1.ru/price_items/search?utf8=%E2%9C%93&amp;oem=6521LGNH3RQO","6521LGNH3RQO")</f>
        <v>6521LGNH3RQO</v>
      </c>
      <c r="B6944" s="1" t="s">
        <v>13226</v>
      </c>
      <c r="C6944" s="9" t="s">
        <v>1924</v>
      </c>
      <c r="D6944" s="14" t="s">
        <v>13227</v>
      </c>
      <c r="E6944" s="9" t="s">
        <v>11</v>
      </c>
    </row>
    <row r="6945" spans="1:5" ht="15" customHeight="1" outlineLevel="2" x14ac:dyDescent="0.25">
      <c r="A6945" s="3" t="str">
        <f>HYPERLINK("http://mystore1.ru/price_items/search?utf8=%E2%9C%93&amp;oem=6521LGNH5FD","6521LGNH5FD")</f>
        <v>6521LGNH5FD</v>
      </c>
      <c r="B6945" s="1" t="s">
        <v>13228</v>
      </c>
      <c r="C6945" s="9" t="s">
        <v>1924</v>
      </c>
      <c r="D6945" s="14" t="s">
        <v>13229</v>
      </c>
      <c r="E6945" s="9" t="s">
        <v>11</v>
      </c>
    </row>
    <row r="6946" spans="1:5" ht="15" customHeight="1" outlineLevel="2" x14ac:dyDescent="0.25">
      <c r="A6946" s="3" t="str">
        <f>HYPERLINK("http://mystore1.ru/price_items/search?utf8=%E2%9C%93&amp;oem=6521LGNH5RD","6521LGNH5RD")</f>
        <v>6521LGNH5RD</v>
      </c>
      <c r="B6946" s="1" t="s">
        <v>13230</v>
      </c>
      <c r="C6946" s="9" t="s">
        <v>1924</v>
      </c>
      <c r="D6946" s="14" t="s">
        <v>13231</v>
      </c>
      <c r="E6946" s="9" t="s">
        <v>11</v>
      </c>
    </row>
    <row r="6947" spans="1:5" ht="15" customHeight="1" outlineLevel="2" x14ac:dyDescent="0.25">
      <c r="A6947" s="3" t="str">
        <f>HYPERLINK("http://mystore1.ru/price_items/search?utf8=%E2%9C%93&amp;oem=6521LGNH5RV","6521LGNH5RV")</f>
        <v>6521LGNH5RV</v>
      </c>
      <c r="B6947" s="1" t="s">
        <v>13232</v>
      </c>
      <c r="C6947" s="9" t="s">
        <v>1924</v>
      </c>
      <c r="D6947" s="14" t="s">
        <v>13233</v>
      </c>
      <c r="E6947" s="9" t="s">
        <v>11</v>
      </c>
    </row>
    <row r="6948" spans="1:5" ht="15" customHeight="1" outlineLevel="2" x14ac:dyDescent="0.25">
      <c r="A6948" s="3" t="str">
        <f>HYPERLINK("http://mystore1.ru/price_items/search?utf8=%E2%9C%93&amp;oem=6521RCLH3FD","6521RCLH3FD")</f>
        <v>6521RCLH3FD</v>
      </c>
      <c r="B6948" s="1" t="s">
        <v>13234</v>
      </c>
      <c r="C6948" s="9" t="s">
        <v>1924</v>
      </c>
      <c r="D6948" s="14" t="s">
        <v>13235</v>
      </c>
      <c r="E6948" s="9" t="s">
        <v>11</v>
      </c>
    </row>
    <row r="6949" spans="1:5" ht="15" customHeight="1" outlineLevel="2" x14ac:dyDescent="0.25">
      <c r="A6949" s="3" t="str">
        <f>HYPERLINK("http://mystore1.ru/price_items/search?utf8=%E2%9C%93&amp;oem=6521RCLH5FD","6521RCLH5FD")</f>
        <v>6521RCLH5FD</v>
      </c>
      <c r="B6949" s="1" t="s">
        <v>13236</v>
      </c>
      <c r="C6949" s="9" t="s">
        <v>1924</v>
      </c>
      <c r="D6949" s="14" t="s">
        <v>13237</v>
      </c>
      <c r="E6949" s="9" t="s">
        <v>11</v>
      </c>
    </row>
    <row r="6950" spans="1:5" ht="15" customHeight="1" outlineLevel="2" x14ac:dyDescent="0.25">
      <c r="A6950" s="3" t="str">
        <f>HYPERLINK("http://mystore1.ru/price_items/search?utf8=%E2%9C%93&amp;oem=6521RCLH5RV","6521RCLH5RV")</f>
        <v>6521RCLH5RV</v>
      </c>
      <c r="B6950" s="1" t="s">
        <v>13238</v>
      </c>
      <c r="C6950" s="9" t="s">
        <v>1924</v>
      </c>
      <c r="D6950" s="14" t="s">
        <v>13239</v>
      </c>
      <c r="E6950" s="9" t="s">
        <v>11</v>
      </c>
    </row>
    <row r="6951" spans="1:5" ht="15" customHeight="1" outlineLevel="2" x14ac:dyDescent="0.25">
      <c r="A6951" s="3" t="str">
        <f>HYPERLINK("http://mystore1.ru/price_items/search?utf8=%E2%9C%93&amp;oem=6521RGNE5RQ","6521RGNE5RQ")</f>
        <v>6521RGNE5RQ</v>
      </c>
      <c r="B6951" s="1" t="s">
        <v>13240</v>
      </c>
      <c r="C6951" s="9" t="s">
        <v>1924</v>
      </c>
      <c r="D6951" s="14" t="s">
        <v>13241</v>
      </c>
      <c r="E6951" s="9" t="s">
        <v>11</v>
      </c>
    </row>
    <row r="6952" spans="1:5" ht="15" customHeight="1" outlineLevel="2" x14ac:dyDescent="0.25">
      <c r="A6952" s="3" t="str">
        <f>HYPERLINK("http://mystore1.ru/price_items/search?utf8=%E2%9C%93&amp;oem=6521RGNH3FD","6521RGNH3FD")</f>
        <v>6521RGNH3FD</v>
      </c>
      <c r="B6952" s="1" t="s">
        <v>13242</v>
      </c>
      <c r="C6952" s="9" t="s">
        <v>1924</v>
      </c>
      <c r="D6952" s="14" t="s">
        <v>13243</v>
      </c>
      <c r="E6952" s="9" t="s">
        <v>11</v>
      </c>
    </row>
    <row r="6953" spans="1:5" ht="15" customHeight="1" outlineLevel="2" x14ac:dyDescent="0.25">
      <c r="A6953" s="3" t="str">
        <f>HYPERLINK("http://mystore1.ru/price_items/search?utf8=%E2%9C%93&amp;oem=6521RGNH3RQO","6521RGNH3RQO")</f>
        <v>6521RGNH3RQO</v>
      </c>
      <c r="B6953" s="1" t="s">
        <v>13244</v>
      </c>
      <c r="C6953" s="9" t="s">
        <v>1924</v>
      </c>
      <c r="D6953" s="14" t="s">
        <v>13245</v>
      </c>
      <c r="E6953" s="9" t="s">
        <v>11</v>
      </c>
    </row>
    <row r="6954" spans="1:5" ht="15" customHeight="1" outlineLevel="2" x14ac:dyDescent="0.25">
      <c r="A6954" s="3" t="str">
        <f>HYPERLINK("http://mystore1.ru/price_items/search?utf8=%E2%9C%93&amp;oem=6521RGNH5FD","6521RGNH5FD")</f>
        <v>6521RGNH5FD</v>
      </c>
      <c r="B6954" s="1" t="s">
        <v>13246</v>
      </c>
      <c r="C6954" s="9" t="s">
        <v>1924</v>
      </c>
      <c r="D6954" s="14" t="s">
        <v>13247</v>
      </c>
      <c r="E6954" s="9" t="s">
        <v>11</v>
      </c>
    </row>
    <row r="6955" spans="1:5" ht="15" customHeight="1" outlineLevel="2" x14ac:dyDescent="0.25">
      <c r="A6955" s="3" t="str">
        <f>HYPERLINK("http://mystore1.ru/price_items/search?utf8=%E2%9C%93&amp;oem=6521RGNH5RD","6521RGNH5RD")</f>
        <v>6521RGNH5RD</v>
      </c>
      <c r="B6955" s="1" t="s">
        <v>13248</v>
      </c>
      <c r="C6955" s="9" t="s">
        <v>1924</v>
      </c>
      <c r="D6955" s="14" t="s">
        <v>13249</v>
      </c>
      <c r="E6955" s="9" t="s">
        <v>11</v>
      </c>
    </row>
    <row r="6956" spans="1:5" ht="15" customHeight="1" outlineLevel="2" x14ac:dyDescent="0.25">
      <c r="A6956" s="3" t="str">
        <f>HYPERLINK("http://mystore1.ru/price_items/search?utf8=%E2%9C%93&amp;oem=6521RGNH5RV","6521RGNH5RV")</f>
        <v>6521RGNH5RV</v>
      </c>
      <c r="B6956" s="1" t="s">
        <v>13250</v>
      </c>
      <c r="C6956" s="9" t="s">
        <v>1924</v>
      </c>
      <c r="D6956" s="14" t="s">
        <v>13251</v>
      </c>
      <c r="E6956" s="9" t="s">
        <v>11</v>
      </c>
    </row>
    <row r="6957" spans="1:5" outlineLevel="1" x14ac:dyDescent="0.25">
      <c r="A6957" s="2"/>
      <c r="B6957" s="6" t="s">
        <v>13252</v>
      </c>
      <c r="C6957" s="8"/>
      <c r="D6957" s="8"/>
      <c r="E6957" s="8"/>
    </row>
    <row r="6958" spans="1:5" ht="15" customHeight="1" outlineLevel="2" x14ac:dyDescent="0.25">
      <c r="A6958" s="3" t="str">
        <f>HYPERLINK("http://mystore1.ru/price_items/search?utf8=%E2%9C%93&amp;oem=6524AGN","6524AGN")</f>
        <v>6524AGN</v>
      </c>
      <c r="B6958" s="1" t="s">
        <v>13253</v>
      </c>
      <c r="C6958" s="9" t="s">
        <v>12574</v>
      </c>
      <c r="D6958" s="14" t="s">
        <v>13254</v>
      </c>
      <c r="E6958" s="9" t="s">
        <v>8</v>
      </c>
    </row>
    <row r="6959" spans="1:5" outlineLevel="1" x14ac:dyDescent="0.25">
      <c r="A6959" s="2"/>
      <c r="B6959" s="6" t="s">
        <v>13255</v>
      </c>
      <c r="C6959" s="8"/>
      <c r="D6959" s="8"/>
      <c r="E6959" s="8"/>
    </row>
    <row r="6960" spans="1:5" ht="15" customHeight="1" outlineLevel="2" x14ac:dyDescent="0.25">
      <c r="A6960" s="3" t="str">
        <f>HYPERLINK("http://mystore1.ru/price_items/search?utf8=%E2%9C%93&amp;oem=6542ACCMVZ1B","6542ACCMVZ1B")</f>
        <v>6542ACCMVZ1B</v>
      </c>
      <c r="B6960" s="1" t="s">
        <v>13256</v>
      </c>
      <c r="C6960" s="9" t="s">
        <v>1359</v>
      </c>
      <c r="D6960" s="14" t="s">
        <v>13257</v>
      </c>
      <c r="E6960" s="9" t="s">
        <v>8</v>
      </c>
    </row>
    <row r="6961" spans="1:5" ht="15" customHeight="1" outlineLevel="2" x14ac:dyDescent="0.25">
      <c r="A6961" s="3" t="str">
        <f>HYPERLINK("http://mystore1.ru/price_items/search?utf8=%E2%9C%93&amp;oem=6542ACCMVZ6P","6542ACCMVZ6P")</f>
        <v>6542ACCMVZ6P</v>
      </c>
      <c r="B6961" s="1" t="s">
        <v>13258</v>
      </c>
      <c r="C6961" s="9" t="s">
        <v>1359</v>
      </c>
      <c r="D6961" s="14" t="s">
        <v>13259</v>
      </c>
      <c r="E6961" s="9" t="s">
        <v>8</v>
      </c>
    </row>
    <row r="6962" spans="1:5" ht="15" customHeight="1" outlineLevel="2" x14ac:dyDescent="0.25">
      <c r="A6962" s="3" t="str">
        <f>HYPERLINK("http://mystore1.ru/price_items/search?utf8=%E2%9C%93&amp;oem=6542ACCVZ","6542ACCVZ")</f>
        <v>6542ACCVZ</v>
      </c>
      <c r="B6962" s="1" t="s">
        <v>13260</v>
      </c>
      <c r="C6962" s="9" t="s">
        <v>1359</v>
      </c>
      <c r="D6962" s="14" t="s">
        <v>13261</v>
      </c>
      <c r="E6962" s="9" t="s">
        <v>8</v>
      </c>
    </row>
    <row r="6963" spans="1:5" ht="15" customHeight="1" outlineLevel="2" x14ac:dyDescent="0.25">
      <c r="A6963" s="3" t="str">
        <f>HYPERLINK("http://mystore1.ru/price_items/search?utf8=%E2%9C%93&amp;oem=6542ACDMVZ6P","6542ACDMVZ6P")</f>
        <v>6542ACDMVZ6P</v>
      </c>
      <c r="B6963" s="1" t="s">
        <v>13262</v>
      </c>
      <c r="C6963" s="9" t="s">
        <v>1359</v>
      </c>
      <c r="D6963" s="14" t="s">
        <v>13263</v>
      </c>
      <c r="E6963" s="9" t="s">
        <v>8</v>
      </c>
    </row>
    <row r="6964" spans="1:5" ht="15" customHeight="1" outlineLevel="2" x14ac:dyDescent="0.25">
      <c r="A6964" s="3" t="str">
        <f>HYPERLINK("http://mystore1.ru/price_items/search?utf8=%E2%9C%93&amp;oem=6542AGSMVZ1B","6542AGSMVZ1B")</f>
        <v>6542AGSMVZ1B</v>
      </c>
      <c r="B6964" s="1" t="s">
        <v>13264</v>
      </c>
      <c r="C6964" s="9" t="s">
        <v>1359</v>
      </c>
      <c r="D6964" s="14" t="s">
        <v>13265</v>
      </c>
      <c r="E6964" s="9" t="s">
        <v>8</v>
      </c>
    </row>
    <row r="6965" spans="1:5" ht="15" customHeight="1" outlineLevel="2" x14ac:dyDescent="0.25">
      <c r="A6965" s="3" t="str">
        <f>HYPERLINK("http://mystore1.ru/price_items/search?utf8=%E2%9C%93&amp;oem=6542AGSMVZ6P","6542AGSMVZ6P")</f>
        <v>6542AGSMVZ6P</v>
      </c>
      <c r="B6965" s="1" t="s">
        <v>13266</v>
      </c>
      <c r="C6965" s="9" t="s">
        <v>1359</v>
      </c>
      <c r="D6965" s="14" t="s">
        <v>13267</v>
      </c>
      <c r="E6965" s="9" t="s">
        <v>8</v>
      </c>
    </row>
    <row r="6966" spans="1:5" ht="15" customHeight="1" outlineLevel="2" x14ac:dyDescent="0.25">
      <c r="A6966" s="3" t="str">
        <f>HYPERLINK("http://mystore1.ru/price_items/search?utf8=%E2%9C%93&amp;oem=6542AGSVZ","6542AGSVZ")</f>
        <v>6542AGSVZ</v>
      </c>
      <c r="B6966" s="1" t="s">
        <v>13268</v>
      </c>
      <c r="C6966" s="9" t="s">
        <v>1359</v>
      </c>
      <c r="D6966" s="14" t="s">
        <v>13269</v>
      </c>
      <c r="E6966" s="9" t="s">
        <v>8</v>
      </c>
    </row>
    <row r="6967" spans="1:5" ht="15" customHeight="1" outlineLevel="2" x14ac:dyDescent="0.25">
      <c r="A6967" s="3" t="str">
        <f>HYPERLINK("http://mystore1.ru/price_items/search?utf8=%E2%9C%93&amp;oem=6542BGDE","6542BGDE")</f>
        <v>6542BGDE</v>
      </c>
      <c r="B6967" s="1" t="s">
        <v>13270</v>
      </c>
      <c r="C6967" s="9" t="s">
        <v>1359</v>
      </c>
      <c r="D6967" s="14" t="s">
        <v>13271</v>
      </c>
      <c r="E6967" s="9" t="s">
        <v>30</v>
      </c>
    </row>
    <row r="6968" spans="1:5" ht="15" customHeight="1" outlineLevel="2" x14ac:dyDescent="0.25">
      <c r="A6968" s="3" t="str">
        <f>HYPERLINK("http://mystore1.ru/price_items/search?utf8=%E2%9C%93&amp;oem=6542BGSE","6542BGSE")</f>
        <v>6542BGSE</v>
      </c>
      <c r="B6968" s="1" t="s">
        <v>13272</v>
      </c>
      <c r="C6968" s="9" t="s">
        <v>1359</v>
      </c>
      <c r="D6968" s="14" t="s">
        <v>13273</v>
      </c>
      <c r="E6968" s="9" t="s">
        <v>30</v>
      </c>
    </row>
    <row r="6969" spans="1:5" ht="15" customHeight="1" outlineLevel="2" x14ac:dyDescent="0.25">
      <c r="A6969" s="3" t="str">
        <f>HYPERLINK("http://mystore1.ru/price_items/search?utf8=%E2%9C%93&amp;oem=6542BGSH","6542BGSH")</f>
        <v>6542BGSH</v>
      </c>
      <c r="B6969" s="1" t="s">
        <v>13274</v>
      </c>
      <c r="C6969" s="9" t="s">
        <v>1359</v>
      </c>
      <c r="D6969" s="14" t="s">
        <v>13275</v>
      </c>
      <c r="E6969" s="9" t="s">
        <v>30</v>
      </c>
    </row>
    <row r="6970" spans="1:5" ht="15" customHeight="1" outlineLevel="2" x14ac:dyDescent="0.25">
      <c r="A6970" s="3" t="str">
        <f>HYPERLINK("http://mystore1.ru/price_items/search?utf8=%E2%9C%93&amp;oem=6542LGDE5RD","6542LGDE5RD")</f>
        <v>6542LGDE5RD</v>
      </c>
      <c r="B6970" s="1" t="s">
        <v>13276</v>
      </c>
      <c r="C6970" s="9" t="s">
        <v>1359</v>
      </c>
      <c r="D6970" s="14" t="s">
        <v>13277</v>
      </c>
      <c r="E6970" s="9" t="s">
        <v>11</v>
      </c>
    </row>
    <row r="6971" spans="1:5" ht="15" customHeight="1" outlineLevel="2" x14ac:dyDescent="0.25">
      <c r="A6971" s="3" t="str">
        <f>HYPERLINK("http://mystore1.ru/price_items/search?utf8=%E2%9C%93&amp;oem=6542LGDE5RQW","6542LGDE5RQW")</f>
        <v>6542LGDE5RQW</v>
      </c>
      <c r="B6971" s="1" t="s">
        <v>13278</v>
      </c>
      <c r="C6971" s="9" t="s">
        <v>1359</v>
      </c>
      <c r="D6971" s="14" t="s">
        <v>13279</v>
      </c>
      <c r="E6971" s="9" t="s">
        <v>11</v>
      </c>
    </row>
    <row r="6972" spans="1:5" ht="15" customHeight="1" outlineLevel="2" x14ac:dyDescent="0.25">
      <c r="A6972" s="3" t="str">
        <f>HYPERLINK("http://mystore1.ru/price_items/search?utf8=%E2%9C%93&amp;oem=6542LGSE5RD","6542LGSE5RD")</f>
        <v>6542LGSE5RD</v>
      </c>
      <c r="B6972" s="1" t="s">
        <v>13280</v>
      </c>
      <c r="C6972" s="9" t="s">
        <v>1359</v>
      </c>
      <c r="D6972" s="14" t="s">
        <v>13281</v>
      </c>
      <c r="E6972" s="9" t="s">
        <v>11</v>
      </c>
    </row>
    <row r="6973" spans="1:5" ht="15" customHeight="1" outlineLevel="2" x14ac:dyDescent="0.25">
      <c r="A6973" s="3" t="str">
        <f>HYPERLINK("http://mystore1.ru/price_items/search?utf8=%E2%9C%93&amp;oem=6542LGSE5RQW","6542LGSE5RQW")</f>
        <v>6542LGSE5RQW</v>
      </c>
      <c r="B6973" s="1" t="s">
        <v>13282</v>
      </c>
      <c r="C6973" s="9" t="s">
        <v>1359</v>
      </c>
      <c r="D6973" s="14" t="s">
        <v>13283</v>
      </c>
      <c r="E6973" s="9" t="s">
        <v>11</v>
      </c>
    </row>
    <row r="6974" spans="1:5" ht="15" customHeight="1" outlineLevel="2" x14ac:dyDescent="0.25">
      <c r="A6974" s="3" t="str">
        <f>HYPERLINK("http://mystore1.ru/price_items/search?utf8=%E2%9C%93&amp;oem=6542LGSH3FD","6542LGSH3FD")</f>
        <v>6542LGSH3FD</v>
      </c>
      <c r="B6974" s="1" t="s">
        <v>13284</v>
      </c>
      <c r="C6974" s="9" t="s">
        <v>1359</v>
      </c>
      <c r="D6974" s="14" t="s">
        <v>13285</v>
      </c>
      <c r="E6974" s="9" t="s">
        <v>11</v>
      </c>
    </row>
    <row r="6975" spans="1:5" ht="15" customHeight="1" outlineLevel="2" x14ac:dyDescent="0.25">
      <c r="A6975" s="3" t="str">
        <f>HYPERLINK("http://mystore1.ru/price_items/search?utf8=%E2%9C%93&amp;oem=6542LGSH3RQZ","6542LGSH3RQZ")</f>
        <v>6542LGSH3RQZ</v>
      </c>
      <c r="B6975" s="1" t="s">
        <v>13286</v>
      </c>
      <c r="C6975" s="9" t="s">
        <v>1359</v>
      </c>
      <c r="D6975" s="14" t="s">
        <v>13287</v>
      </c>
      <c r="E6975" s="9" t="s">
        <v>11</v>
      </c>
    </row>
    <row r="6976" spans="1:5" ht="15" customHeight="1" outlineLevel="2" x14ac:dyDescent="0.25">
      <c r="A6976" s="3" t="str">
        <f>HYPERLINK("http://mystore1.ru/price_items/search?utf8=%E2%9C%93&amp;oem=6542LGSH5FD","6542LGSH5FD")</f>
        <v>6542LGSH5FD</v>
      </c>
      <c r="B6976" s="1" t="s">
        <v>13288</v>
      </c>
      <c r="C6976" s="9" t="s">
        <v>1359</v>
      </c>
      <c r="D6976" s="14" t="s">
        <v>13289</v>
      </c>
      <c r="E6976" s="9" t="s">
        <v>11</v>
      </c>
    </row>
    <row r="6977" spans="1:5" ht="15" customHeight="1" outlineLevel="2" x14ac:dyDescent="0.25">
      <c r="A6977" s="3" t="str">
        <f>HYPERLINK("http://mystore1.ru/price_items/search?utf8=%E2%9C%93&amp;oem=6542LGSH5RD","6542LGSH5RD")</f>
        <v>6542LGSH5RD</v>
      </c>
      <c r="B6977" s="1" t="s">
        <v>13290</v>
      </c>
      <c r="C6977" s="9" t="s">
        <v>1359</v>
      </c>
      <c r="D6977" s="14" t="s">
        <v>13291</v>
      </c>
      <c r="E6977" s="9" t="s">
        <v>11</v>
      </c>
    </row>
    <row r="6978" spans="1:5" ht="15" customHeight="1" outlineLevel="2" x14ac:dyDescent="0.25">
      <c r="A6978" s="3" t="str">
        <f>HYPERLINK("http://mystore1.ru/price_items/search?utf8=%E2%9C%93&amp;oem=6542RGDE5RD","6542RGDE5RD")</f>
        <v>6542RGDE5RD</v>
      </c>
      <c r="B6978" s="1" t="s">
        <v>13292</v>
      </c>
      <c r="C6978" s="9" t="s">
        <v>1359</v>
      </c>
      <c r="D6978" s="14" t="s">
        <v>13293</v>
      </c>
      <c r="E6978" s="9" t="s">
        <v>11</v>
      </c>
    </row>
    <row r="6979" spans="1:5" ht="15" customHeight="1" outlineLevel="2" x14ac:dyDescent="0.25">
      <c r="A6979" s="3" t="str">
        <f>HYPERLINK("http://mystore1.ru/price_items/search?utf8=%E2%9C%93&amp;oem=6542RGDE5RQW","6542RGDE5RQW")</f>
        <v>6542RGDE5RQW</v>
      </c>
      <c r="B6979" s="1" t="s">
        <v>13294</v>
      </c>
      <c r="C6979" s="9" t="s">
        <v>1359</v>
      </c>
      <c r="D6979" s="14" t="s">
        <v>13295</v>
      </c>
      <c r="E6979" s="9" t="s">
        <v>11</v>
      </c>
    </row>
    <row r="6980" spans="1:5" ht="15" customHeight="1" outlineLevel="2" x14ac:dyDescent="0.25">
      <c r="A6980" s="3" t="str">
        <f>HYPERLINK("http://mystore1.ru/price_items/search?utf8=%E2%9C%93&amp;oem=6542RGSE5RD","6542RGSE5RD")</f>
        <v>6542RGSE5RD</v>
      </c>
      <c r="B6980" s="1" t="s">
        <v>13296</v>
      </c>
      <c r="C6980" s="9" t="s">
        <v>1359</v>
      </c>
      <c r="D6980" s="14" t="s">
        <v>13297</v>
      </c>
      <c r="E6980" s="9" t="s">
        <v>11</v>
      </c>
    </row>
    <row r="6981" spans="1:5" ht="15" customHeight="1" outlineLevel="2" x14ac:dyDescent="0.25">
      <c r="A6981" s="3" t="str">
        <f>HYPERLINK("http://mystore1.ru/price_items/search?utf8=%E2%9C%93&amp;oem=6542RGSE5RQW","6542RGSE5RQW")</f>
        <v>6542RGSE5RQW</v>
      </c>
      <c r="B6981" s="1" t="s">
        <v>13298</v>
      </c>
      <c r="C6981" s="9" t="s">
        <v>1359</v>
      </c>
      <c r="D6981" s="14" t="s">
        <v>13299</v>
      </c>
      <c r="E6981" s="9" t="s">
        <v>11</v>
      </c>
    </row>
    <row r="6982" spans="1:5" ht="15" customHeight="1" outlineLevel="2" x14ac:dyDescent="0.25">
      <c r="A6982" s="3" t="str">
        <f>HYPERLINK("http://mystore1.ru/price_items/search?utf8=%E2%9C%93&amp;oem=6542RGSH3FD","6542RGSH3FD")</f>
        <v>6542RGSH3FD</v>
      </c>
      <c r="B6982" s="1" t="s">
        <v>13300</v>
      </c>
      <c r="C6982" s="9" t="s">
        <v>1359</v>
      </c>
      <c r="D6982" s="14" t="s">
        <v>13301</v>
      </c>
      <c r="E6982" s="9" t="s">
        <v>11</v>
      </c>
    </row>
    <row r="6983" spans="1:5" ht="15" customHeight="1" outlineLevel="2" x14ac:dyDescent="0.25">
      <c r="A6983" s="3" t="str">
        <f>HYPERLINK("http://mystore1.ru/price_items/search?utf8=%E2%9C%93&amp;oem=6542RGSH3RQZ","6542RGSH3RQZ")</f>
        <v>6542RGSH3RQZ</v>
      </c>
      <c r="B6983" s="1" t="s">
        <v>13302</v>
      </c>
      <c r="C6983" s="9" t="s">
        <v>1359</v>
      </c>
      <c r="D6983" s="14" t="s">
        <v>13303</v>
      </c>
      <c r="E6983" s="9" t="s">
        <v>11</v>
      </c>
    </row>
    <row r="6984" spans="1:5" ht="15" customHeight="1" outlineLevel="2" x14ac:dyDescent="0.25">
      <c r="A6984" s="3" t="str">
        <f>HYPERLINK("http://mystore1.ru/price_items/search?utf8=%E2%9C%93&amp;oem=6542RGSH5FD","6542RGSH5FD")</f>
        <v>6542RGSH5FD</v>
      </c>
      <c r="B6984" s="1" t="s">
        <v>13304</v>
      </c>
      <c r="C6984" s="9" t="s">
        <v>1359</v>
      </c>
      <c r="D6984" s="14" t="s">
        <v>13305</v>
      </c>
      <c r="E6984" s="9" t="s">
        <v>11</v>
      </c>
    </row>
    <row r="6985" spans="1:5" ht="15" customHeight="1" outlineLevel="2" x14ac:dyDescent="0.25">
      <c r="A6985" s="3" t="str">
        <f>HYPERLINK("http://mystore1.ru/price_items/search?utf8=%E2%9C%93&amp;oem=6542RGSH5RD","6542RGSH5RD")</f>
        <v>6542RGSH5RD</v>
      </c>
      <c r="B6985" s="1" t="s">
        <v>13306</v>
      </c>
      <c r="C6985" s="9" t="s">
        <v>1359</v>
      </c>
      <c r="D6985" s="14" t="s">
        <v>13307</v>
      </c>
      <c r="E6985" s="9" t="s">
        <v>11</v>
      </c>
    </row>
    <row r="6986" spans="1:5" outlineLevel="1" x14ac:dyDescent="0.25">
      <c r="A6986" s="2"/>
      <c r="B6986" s="6" t="s">
        <v>13308</v>
      </c>
      <c r="C6986" s="8"/>
      <c r="D6986" s="8"/>
      <c r="E6986" s="8"/>
    </row>
    <row r="6987" spans="1:5" ht="15" customHeight="1" outlineLevel="2" x14ac:dyDescent="0.25">
      <c r="A6987" s="3" t="str">
        <f>HYPERLINK("http://mystore1.ru/price_items/search?utf8=%E2%9C%93&amp;oem=6543AGSIMVZ1B","6543AGSIMVZ1B")</f>
        <v>6543AGSIMVZ1B</v>
      </c>
      <c r="B6987" s="1" t="s">
        <v>13309</v>
      </c>
      <c r="C6987" s="9" t="s">
        <v>1617</v>
      </c>
      <c r="D6987" s="14" t="s">
        <v>13310</v>
      </c>
      <c r="E6987" s="9" t="s">
        <v>8</v>
      </c>
    </row>
    <row r="6988" spans="1:5" ht="15" customHeight="1" outlineLevel="2" x14ac:dyDescent="0.25">
      <c r="A6988" s="3" t="str">
        <f>HYPERLINK("http://mystore1.ru/price_items/search?utf8=%E2%9C%93&amp;oem=6543AGSGVZ","6543AGSGVZ")</f>
        <v>6543AGSGVZ</v>
      </c>
      <c r="B6988" s="1" t="s">
        <v>13311</v>
      </c>
      <c r="C6988" s="9" t="s">
        <v>1617</v>
      </c>
      <c r="D6988" s="14" t="s">
        <v>13312</v>
      </c>
      <c r="E6988" s="9" t="s">
        <v>8</v>
      </c>
    </row>
    <row r="6989" spans="1:5" ht="15" customHeight="1" outlineLevel="2" x14ac:dyDescent="0.25">
      <c r="A6989" s="3" t="str">
        <f>HYPERLINK("http://mystore1.ru/price_items/search?utf8=%E2%9C%93&amp;oem=6543LGST2FD","6543LGST2FD")</f>
        <v>6543LGST2FD</v>
      </c>
      <c r="B6989" s="1" t="s">
        <v>13313</v>
      </c>
      <c r="C6989" s="9" t="s">
        <v>1617</v>
      </c>
      <c r="D6989" s="14" t="s">
        <v>13314</v>
      </c>
      <c r="E6989" s="9" t="s">
        <v>11</v>
      </c>
    </row>
    <row r="6990" spans="1:5" ht="15" customHeight="1" outlineLevel="2" x14ac:dyDescent="0.25">
      <c r="A6990" s="3" t="str">
        <f>HYPERLINK("http://mystore1.ru/price_items/search?utf8=%E2%9C%93&amp;oem=6543LGST2RQOW","6543LGST2RQOW")</f>
        <v>6543LGST2RQOW</v>
      </c>
      <c r="B6990" s="1" t="s">
        <v>13315</v>
      </c>
      <c r="C6990" s="9" t="s">
        <v>1617</v>
      </c>
      <c r="D6990" s="14" t="s">
        <v>13316</v>
      </c>
      <c r="E6990" s="9" t="s">
        <v>11</v>
      </c>
    </row>
    <row r="6991" spans="1:5" ht="15" customHeight="1" outlineLevel="2" x14ac:dyDescent="0.25">
      <c r="A6991" s="3" t="str">
        <f>HYPERLINK("http://mystore1.ru/price_items/search?utf8=%E2%9C%93&amp;oem=6543RGST2FD","6543RGST2FD")</f>
        <v>6543RGST2FD</v>
      </c>
      <c r="B6991" s="1" t="s">
        <v>13317</v>
      </c>
      <c r="C6991" s="9" t="s">
        <v>1617</v>
      </c>
      <c r="D6991" s="14" t="s">
        <v>13318</v>
      </c>
      <c r="E6991" s="9" t="s">
        <v>11</v>
      </c>
    </row>
    <row r="6992" spans="1:5" ht="15" customHeight="1" outlineLevel="2" x14ac:dyDescent="0.25">
      <c r="A6992" s="3" t="str">
        <f>HYPERLINK("http://mystore1.ru/price_items/search?utf8=%E2%9C%93&amp;oem=6543RGST2RQOW","6543RGST2RQOW")</f>
        <v>6543RGST2RQOW</v>
      </c>
      <c r="B6992" s="1" t="s">
        <v>13319</v>
      </c>
      <c r="C6992" s="9" t="s">
        <v>1617</v>
      </c>
      <c r="D6992" s="14" t="s">
        <v>13320</v>
      </c>
      <c r="E6992" s="9" t="s">
        <v>11</v>
      </c>
    </row>
    <row r="6993" spans="1:5" outlineLevel="1" x14ac:dyDescent="0.25">
      <c r="A6993" s="2"/>
      <c r="B6993" s="6" t="s">
        <v>13321</v>
      </c>
      <c r="C6993" s="8"/>
      <c r="D6993" s="8"/>
      <c r="E6993" s="8"/>
    </row>
    <row r="6994" spans="1:5" ht="15" customHeight="1" outlineLevel="2" x14ac:dyDescent="0.25">
      <c r="A6994" s="3" t="str">
        <f>HYPERLINK("http://mystore1.ru/price_items/search?utf8=%E2%9C%93&amp;oem=6554ACDMVW3B","6554ACDMVW3B")</f>
        <v>6554ACDMVW3B</v>
      </c>
      <c r="B6994" s="1" t="s">
        <v>13322</v>
      </c>
      <c r="C6994" s="9" t="s">
        <v>511</v>
      </c>
      <c r="D6994" s="14" t="s">
        <v>13323</v>
      </c>
      <c r="E6994" s="9" t="s">
        <v>8</v>
      </c>
    </row>
    <row r="6995" spans="1:5" ht="15" customHeight="1" outlineLevel="2" x14ac:dyDescent="0.25">
      <c r="A6995" s="3" t="str">
        <f>HYPERLINK("http://mystore1.ru/price_items/search?utf8=%E2%9C%93&amp;oem=6554AGAMVW3B","6554AGAMVW3B")</f>
        <v>6554AGAMVW3B</v>
      </c>
      <c r="B6995" s="1" t="s">
        <v>13324</v>
      </c>
      <c r="C6995" s="9" t="s">
        <v>511</v>
      </c>
      <c r="D6995" s="14" t="s">
        <v>13325</v>
      </c>
      <c r="E6995" s="9" t="s">
        <v>8</v>
      </c>
    </row>
    <row r="6996" spans="1:5" ht="15" customHeight="1" outlineLevel="2" x14ac:dyDescent="0.25">
      <c r="A6996" s="3" t="str">
        <f>HYPERLINK("http://mystore1.ru/price_items/search?utf8=%E2%9C%93&amp;oem=6554AGAVW2B","6554AGAVW2B")</f>
        <v>6554AGAVW2B</v>
      </c>
      <c r="B6996" s="1" t="s">
        <v>13326</v>
      </c>
      <c r="C6996" s="9" t="s">
        <v>511</v>
      </c>
      <c r="D6996" s="14" t="s">
        <v>13327</v>
      </c>
      <c r="E6996" s="9" t="s">
        <v>8</v>
      </c>
    </row>
    <row r="6997" spans="1:5" ht="15" customHeight="1" outlineLevel="2" x14ac:dyDescent="0.25">
      <c r="A6997" s="3" t="str">
        <f>HYPERLINK("http://mystore1.ru/price_items/search?utf8=%E2%9C%93&amp;oem=6554BGPEAW","6554BGPEAW")</f>
        <v>6554BGPEAW</v>
      </c>
      <c r="B6997" s="1" t="s">
        <v>13328</v>
      </c>
      <c r="C6997" s="9" t="s">
        <v>511</v>
      </c>
      <c r="D6997" s="14" t="s">
        <v>13329</v>
      </c>
      <c r="E6997" s="9" t="s">
        <v>30</v>
      </c>
    </row>
    <row r="6998" spans="1:5" ht="15" customHeight="1" outlineLevel="2" x14ac:dyDescent="0.25">
      <c r="A6998" s="3" t="str">
        <f>HYPERLINK("http://mystore1.ru/price_items/search?utf8=%E2%9C%93&amp;oem=6554BGPEOW","6554BGPEOW")</f>
        <v>6554BGPEOW</v>
      </c>
      <c r="B6998" s="1" t="s">
        <v>13330</v>
      </c>
      <c r="C6998" s="9" t="s">
        <v>511</v>
      </c>
      <c r="D6998" s="14" t="s">
        <v>13331</v>
      </c>
      <c r="E6998" s="9" t="s">
        <v>30</v>
      </c>
    </row>
    <row r="6999" spans="1:5" ht="15" customHeight="1" outlineLevel="2" x14ac:dyDescent="0.25">
      <c r="A6999" s="3" t="str">
        <f>HYPERLINK("http://mystore1.ru/price_items/search?utf8=%E2%9C%93&amp;oem=6554BGSEAW","6554BGSEAW")</f>
        <v>6554BGSEAW</v>
      </c>
      <c r="B6999" s="1" t="s">
        <v>13332</v>
      </c>
      <c r="C6999" s="9" t="s">
        <v>511</v>
      </c>
      <c r="D6999" s="14" t="s">
        <v>13333</v>
      </c>
      <c r="E6999" s="9" t="s">
        <v>30</v>
      </c>
    </row>
    <row r="7000" spans="1:5" ht="15" customHeight="1" outlineLevel="2" x14ac:dyDescent="0.25">
      <c r="A7000" s="3" t="str">
        <f>HYPERLINK("http://mystore1.ru/price_items/search?utf8=%E2%9C%93&amp;oem=6554BGSHAW","6554BGSHAW")</f>
        <v>6554BGSHAW</v>
      </c>
      <c r="B7000" s="1" t="s">
        <v>13334</v>
      </c>
      <c r="C7000" s="9" t="s">
        <v>511</v>
      </c>
      <c r="D7000" s="14" t="s">
        <v>13335</v>
      </c>
      <c r="E7000" s="9" t="s">
        <v>30</v>
      </c>
    </row>
    <row r="7001" spans="1:5" ht="15" customHeight="1" outlineLevel="2" x14ac:dyDescent="0.25">
      <c r="A7001" s="3" t="str">
        <f>HYPERLINK("http://mystore1.ru/price_items/search?utf8=%E2%9C%93&amp;oem=6554BGSHW","6554BGSHW")</f>
        <v>6554BGSHW</v>
      </c>
      <c r="B7001" s="1" t="s">
        <v>13336</v>
      </c>
      <c r="C7001" s="9" t="s">
        <v>511</v>
      </c>
      <c r="D7001" s="14" t="s">
        <v>13337</v>
      </c>
      <c r="E7001" s="9" t="s">
        <v>30</v>
      </c>
    </row>
    <row r="7002" spans="1:5" ht="15" customHeight="1" outlineLevel="2" x14ac:dyDescent="0.25">
      <c r="A7002" s="3" t="str">
        <f>HYPERLINK("http://mystore1.ru/price_items/search?utf8=%E2%9C%93&amp;oem=6554LGSE5RD","6554LGSE5RD")</f>
        <v>6554LGSE5RD</v>
      </c>
      <c r="B7002" s="1" t="s">
        <v>13338</v>
      </c>
      <c r="C7002" s="9" t="s">
        <v>511</v>
      </c>
      <c r="D7002" s="14" t="s">
        <v>13339</v>
      </c>
      <c r="E7002" s="9" t="s">
        <v>11</v>
      </c>
    </row>
    <row r="7003" spans="1:5" ht="15" customHeight="1" outlineLevel="2" x14ac:dyDescent="0.25">
      <c r="A7003" s="3" t="str">
        <f>HYPERLINK("http://mystore1.ru/price_items/search?utf8=%E2%9C%93&amp;oem=6554LGSE5RQZ","6554LGSE5RQZ")</f>
        <v>6554LGSE5RQZ</v>
      </c>
      <c r="B7003" s="1" t="s">
        <v>13340</v>
      </c>
      <c r="C7003" s="9" t="s">
        <v>511</v>
      </c>
      <c r="D7003" s="14" t="s">
        <v>13341</v>
      </c>
      <c r="E7003" s="9" t="s">
        <v>11</v>
      </c>
    </row>
    <row r="7004" spans="1:5" ht="15" customHeight="1" outlineLevel="2" x14ac:dyDescent="0.25">
      <c r="A7004" s="3" t="str">
        <f>HYPERLINK("http://mystore1.ru/price_items/search?utf8=%E2%9C%93&amp;oem=6554LGSH3FD","6554LGSH3FD")</f>
        <v>6554LGSH3FD</v>
      </c>
      <c r="B7004" s="1" t="s">
        <v>13342</v>
      </c>
      <c r="C7004" s="9" t="s">
        <v>511</v>
      </c>
      <c r="D7004" s="14" t="s">
        <v>13343</v>
      </c>
      <c r="E7004" s="9" t="s">
        <v>11</v>
      </c>
    </row>
    <row r="7005" spans="1:5" ht="15" customHeight="1" outlineLevel="2" x14ac:dyDescent="0.25">
      <c r="A7005" s="3" t="str">
        <f>HYPERLINK("http://mystore1.ru/price_items/search?utf8=%E2%9C%93&amp;oem=6554LGSH5FD","6554LGSH5FD")</f>
        <v>6554LGSH5FD</v>
      </c>
      <c r="B7005" s="1" t="s">
        <v>13344</v>
      </c>
      <c r="C7005" s="9" t="s">
        <v>511</v>
      </c>
      <c r="D7005" s="14" t="s">
        <v>13345</v>
      </c>
      <c r="E7005" s="9" t="s">
        <v>11</v>
      </c>
    </row>
    <row r="7006" spans="1:5" ht="15" customHeight="1" outlineLevel="2" x14ac:dyDescent="0.25">
      <c r="A7006" s="3" t="str">
        <f>HYPERLINK("http://mystore1.ru/price_items/search?utf8=%E2%9C%93&amp;oem=6554LGSH5RD","6554LGSH5RD")</f>
        <v>6554LGSH5RD</v>
      </c>
      <c r="B7006" s="1" t="s">
        <v>13346</v>
      </c>
      <c r="C7006" s="9" t="s">
        <v>511</v>
      </c>
      <c r="D7006" s="14" t="s">
        <v>13347</v>
      </c>
      <c r="E7006" s="9" t="s">
        <v>11</v>
      </c>
    </row>
    <row r="7007" spans="1:5" ht="15" customHeight="1" outlineLevel="2" x14ac:dyDescent="0.25">
      <c r="A7007" s="3" t="str">
        <f>HYPERLINK("http://mystore1.ru/price_items/search?utf8=%E2%9C%93&amp;oem=6554LGPE5RD","6554LGPE5RD")</f>
        <v>6554LGPE5RD</v>
      </c>
      <c r="B7007" s="1" t="s">
        <v>13348</v>
      </c>
      <c r="C7007" s="9" t="s">
        <v>511</v>
      </c>
      <c r="D7007" s="14" t="s">
        <v>13349</v>
      </c>
      <c r="E7007" s="9" t="s">
        <v>11</v>
      </c>
    </row>
    <row r="7008" spans="1:5" ht="15" customHeight="1" outlineLevel="2" x14ac:dyDescent="0.25">
      <c r="A7008" s="3" t="str">
        <f>HYPERLINK("http://mystore1.ru/price_items/search?utf8=%E2%9C%93&amp;oem=6554RGPE5RD","6554RGPE5RD")</f>
        <v>6554RGPE5RD</v>
      </c>
      <c r="B7008" s="1" t="s">
        <v>13350</v>
      </c>
      <c r="C7008" s="9" t="s">
        <v>511</v>
      </c>
      <c r="D7008" s="14" t="s">
        <v>13351</v>
      </c>
      <c r="E7008" s="9" t="s">
        <v>11</v>
      </c>
    </row>
    <row r="7009" spans="1:5" ht="15" customHeight="1" outlineLevel="2" x14ac:dyDescent="0.25">
      <c r="A7009" s="3" t="str">
        <f>HYPERLINK("http://mystore1.ru/price_items/search?utf8=%E2%9C%93&amp;oem=6554RGSE5RD","6554RGSE5RD")</f>
        <v>6554RGSE5RD</v>
      </c>
      <c r="B7009" s="1" t="s">
        <v>13352</v>
      </c>
      <c r="C7009" s="9" t="s">
        <v>511</v>
      </c>
      <c r="D7009" s="14" t="s">
        <v>13353</v>
      </c>
      <c r="E7009" s="9" t="s">
        <v>11</v>
      </c>
    </row>
    <row r="7010" spans="1:5" ht="15" customHeight="1" outlineLevel="2" x14ac:dyDescent="0.25">
      <c r="A7010" s="3" t="str">
        <f>HYPERLINK("http://mystore1.ru/price_items/search?utf8=%E2%9C%93&amp;oem=6554RGSE5RQZ","6554RGSE5RQZ")</f>
        <v>6554RGSE5RQZ</v>
      </c>
      <c r="B7010" s="1" t="s">
        <v>13354</v>
      </c>
      <c r="C7010" s="9" t="s">
        <v>511</v>
      </c>
      <c r="D7010" s="14" t="s">
        <v>13355</v>
      </c>
      <c r="E7010" s="9" t="s">
        <v>11</v>
      </c>
    </row>
    <row r="7011" spans="1:5" ht="15" customHeight="1" outlineLevel="2" x14ac:dyDescent="0.25">
      <c r="A7011" s="3" t="str">
        <f>HYPERLINK("http://mystore1.ru/price_items/search?utf8=%E2%9C%93&amp;oem=6554RGSH3FD","6554RGSH3FD")</f>
        <v>6554RGSH3FD</v>
      </c>
      <c r="B7011" s="1" t="s">
        <v>13356</v>
      </c>
      <c r="C7011" s="9" t="s">
        <v>511</v>
      </c>
      <c r="D7011" s="14" t="s">
        <v>13357</v>
      </c>
      <c r="E7011" s="9" t="s">
        <v>11</v>
      </c>
    </row>
    <row r="7012" spans="1:5" ht="15" customHeight="1" outlineLevel="2" x14ac:dyDescent="0.25">
      <c r="A7012" s="3" t="str">
        <f>HYPERLINK("http://mystore1.ru/price_items/search?utf8=%E2%9C%93&amp;oem=6554RGSH5FD","6554RGSH5FD")</f>
        <v>6554RGSH5FD</v>
      </c>
      <c r="B7012" s="1" t="s">
        <v>13358</v>
      </c>
      <c r="C7012" s="9" t="s">
        <v>511</v>
      </c>
      <c r="D7012" s="14" t="s">
        <v>13359</v>
      </c>
      <c r="E7012" s="9" t="s">
        <v>11</v>
      </c>
    </row>
    <row r="7013" spans="1:5" ht="15" customHeight="1" outlineLevel="2" x14ac:dyDescent="0.25">
      <c r="A7013" s="3" t="str">
        <f>HYPERLINK("http://mystore1.ru/price_items/search?utf8=%E2%9C%93&amp;oem=6554RGSH5FDKW","6554RGSH5FDKW")</f>
        <v>6554RGSH5FDKW</v>
      </c>
      <c r="B7013" s="1" t="s">
        <v>13360</v>
      </c>
      <c r="C7013" s="9" t="s">
        <v>511</v>
      </c>
      <c r="D7013" s="14" t="s">
        <v>13361</v>
      </c>
      <c r="E7013" s="9" t="s">
        <v>11</v>
      </c>
    </row>
    <row r="7014" spans="1:5" ht="15" customHeight="1" outlineLevel="2" x14ac:dyDescent="0.25">
      <c r="A7014" s="3" t="str">
        <f>HYPERLINK("http://mystore1.ru/price_items/search?utf8=%E2%9C%93&amp;oem=6554RGSH5RD","6554RGSH5RD")</f>
        <v>6554RGSH5RD</v>
      </c>
      <c r="B7014" s="1" t="s">
        <v>13362</v>
      </c>
      <c r="C7014" s="9" t="s">
        <v>511</v>
      </c>
      <c r="D7014" s="14" t="s">
        <v>13363</v>
      </c>
      <c r="E7014" s="9" t="s">
        <v>11</v>
      </c>
    </row>
    <row r="7015" spans="1:5" ht="15" customHeight="1" outlineLevel="2" x14ac:dyDescent="0.25">
      <c r="A7015" s="3" t="str">
        <f>HYPERLINK("http://mystore1.ru/price_items/search?utf8=%E2%9C%93&amp;oem=6554RGSS4RD","6554RGSS4RD")</f>
        <v>6554RGSS4RD</v>
      </c>
      <c r="B7015" s="1" t="s">
        <v>13364</v>
      </c>
      <c r="C7015" s="9" t="s">
        <v>511</v>
      </c>
      <c r="D7015" s="14" t="s">
        <v>13365</v>
      </c>
      <c r="E7015" s="9" t="s">
        <v>11</v>
      </c>
    </row>
    <row r="7016" spans="1:5" ht="15" customHeight="1" outlineLevel="2" x14ac:dyDescent="0.25">
      <c r="A7016" s="3" t="str">
        <f>HYPERLINK("http://mystore1.ru/price_items/search?utf8=%E2%9C%93&amp;oem=6554LGSS4RD","6554LGSS4RD")</f>
        <v>6554LGSS4RD</v>
      </c>
      <c r="B7016" s="1" t="s">
        <v>13366</v>
      </c>
      <c r="C7016" s="9" t="s">
        <v>511</v>
      </c>
      <c r="D7016" s="14" t="s">
        <v>13367</v>
      </c>
      <c r="E7016" s="9" t="s">
        <v>11</v>
      </c>
    </row>
    <row r="7017" spans="1:5" ht="15" customHeight="1" outlineLevel="2" x14ac:dyDescent="0.25">
      <c r="A7017" s="3" t="str">
        <f>HYPERLINK("http://mystore1.ru/price_items/search?utf8=%E2%9C%93&amp;oem=6554RGSS4FD","6554RGSS4FD")</f>
        <v>6554RGSS4FD</v>
      </c>
      <c r="B7017" s="1" t="s">
        <v>13368</v>
      </c>
      <c r="C7017" s="9" t="s">
        <v>511</v>
      </c>
      <c r="D7017" s="14" t="s">
        <v>13369</v>
      </c>
      <c r="E7017" s="9" t="s">
        <v>11</v>
      </c>
    </row>
    <row r="7018" spans="1:5" ht="15" customHeight="1" outlineLevel="2" x14ac:dyDescent="0.25">
      <c r="A7018" s="3" t="str">
        <f>HYPERLINK("http://mystore1.ru/price_items/search?utf8=%E2%9C%93&amp;oem=6554LGSS4FD","6554LGSS4FD")</f>
        <v>6554LGSS4FD</v>
      </c>
      <c r="B7018" s="1" t="s">
        <v>13370</v>
      </c>
      <c r="C7018" s="9" t="s">
        <v>511</v>
      </c>
      <c r="D7018" s="14" t="s">
        <v>13371</v>
      </c>
      <c r="E7018" s="9" t="s">
        <v>11</v>
      </c>
    </row>
    <row r="7019" spans="1:5" outlineLevel="1" x14ac:dyDescent="0.25">
      <c r="A7019" s="2"/>
      <c r="B7019" s="6" t="s">
        <v>13372</v>
      </c>
      <c r="C7019" s="8"/>
      <c r="D7019" s="8"/>
      <c r="E7019" s="8"/>
    </row>
    <row r="7020" spans="1:5" ht="15" customHeight="1" outlineLevel="2" x14ac:dyDescent="0.25">
      <c r="A7020" s="3" t="str">
        <f>HYPERLINK("http://mystore1.ru/price_items/search?utf8=%E2%9C%93&amp;oem=6516ABZ1C","6516ABZ1C")</f>
        <v>6516ABZ1C</v>
      </c>
      <c r="B7020" s="1" t="s">
        <v>13373</v>
      </c>
      <c r="C7020" s="9" t="s">
        <v>9250</v>
      </c>
      <c r="D7020" s="14" t="s">
        <v>13374</v>
      </c>
      <c r="E7020" s="9" t="s">
        <v>8</v>
      </c>
    </row>
    <row r="7021" spans="1:5" ht="15" customHeight="1" outlineLevel="2" x14ac:dyDescent="0.25">
      <c r="A7021" s="3" t="str">
        <f>HYPERLINK("http://mystore1.ru/price_items/search?utf8=%E2%9C%93&amp;oem=6516ABZBL","6516ABZBL")</f>
        <v>6516ABZBL</v>
      </c>
      <c r="B7021" s="1" t="s">
        <v>13375</v>
      </c>
      <c r="C7021" s="9" t="s">
        <v>9250</v>
      </c>
      <c r="D7021" s="14" t="s">
        <v>13376</v>
      </c>
      <c r="E7021" s="9" t="s">
        <v>8</v>
      </c>
    </row>
    <row r="7022" spans="1:5" ht="15" customHeight="1" outlineLevel="2" x14ac:dyDescent="0.25">
      <c r="A7022" s="3" t="str">
        <f>HYPERLINK("http://mystore1.ru/price_items/search?utf8=%E2%9C%93&amp;oem=6516ACL","6516ACL")</f>
        <v>6516ACL</v>
      </c>
      <c r="B7022" s="1" t="s">
        <v>13377</v>
      </c>
      <c r="C7022" s="9" t="s">
        <v>9250</v>
      </c>
      <c r="D7022" s="14" t="s">
        <v>13378</v>
      </c>
      <c r="E7022" s="9" t="s">
        <v>8</v>
      </c>
    </row>
    <row r="7023" spans="1:5" ht="15" customHeight="1" outlineLevel="2" x14ac:dyDescent="0.25">
      <c r="A7023" s="3" t="str">
        <f>HYPERLINK("http://mystore1.ru/price_items/search?utf8=%E2%9C%93&amp;oem=6516ASRH","6516ASRH")</f>
        <v>6516ASRH</v>
      </c>
      <c r="B7023" s="1" t="s">
        <v>13379</v>
      </c>
      <c r="C7023" s="9" t="s">
        <v>25</v>
      </c>
      <c r="D7023" s="14" t="s">
        <v>13380</v>
      </c>
      <c r="E7023" s="9" t="s">
        <v>27</v>
      </c>
    </row>
    <row r="7024" spans="1:5" ht="15" customHeight="1" outlineLevel="2" x14ac:dyDescent="0.25">
      <c r="A7024" s="3" t="str">
        <f>HYPERLINK("http://mystore1.ru/price_items/search?utf8=%E2%9C%93&amp;oem=6516LCLH3RQO","6516LCLH3RQO")</f>
        <v>6516LCLH3RQO</v>
      </c>
      <c r="B7024" s="1" t="s">
        <v>13381</v>
      </c>
      <c r="C7024" s="9" t="s">
        <v>9250</v>
      </c>
      <c r="D7024" s="14" t="s">
        <v>13382</v>
      </c>
      <c r="E7024" s="9" t="s">
        <v>11</v>
      </c>
    </row>
    <row r="7025" spans="1:5" outlineLevel="1" x14ac:dyDescent="0.25">
      <c r="A7025" s="2"/>
      <c r="B7025" s="6" t="s">
        <v>13383</v>
      </c>
      <c r="C7025" s="8"/>
      <c r="D7025" s="8"/>
      <c r="E7025" s="8"/>
    </row>
    <row r="7026" spans="1:5" ht="15" customHeight="1" outlineLevel="2" x14ac:dyDescent="0.25">
      <c r="A7026" s="3" t="str">
        <f>HYPERLINK("http://mystore1.ru/price_items/search?utf8=%E2%9C%93&amp;oem=6518ABZ1C","6518ABZ1C")</f>
        <v>6518ABZ1C</v>
      </c>
      <c r="B7026" s="1" t="s">
        <v>13384</v>
      </c>
      <c r="C7026" s="9" t="s">
        <v>11817</v>
      </c>
      <c r="D7026" s="14" t="s">
        <v>13385</v>
      </c>
      <c r="E7026" s="9" t="s">
        <v>8</v>
      </c>
    </row>
    <row r="7027" spans="1:5" ht="15" customHeight="1" outlineLevel="2" x14ac:dyDescent="0.25">
      <c r="A7027" s="3" t="str">
        <f>HYPERLINK("http://mystore1.ru/price_items/search?utf8=%E2%9C%93&amp;oem=6518ABZBL","6518ABZBL")</f>
        <v>6518ABZBL</v>
      </c>
      <c r="B7027" s="1" t="s">
        <v>13386</v>
      </c>
      <c r="C7027" s="9" t="s">
        <v>11817</v>
      </c>
      <c r="D7027" s="14" t="s">
        <v>13387</v>
      </c>
      <c r="E7027" s="9" t="s">
        <v>8</v>
      </c>
    </row>
    <row r="7028" spans="1:5" ht="15" customHeight="1" outlineLevel="2" x14ac:dyDescent="0.25">
      <c r="A7028" s="3" t="str">
        <f>HYPERLINK("http://mystore1.ru/price_items/search?utf8=%E2%9C%93&amp;oem=6518ACL","6518ACL")</f>
        <v>6518ACL</v>
      </c>
      <c r="B7028" s="1" t="s">
        <v>13388</v>
      </c>
      <c r="C7028" s="9" t="s">
        <v>11817</v>
      </c>
      <c r="D7028" s="14" t="s">
        <v>13389</v>
      </c>
      <c r="E7028" s="9" t="s">
        <v>8</v>
      </c>
    </row>
    <row r="7029" spans="1:5" ht="15" customHeight="1" outlineLevel="2" x14ac:dyDescent="0.25">
      <c r="A7029" s="3" t="str">
        <f>HYPERLINK("http://mystore1.ru/price_items/search?utf8=%E2%9C%93&amp;oem=6518AGN","6518AGN")</f>
        <v>6518AGN</v>
      </c>
      <c r="B7029" s="1" t="s">
        <v>13390</v>
      </c>
      <c r="C7029" s="9" t="s">
        <v>11817</v>
      </c>
      <c r="D7029" s="14" t="s">
        <v>13391</v>
      </c>
      <c r="E7029" s="9" t="s">
        <v>8</v>
      </c>
    </row>
    <row r="7030" spans="1:5" ht="15" customHeight="1" outlineLevel="2" x14ac:dyDescent="0.25">
      <c r="A7030" s="3" t="str">
        <f>HYPERLINK("http://mystore1.ru/price_items/search?utf8=%E2%9C%93&amp;oem=6518AGNGN","6518AGNGN")</f>
        <v>6518AGNGN</v>
      </c>
      <c r="B7030" s="1" t="s">
        <v>13392</v>
      </c>
      <c r="C7030" s="9" t="s">
        <v>11817</v>
      </c>
      <c r="D7030" s="14" t="s">
        <v>13393</v>
      </c>
      <c r="E7030" s="9" t="s">
        <v>8</v>
      </c>
    </row>
    <row r="7031" spans="1:5" ht="15" customHeight="1" outlineLevel="2" x14ac:dyDescent="0.25">
      <c r="A7031" s="3" t="str">
        <f>HYPERLINK("http://mystore1.ru/price_items/search?utf8=%E2%9C%93&amp;oem=6518ASMS","6518ASMS")</f>
        <v>6518ASMS</v>
      </c>
      <c r="B7031" s="1" t="s">
        <v>13394</v>
      </c>
      <c r="C7031" s="9" t="s">
        <v>25</v>
      </c>
      <c r="D7031" s="14" t="s">
        <v>13395</v>
      </c>
      <c r="E7031" s="9" t="s">
        <v>27</v>
      </c>
    </row>
    <row r="7032" spans="1:5" ht="15" customHeight="1" outlineLevel="2" x14ac:dyDescent="0.25">
      <c r="A7032" s="3" t="str">
        <f>HYPERLINK("http://mystore1.ru/price_items/search?utf8=%E2%9C%93&amp;oem=6518BCLE","6518BCLE")</f>
        <v>6518BCLE</v>
      </c>
      <c r="B7032" s="1" t="s">
        <v>13396</v>
      </c>
      <c r="C7032" s="9" t="s">
        <v>11817</v>
      </c>
      <c r="D7032" s="14" t="s">
        <v>13397</v>
      </c>
      <c r="E7032" s="9" t="s">
        <v>30</v>
      </c>
    </row>
    <row r="7033" spans="1:5" ht="15" customHeight="1" outlineLevel="2" x14ac:dyDescent="0.25">
      <c r="A7033" s="3" t="str">
        <f>HYPERLINK("http://mystore1.ru/price_items/search?utf8=%E2%9C%93&amp;oem=6518BCLS","6518BCLS")</f>
        <v>6518BCLS</v>
      </c>
      <c r="B7033" s="1" t="s">
        <v>13398</v>
      </c>
      <c r="C7033" s="9" t="s">
        <v>11817</v>
      </c>
      <c r="D7033" s="14" t="s">
        <v>13399</v>
      </c>
      <c r="E7033" s="9" t="s">
        <v>30</v>
      </c>
    </row>
    <row r="7034" spans="1:5" ht="15" customHeight="1" outlineLevel="2" x14ac:dyDescent="0.25">
      <c r="A7034" s="3" t="str">
        <f>HYPERLINK("http://mystore1.ru/price_items/search?utf8=%E2%9C%93&amp;oem=6518BGNE","6518BGNE")</f>
        <v>6518BGNE</v>
      </c>
      <c r="B7034" s="1" t="s">
        <v>13400</v>
      </c>
      <c r="C7034" s="9" t="s">
        <v>11817</v>
      </c>
      <c r="D7034" s="14" t="s">
        <v>13401</v>
      </c>
      <c r="E7034" s="9" t="s">
        <v>30</v>
      </c>
    </row>
    <row r="7035" spans="1:5" ht="15" customHeight="1" outlineLevel="2" x14ac:dyDescent="0.25">
      <c r="A7035" s="3" t="str">
        <f>HYPERLINK("http://mystore1.ru/price_items/search?utf8=%E2%9C%93&amp;oem=6518BGNS","6518BGNS")</f>
        <v>6518BGNS</v>
      </c>
      <c r="B7035" s="1" t="s">
        <v>13402</v>
      </c>
      <c r="C7035" s="9" t="s">
        <v>11817</v>
      </c>
      <c r="D7035" s="14" t="s">
        <v>13403</v>
      </c>
      <c r="E7035" s="9" t="s">
        <v>30</v>
      </c>
    </row>
    <row r="7036" spans="1:5" ht="15" customHeight="1" outlineLevel="2" x14ac:dyDescent="0.25">
      <c r="A7036" s="3" t="str">
        <f>HYPERLINK("http://mystore1.ru/price_items/search?utf8=%E2%9C%93&amp;oem=6518BSMS","6518BSMS")</f>
        <v>6518BSMS</v>
      </c>
      <c r="B7036" s="1" t="s">
        <v>13404</v>
      </c>
      <c r="C7036" s="9" t="s">
        <v>25</v>
      </c>
      <c r="D7036" s="14" t="s">
        <v>13405</v>
      </c>
      <c r="E7036" s="9" t="s">
        <v>27</v>
      </c>
    </row>
    <row r="7037" spans="1:5" ht="15" customHeight="1" outlineLevel="2" x14ac:dyDescent="0.25">
      <c r="A7037" s="3" t="str">
        <f>HYPERLINK("http://mystore1.ru/price_items/search?utf8=%E2%9C%93&amp;oem=6518LBZS4FD","6518LBZS4FD")</f>
        <v>6518LBZS4FD</v>
      </c>
      <c r="B7037" s="1" t="s">
        <v>13406</v>
      </c>
      <c r="C7037" s="9" t="s">
        <v>11817</v>
      </c>
      <c r="D7037" s="14" t="s">
        <v>13407</v>
      </c>
      <c r="E7037" s="9" t="s">
        <v>11</v>
      </c>
    </row>
    <row r="7038" spans="1:5" ht="15" customHeight="1" outlineLevel="2" x14ac:dyDescent="0.25">
      <c r="A7038" s="3" t="str">
        <f>HYPERLINK("http://mystore1.ru/price_items/search?utf8=%E2%9C%93&amp;oem=6518LBZS4RV","6518LBZS4RV")</f>
        <v>6518LBZS4RV</v>
      </c>
      <c r="B7038" s="1" t="s">
        <v>13408</v>
      </c>
      <c r="C7038" s="9" t="s">
        <v>11817</v>
      </c>
      <c r="D7038" s="14" t="s">
        <v>13409</v>
      </c>
      <c r="E7038" s="9" t="s">
        <v>11</v>
      </c>
    </row>
    <row r="7039" spans="1:5" ht="15" customHeight="1" outlineLevel="2" x14ac:dyDescent="0.25">
      <c r="A7039" s="3" t="str">
        <f>HYPERLINK("http://mystore1.ru/price_items/search?utf8=%E2%9C%93&amp;oem=6518LCLE5RV","6518LCLE5RV")</f>
        <v>6518LCLE5RV</v>
      </c>
      <c r="B7039" s="1" t="s">
        <v>13410</v>
      </c>
      <c r="C7039" s="9" t="s">
        <v>11817</v>
      </c>
      <c r="D7039" s="14" t="s">
        <v>13411</v>
      </c>
      <c r="E7039" s="9" t="s">
        <v>11</v>
      </c>
    </row>
    <row r="7040" spans="1:5" ht="15" customHeight="1" outlineLevel="2" x14ac:dyDescent="0.25">
      <c r="A7040" s="3" t="str">
        <f>HYPERLINK("http://mystore1.ru/price_items/search?utf8=%E2%9C%93&amp;oem=6518LCLS4FD","6518LCLS4FD")</f>
        <v>6518LCLS4FD</v>
      </c>
      <c r="B7040" s="1" t="s">
        <v>13412</v>
      </c>
      <c r="C7040" s="9" t="s">
        <v>11817</v>
      </c>
      <c r="D7040" s="14" t="s">
        <v>13413</v>
      </c>
      <c r="E7040" s="9" t="s">
        <v>11</v>
      </c>
    </row>
    <row r="7041" spans="1:5" ht="15" customHeight="1" outlineLevel="2" x14ac:dyDescent="0.25">
      <c r="A7041" s="3" t="str">
        <f>HYPERLINK("http://mystore1.ru/price_items/search?utf8=%E2%9C%93&amp;oem=6518LCLS4RD","6518LCLS4RD")</f>
        <v>6518LCLS4RD</v>
      </c>
      <c r="B7041" s="1" t="s">
        <v>13414</v>
      </c>
      <c r="C7041" s="9" t="s">
        <v>11817</v>
      </c>
      <c r="D7041" s="14" t="s">
        <v>13415</v>
      </c>
      <c r="E7041" s="9" t="s">
        <v>11</v>
      </c>
    </row>
    <row r="7042" spans="1:5" ht="15" customHeight="1" outlineLevel="2" x14ac:dyDescent="0.25">
      <c r="A7042" s="3" t="str">
        <f>HYPERLINK("http://mystore1.ru/price_items/search?utf8=%E2%9C%93&amp;oem=6518LCLS4RV","6518LCLS4RV")</f>
        <v>6518LCLS4RV</v>
      </c>
      <c r="B7042" s="1" t="s">
        <v>13416</v>
      </c>
      <c r="C7042" s="9" t="s">
        <v>11817</v>
      </c>
      <c r="D7042" s="14" t="s">
        <v>13417</v>
      </c>
      <c r="E7042" s="9" t="s">
        <v>11</v>
      </c>
    </row>
    <row r="7043" spans="1:5" ht="15" customHeight="1" outlineLevel="2" x14ac:dyDescent="0.25">
      <c r="A7043" s="3" t="str">
        <f>HYPERLINK("http://mystore1.ru/price_items/search?utf8=%E2%9C%93&amp;oem=6518LGNE5RD","6518LGNE5RD")</f>
        <v>6518LGNE5RD</v>
      </c>
      <c r="B7043" s="1" t="s">
        <v>13418</v>
      </c>
      <c r="C7043" s="9" t="s">
        <v>11817</v>
      </c>
      <c r="D7043" s="14" t="s">
        <v>13419</v>
      </c>
      <c r="E7043" s="9" t="s">
        <v>11</v>
      </c>
    </row>
    <row r="7044" spans="1:5" ht="15" customHeight="1" outlineLevel="2" x14ac:dyDescent="0.25">
      <c r="A7044" s="3" t="str">
        <f>HYPERLINK("http://mystore1.ru/price_items/search?utf8=%E2%9C%93&amp;oem=6518LGNE5RQ","6518LGNE5RQ")</f>
        <v>6518LGNE5RQ</v>
      </c>
      <c r="B7044" s="1" t="s">
        <v>13420</v>
      </c>
      <c r="C7044" s="9" t="s">
        <v>11817</v>
      </c>
      <c r="D7044" s="14" t="s">
        <v>13421</v>
      </c>
      <c r="E7044" s="9" t="s">
        <v>11</v>
      </c>
    </row>
    <row r="7045" spans="1:5" ht="15" customHeight="1" outlineLevel="2" x14ac:dyDescent="0.25">
      <c r="A7045" s="3" t="str">
        <f>HYPERLINK("http://mystore1.ru/price_items/search?utf8=%E2%9C%93&amp;oem=6518LGNE5RV","6518LGNE5RV")</f>
        <v>6518LGNE5RV</v>
      </c>
      <c r="B7045" s="1" t="s">
        <v>13422</v>
      </c>
      <c r="C7045" s="9" t="s">
        <v>11817</v>
      </c>
      <c r="D7045" s="14" t="s">
        <v>13423</v>
      </c>
      <c r="E7045" s="9" t="s">
        <v>11</v>
      </c>
    </row>
    <row r="7046" spans="1:5" ht="15" customHeight="1" outlineLevel="2" x14ac:dyDescent="0.25">
      <c r="A7046" s="3" t="str">
        <f>HYPERLINK("http://mystore1.ru/price_items/search?utf8=%E2%9C%93&amp;oem=6518LGNS4FD","6518LGNS4FD")</f>
        <v>6518LGNS4FD</v>
      </c>
      <c r="B7046" s="1" t="s">
        <v>13424</v>
      </c>
      <c r="C7046" s="9" t="s">
        <v>11817</v>
      </c>
      <c r="D7046" s="14" t="s">
        <v>13425</v>
      </c>
      <c r="E7046" s="9" t="s">
        <v>11</v>
      </c>
    </row>
    <row r="7047" spans="1:5" ht="15" customHeight="1" outlineLevel="2" x14ac:dyDescent="0.25">
      <c r="A7047" s="3" t="str">
        <f>HYPERLINK("http://mystore1.ru/price_items/search?utf8=%E2%9C%93&amp;oem=6518LGNS4RD","6518LGNS4RD")</f>
        <v>6518LGNS4RD</v>
      </c>
      <c r="B7047" s="1" t="s">
        <v>13426</v>
      </c>
      <c r="C7047" s="9" t="s">
        <v>11817</v>
      </c>
      <c r="D7047" s="14" t="s">
        <v>13427</v>
      </c>
      <c r="E7047" s="9" t="s">
        <v>11</v>
      </c>
    </row>
    <row r="7048" spans="1:5" ht="15" customHeight="1" outlineLevel="2" x14ac:dyDescent="0.25">
      <c r="A7048" s="3" t="str">
        <f>HYPERLINK("http://mystore1.ru/price_items/search?utf8=%E2%9C%93&amp;oem=6518LGNS4RV","6518LGNS4RV")</f>
        <v>6518LGNS4RV</v>
      </c>
      <c r="B7048" s="1" t="s">
        <v>13428</v>
      </c>
      <c r="C7048" s="9" t="s">
        <v>11817</v>
      </c>
      <c r="D7048" s="14" t="s">
        <v>13429</v>
      </c>
      <c r="E7048" s="9" t="s">
        <v>11</v>
      </c>
    </row>
    <row r="7049" spans="1:5" ht="15" customHeight="1" outlineLevel="2" x14ac:dyDescent="0.25">
      <c r="A7049" s="3" t="str">
        <f>HYPERLINK("http://mystore1.ru/price_items/search?utf8=%E2%9C%93&amp;oem=6518RBZE5RV","6518RBZE5RV")</f>
        <v>6518RBZE5RV</v>
      </c>
      <c r="B7049" s="1" t="s">
        <v>13430</v>
      </c>
      <c r="C7049" s="9" t="s">
        <v>11817</v>
      </c>
      <c r="D7049" s="14" t="s">
        <v>13431</v>
      </c>
      <c r="E7049" s="9" t="s">
        <v>11</v>
      </c>
    </row>
    <row r="7050" spans="1:5" ht="15" customHeight="1" outlineLevel="2" x14ac:dyDescent="0.25">
      <c r="A7050" s="3" t="str">
        <f>HYPERLINK("http://mystore1.ru/price_items/search?utf8=%E2%9C%93&amp;oem=6518RBZS4FD","6518RBZS4FD")</f>
        <v>6518RBZS4FD</v>
      </c>
      <c r="B7050" s="1" t="s">
        <v>13432</v>
      </c>
      <c r="C7050" s="9" t="s">
        <v>11817</v>
      </c>
      <c r="D7050" s="14" t="s">
        <v>13433</v>
      </c>
      <c r="E7050" s="9" t="s">
        <v>11</v>
      </c>
    </row>
    <row r="7051" spans="1:5" ht="15" customHeight="1" outlineLevel="2" x14ac:dyDescent="0.25">
      <c r="A7051" s="3" t="str">
        <f>HYPERLINK("http://mystore1.ru/price_items/search?utf8=%E2%9C%93&amp;oem=6518RBZS4RV","6518RBZS4RV")</f>
        <v>6518RBZS4RV</v>
      </c>
      <c r="B7051" s="1" t="s">
        <v>13434</v>
      </c>
      <c r="C7051" s="9" t="s">
        <v>11817</v>
      </c>
      <c r="D7051" s="14" t="s">
        <v>13435</v>
      </c>
      <c r="E7051" s="9" t="s">
        <v>11</v>
      </c>
    </row>
    <row r="7052" spans="1:5" ht="15" customHeight="1" outlineLevel="2" x14ac:dyDescent="0.25">
      <c r="A7052" s="3" t="str">
        <f>HYPERLINK("http://mystore1.ru/price_items/search?utf8=%E2%9C%93&amp;oem=6518RCLE5RV","6518RCLE5RV")</f>
        <v>6518RCLE5RV</v>
      </c>
      <c r="B7052" s="1" t="s">
        <v>13436</v>
      </c>
      <c r="C7052" s="9" t="s">
        <v>11817</v>
      </c>
      <c r="D7052" s="14" t="s">
        <v>13437</v>
      </c>
      <c r="E7052" s="9" t="s">
        <v>11</v>
      </c>
    </row>
    <row r="7053" spans="1:5" ht="15" customHeight="1" outlineLevel="2" x14ac:dyDescent="0.25">
      <c r="A7053" s="3" t="str">
        <f>HYPERLINK("http://mystore1.ru/price_items/search?utf8=%E2%9C%93&amp;oem=6518RCLS4FD","6518RCLS4FD")</f>
        <v>6518RCLS4FD</v>
      </c>
      <c r="B7053" s="1" t="s">
        <v>13438</v>
      </c>
      <c r="C7053" s="9" t="s">
        <v>11817</v>
      </c>
      <c r="D7053" s="14" t="s">
        <v>13439</v>
      </c>
      <c r="E7053" s="9" t="s">
        <v>11</v>
      </c>
    </row>
    <row r="7054" spans="1:5" ht="15" customHeight="1" outlineLevel="2" x14ac:dyDescent="0.25">
      <c r="A7054" s="3" t="str">
        <f>HYPERLINK("http://mystore1.ru/price_items/search?utf8=%E2%9C%93&amp;oem=6518RCLS4RD","6518RCLS4RD")</f>
        <v>6518RCLS4RD</v>
      </c>
      <c r="B7054" s="1" t="s">
        <v>13440</v>
      </c>
      <c r="C7054" s="9" t="s">
        <v>11817</v>
      </c>
      <c r="D7054" s="14" t="s">
        <v>13441</v>
      </c>
      <c r="E7054" s="9" t="s">
        <v>11</v>
      </c>
    </row>
    <row r="7055" spans="1:5" ht="15" customHeight="1" outlineLevel="2" x14ac:dyDescent="0.25">
      <c r="A7055" s="3" t="str">
        <f>HYPERLINK("http://mystore1.ru/price_items/search?utf8=%E2%9C%93&amp;oem=6518RCLS4RV","6518RCLS4RV")</f>
        <v>6518RCLS4RV</v>
      </c>
      <c r="B7055" s="1" t="s">
        <v>13442</v>
      </c>
      <c r="C7055" s="9" t="s">
        <v>11817</v>
      </c>
      <c r="D7055" s="14" t="s">
        <v>13443</v>
      </c>
      <c r="E7055" s="9" t="s">
        <v>11</v>
      </c>
    </row>
    <row r="7056" spans="1:5" ht="15" customHeight="1" outlineLevel="2" x14ac:dyDescent="0.25">
      <c r="A7056" s="3" t="str">
        <f>HYPERLINK("http://mystore1.ru/price_items/search?utf8=%E2%9C%93&amp;oem=6518RGNE5RD","6518RGNE5RD")</f>
        <v>6518RGNE5RD</v>
      </c>
      <c r="B7056" s="1" t="s">
        <v>13444</v>
      </c>
      <c r="C7056" s="9" t="s">
        <v>11817</v>
      </c>
      <c r="D7056" s="14" t="s">
        <v>13445</v>
      </c>
      <c r="E7056" s="9" t="s">
        <v>11</v>
      </c>
    </row>
    <row r="7057" spans="1:5" ht="15" customHeight="1" outlineLevel="2" x14ac:dyDescent="0.25">
      <c r="A7057" s="3" t="str">
        <f>HYPERLINK("http://mystore1.ru/price_items/search?utf8=%E2%9C%93&amp;oem=6518RGNE5RQ","6518RGNE5RQ")</f>
        <v>6518RGNE5RQ</v>
      </c>
      <c r="B7057" s="1" t="s">
        <v>13446</v>
      </c>
      <c r="C7057" s="9" t="s">
        <v>11817</v>
      </c>
      <c r="D7057" s="14" t="s">
        <v>13447</v>
      </c>
      <c r="E7057" s="9" t="s">
        <v>11</v>
      </c>
    </row>
    <row r="7058" spans="1:5" ht="15" customHeight="1" outlineLevel="2" x14ac:dyDescent="0.25">
      <c r="A7058" s="3" t="str">
        <f>HYPERLINK("http://mystore1.ru/price_items/search?utf8=%E2%9C%93&amp;oem=6518RGNE5RV","6518RGNE5RV")</f>
        <v>6518RGNE5RV</v>
      </c>
      <c r="B7058" s="1" t="s">
        <v>13448</v>
      </c>
      <c r="C7058" s="9" t="s">
        <v>11817</v>
      </c>
      <c r="D7058" s="14" t="s">
        <v>13449</v>
      </c>
      <c r="E7058" s="9" t="s">
        <v>11</v>
      </c>
    </row>
    <row r="7059" spans="1:5" ht="15" customHeight="1" outlineLevel="2" x14ac:dyDescent="0.25">
      <c r="A7059" s="3" t="str">
        <f>HYPERLINK("http://mystore1.ru/price_items/search?utf8=%E2%9C%93&amp;oem=6518RGNS4FD","6518RGNS4FD")</f>
        <v>6518RGNS4FD</v>
      </c>
      <c r="B7059" s="1" t="s">
        <v>13450</v>
      </c>
      <c r="C7059" s="9" t="s">
        <v>11817</v>
      </c>
      <c r="D7059" s="14" t="s">
        <v>13451</v>
      </c>
      <c r="E7059" s="9" t="s">
        <v>11</v>
      </c>
    </row>
    <row r="7060" spans="1:5" ht="15" customHeight="1" outlineLevel="2" x14ac:dyDescent="0.25">
      <c r="A7060" s="3" t="str">
        <f>HYPERLINK("http://mystore1.ru/price_items/search?utf8=%E2%9C%93&amp;oem=6518RGNS4RD","6518RGNS4RD")</f>
        <v>6518RGNS4RD</v>
      </c>
      <c r="B7060" s="1" t="s">
        <v>13452</v>
      </c>
      <c r="C7060" s="9" t="s">
        <v>11817</v>
      </c>
      <c r="D7060" s="14" t="s">
        <v>13453</v>
      </c>
      <c r="E7060" s="9" t="s">
        <v>11</v>
      </c>
    </row>
    <row r="7061" spans="1:5" ht="15" customHeight="1" outlineLevel="2" x14ac:dyDescent="0.25">
      <c r="A7061" s="3" t="str">
        <f>HYPERLINK("http://mystore1.ru/price_items/search?utf8=%E2%9C%93&amp;oem=6518RGNS4RV","6518RGNS4RV")</f>
        <v>6518RGNS4RV</v>
      </c>
      <c r="B7061" s="1" t="s">
        <v>13454</v>
      </c>
      <c r="C7061" s="9" t="s">
        <v>11817</v>
      </c>
      <c r="D7061" s="14" t="s">
        <v>13455</v>
      </c>
      <c r="E7061" s="9" t="s">
        <v>11</v>
      </c>
    </row>
    <row r="7062" spans="1:5" outlineLevel="1" x14ac:dyDescent="0.25">
      <c r="A7062" s="2"/>
      <c r="B7062" s="6" t="s">
        <v>13456</v>
      </c>
      <c r="C7062" s="8"/>
      <c r="D7062" s="8"/>
      <c r="E7062" s="8"/>
    </row>
    <row r="7063" spans="1:5" ht="15" customHeight="1" outlineLevel="2" x14ac:dyDescent="0.25">
      <c r="A7063" s="3" t="str">
        <f>HYPERLINK("http://mystore1.ru/price_items/search?utf8=%E2%9C%93&amp;oem=6525ACCMV1T","6525ACCMV1T")</f>
        <v>6525ACCMV1T</v>
      </c>
      <c r="B7063" s="1" t="s">
        <v>13457</v>
      </c>
      <c r="C7063" s="9" t="s">
        <v>4837</v>
      </c>
      <c r="D7063" s="14" t="s">
        <v>13458</v>
      </c>
      <c r="E7063" s="9" t="s">
        <v>8</v>
      </c>
    </row>
    <row r="7064" spans="1:5" ht="15" customHeight="1" outlineLevel="2" x14ac:dyDescent="0.25">
      <c r="A7064" s="3" t="str">
        <f>HYPERLINK("http://mystore1.ru/price_items/search?utf8=%E2%9C%93&amp;oem=6525ACLV","6525ACLV")</f>
        <v>6525ACLV</v>
      </c>
      <c r="B7064" s="1" t="s">
        <v>13459</v>
      </c>
      <c r="C7064" s="9" t="s">
        <v>234</v>
      </c>
      <c r="D7064" s="14" t="s">
        <v>13460</v>
      </c>
      <c r="E7064" s="9" t="s">
        <v>8</v>
      </c>
    </row>
    <row r="7065" spans="1:5" ht="15" customHeight="1" outlineLevel="2" x14ac:dyDescent="0.25">
      <c r="A7065" s="3" t="str">
        <f>HYPERLINK("http://mystore1.ru/price_items/search?utf8=%E2%9C%93&amp;oem=6525AGNGNV","6525AGNGNV")</f>
        <v>6525AGNGNV</v>
      </c>
      <c r="B7065" s="1" t="s">
        <v>13461</v>
      </c>
      <c r="C7065" s="9" t="s">
        <v>234</v>
      </c>
      <c r="D7065" s="14" t="s">
        <v>13462</v>
      </c>
      <c r="E7065" s="9" t="s">
        <v>8</v>
      </c>
    </row>
    <row r="7066" spans="1:5" ht="15" customHeight="1" outlineLevel="2" x14ac:dyDescent="0.25">
      <c r="A7066" s="3" t="str">
        <f>HYPERLINK("http://mystore1.ru/price_items/search?utf8=%E2%9C%93&amp;oem=6525AGNMV","6525AGNMV")</f>
        <v>6525AGNMV</v>
      </c>
      <c r="B7066" s="1" t="s">
        <v>13463</v>
      </c>
      <c r="C7066" s="9" t="s">
        <v>234</v>
      </c>
      <c r="D7066" s="14" t="s">
        <v>13464</v>
      </c>
      <c r="E7066" s="9" t="s">
        <v>8</v>
      </c>
    </row>
    <row r="7067" spans="1:5" ht="15" customHeight="1" outlineLevel="2" x14ac:dyDescent="0.25">
      <c r="A7067" s="3" t="str">
        <f>HYPERLINK("http://mystore1.ru/price_items/search?utf8=%E2%9C%93&amp;oem=6525AGNV","6525AGNV")</f>
        <v>6525AGNV</v>
      </c>
      <c r="B7067" s="1" t="s">
        <v>13465</v>
      </c>
      <c r="C7067" s="9" t="s">
        <v>234</v>
      </c>
      <c r="D7067" s="14" t="s">
        <v>13466</v>
      </c>
      <c r="E7067" s="9" t="s">
        <v>8</v>
      </c>
    </row>
    <row r="7068" spans="1:5" ht="15" customHeight="1" outlineLevel="2" x14ac:dyDescent="0.25">
      <c r="A7068" s="3" t="str">
        <f>HYPERLINK("http://mystore1.ru/price_items/search?utf8=%E2%9C%93&amp;oem=6525AKMST","6525AKMST")</f>
        <v>6525AKMST</v>
      </c>
      <c r="B7068" s="1" t="s">
        <v>13467</v>
      </c>
      <c r="C7068" s="9" t="s">
        <v>25</v>
      </c>
      <c r="D7068" s="14" t="s">
        <v>13468</v>
      </c>
      <c r="E7068" s="9" t="s">
        <v>27</v>
      </c>
    </row>
    <row r="7069" spans="1:5" ht="15" customHeight="1" outlineLevel="2" x14ac:dyDescent="0.25">
      <c r="A7069" s="3" t="str">
        <f>HYPERLINK("http://mystore1.ru/price_items/search?utf8=%E2%9C%93&amp;oem=6525ASMST","6525ASMST")</f>
        <v>6525ASMST</v>
      </c>
      <c r="B7069" s="1" t="s">
        <v>13469</v>
      </c>
      <c r="C7069" s="9" t="s">
        <v>25</v>
      </c>
      <c r="D7069" s="14" t="s">
        <v>13470</v>
      </c>
      <c r="E7069" s="9" t="s">
        <v>27</v>
      </c>
    </row>
    <row r="7070" spans="1:5" ht="15" customHeight="1" outlineLevel="2" x14ac:dyDescent="0.25">
      <c r="A7070" s="3" t="str">
        <f>HYPERLINK("http://mystore1.ru/price_items/search?utf8=%E2%9C%93&amp;oem=6525BCLE","6525BCLE")</f>
        <v>6525BCLE</v>
      </c>
      <c r="B7070" s="1" t="s">
        <v>13471</v>
      </c>
      <c r="C7070" s="9" t="s">
        <v>2789</v>
      </c>
      <c r="D7070" s="14" t="s">
        <v>13472</v>
      </c>
      <c r="E7070" s="9" t="s">
        <v>30</v>
      </c>
    </row>
    <row r="7071" spans="1:5" ht="15" customHeight="1" outlineLevel="2" x14ac:dyDescent="0.25">
      <c r="A7071" s="3" t="str">
        <f>HYPERLINK("http://mystore1.ru/price_items/search?utf8=%E2%9C%93&amp;oem=6525BGNE","6525BGNE")</f>
        <v>6525BGNE</v>
      </c>
      <c r="B7071" s="1" t="s">
        <v>13473</v>
      </c>
      <c r="C7071" s="9" t="s">
        <v>2789</v>
      </c>
      <c r="D7071" s="14" t="s">
        <v>13474</v>
      </c>
      <c r="E7071" s="9" t="s">
        <v>30</v>
      </c>
    </row>
    <row r="7072" spans="1:5" ht="15" customHeight="1" outlineLevel="2" x14ac:dyDescent="0.25">
      <c r="A7072" s="3" t="str">
        <f>HYPERLINK("http://mystore1.ru/price_items/search?utf8=%E2%9C%93&amp;oem=6525BGNSBW","6525BGNSBW")</f>
        <v>6525BGNSBW</v>
      </c>
      <c r="B7072" s="1" t="s">
        <v>13475</v>
      </c>
      <c r="C7072" s="9" t="s">
        <v>234</v>
      </c>
      <c r="D7072" s="14" t="s">
        <v>13476</v>
      </c>
      <c r="E7072" s="9" t="s">
        <v>30</v>
      </c>
    </row>
    <row r="7073" spans="1:5" ht="15" customHeight="1" outlineLevel="2" x14ac:dyDescent="0.25">
      <c r="A7073" s="3" t="str">
        <f>HYPERLINK("http://mystore1.ru/price_items/search?utf8=%E2%9C%93&amp;oem=6525BGNSBW1H","6525BGNSBW1H")</f>
        <v>6525BGNSBW1H</v>
      </c>
      <c r="B7073" s="1" t="s">
        <v>13477</v>
      </c>
      <c r="C7073" s="9" t="s">
        <v>234</v>
      </c>
      <c r="D7073" s="14" t="s">
        <v>13478</v>
      </c>
      <c r="E7073" s="9" t="s">
        <v>30</v>
      </c>
    </row>
    <row r="7074" spans="1:5" ht="15" customHeight="1" outlineLevel="2" x14ac:dyDescent="0.25">
      <c r="A7074" s="3" t="str">
        <f>HYPERLINK("http://mystore1.ru/price_items/search?utf8=%E2%9C%93&amp;oem=6525BGPE","6525BGPE")</f>
        <v>6525BGPE</v>
      </c>
      <c r="B7074" s="1" t="s">
        <v>13479</v>
      </c>
      <c r="C7074" s="9" t="s">
        <v>567</v>
      </c>
      <c r="D7074" s="14" t="s">
        <v>13480</v>
      </c>
      <c r="E7074" s="9" t="s">
        <v>30</v>
      </c>
    </row>
    <row r="7075" spans="1:5" ht="15" customHeight="1" outlineLevel="2" x14ac:dyDescent="0.25">
      <c r="A7075" s="3" t="str">
        <f>HYPERLINK("http://mystore1.ru/price_items/search?utf8=%E2%9C%93&amp;oem=6525LCLS4FD","6525LCLS4FD")</f>
        <v>6525LCLS4FD</v>
      </c>
      <c r="B7075" s="1" t="s">
        <v>13481</v>
      </c>
      <c r="C7075" s="9" t="s">
        <v>234</v>
      </c>
      <c r="D7075" s="14" t="s">
        <v>13482</v>
      </c>
      <c r="E7075" s="9" t="s">
        <v>11</v>
      </c>
    </row>
    <row r="7076" spans="1:5" ht="15" customHeight="1" outlineLevel="2" x14ac:dyDescent="0.25">
      <c r="A7076" s="3" t="str">
        <f>HYPERLINK("http://mystore1.ru/price_items/search?utf8=%E2%9C%93&amp;oem=6525LCLS4RV","6525LCLS4RV")</f>
        <v>6525LCLS4RV</v>
      </c>
      <c r="B7076" s="1" t="s">
        <v>13483</v>
      </c>
      <c r="C7076" s="9" t="s">
        <v>234</v>
      </c>
      <c r="D7076" s="14" t="s">
        <v>13484</v>
      </c>
      <c r="E7076" s="9" t="s">
        <v>11</v>
      </c>
    </row>
    <row r="7077" spans="1:5" ht="15" customHeight="1" outlineLevel="2" x14ac:dyDescent="0.25">
      <c r="A7077" s="3" t="str">
        <f>HYPERLINK("http://mystore1.ru/price_items/search?utf8=%E2%9C%93&amp;oem=6525LGNE5RD","6525LGNE5RD")</f>
        <v>6525LGNE5RD</v>
      </c>
      <c r="B7077" s="1" t="s">
        <v>13485</v>
      </c>
      <c r="C7077" s="9" t="s">
        <v>2789</v>
      </c>
      <c r="D7077" s="14" t="s">
        <v>13486</v>
      </c>
      <c r="E7077" s="9" t="s">
        <v>11</v>
      </c>
    </row>
    <row r="7078" spans="1:5" ht="15" customHeight="1" outlineLevel="2" x14ac:dyDescent="0.25">
      <c r="A7078" s="3" t="str">
        <f>HYPERLINK("http://mystore1.ru/price_items/search?utf8=%E2%9C%93&amp;oem=6525LGNE5RQZ","6525LGNE5RQZ")</f>
        <v>6525LGNE5RQZ</v>
      </c>
      <c r="B7078" s="1" t="s">
        <v>13487</v>
      </c>
      <c r="C7078" s="9" t="s">
        <v>2789</v>
      </c>
      <c r="D7078" s="14" t="s">
        <v>13488</v>
      </c>
      <c r="E7078" s="9" t="s">
        <v>11</v>
      </c>
    </row>
    <row r="7079" spans="1:5" ht="15" customHeight="1" outlineLevel="2" x14ac:dyDescent="0.25">
      <c r="A7079" s="3" t="str">
        <f>HYPERLINK("http://mystore1.ru/price_items/search?utf8=%E2%9C%93&amp;oem=6525LGNE5RV","6525LGNE5RV")</f>
        <v>6525LGNE5RV</v>
      </c>
      <c r="B7079" s="1" t="s">
        <v>13489</v>
      </c>
      <c r="C7079" s="9" t="s">
        <v>2789</v>
      </c>
      <c r="D7079" s="14" t="s">
        <v>13490</v>
      </c>
      <c r="E7079" s="9" t="s">
        <v>11</v>
      </c>
    </row>
    <row r="7080" spans="1:5" ht="15" customHeight="1" outlineLevel="2" x14ac:dyDescent="0.25">
      <c r="A7080" s="3" t="str">
        <f>HYPERLINK("http://mystore1.ru/price_items/search?utf8=%E2%9C%93&amp;oem=6525LGNS4FD","6525LGNS4FD")</f>
        <v>6525LGNS4FD</v>
      </c>
      <c r="B7080" s="1" t="s">
        <v>13491</v>
      </c>
      <c r="C7080" s="9" t="s">
        <v>234</v>
      </c>
      <c r="D7080" s="14" t="s">
        <v>13492</v>
      </c>
      <c r="E7080" s="9" t="s">
        <v>11</v>
      </c>
    </row>
    <row r="7081" spans="1:5" ht="15" customHeight="1" outlineLevel="2" x14ac:dyDescent="0.25">
      <c r="A7081" s="3" t="str">
        <f>HYPERLINK("http://mystore1.ru/price_items/search?utf8=%E2%9C%93&amp;oem=6525LGNS4RD","6525LGNS4RD")</f>
        <v>6525LGNS4RD</v>
      </c>
      <c r="B7081" s="1" t="s">
        <v>13493</v>
      </c>
      <c r="C7081" s="9" t="s">
        <v>234</v>
      </c>
      <c r="D7081" s="14" t="s">
        <v>13494</v>
      </c>
      <c r="E7081" s="9" t="s">
        <v>11</v>
      </c>
    </row>
    <row r="7082" spans="1:5" ht="15" customHeight="1" outlineLevel="2" x14ac:dyDescent="0.25">
      <c r="A7082" s="3" t="str">
        <f>HYPERLINK("http://mystore1.ru/price_items/search?utf8=%E2%9C%93&amp;oem=6525LGNS4RV","6525LGNS4RV")</f>
        <v>6525LGNS4RV</v>
      </c>
      <c r="B7082" s="1" t="s">
        <v>13495</v>
      </c>
      <c r="C7082" s="9" t="s">
        <v>234</v>
      </c>
      <c r="D7082" s="14" t="s">
        <v>13496</v>
      </c>
      <c r="E7082" s="9" t="s">
        <v>11</v>
      </c>
    </row>
    <row r="7083" spans="1:5" ht="15" customHeight="1" outlineLevel="2" x14ac:dyDescent="0.25">
      <c r="A7083" s="3" t="str">
        <f>HYPERLINK("http://mystore1.ru/price_items/search?utf8=%E2%9C%93&amp;oem=6525RCLS4FD","6525RCLS4FD")</f>
        <v>6525RCLS4FD</v>
      </c>
      <c r="B7083" s="1" t="s">
        <v>13497</v>
      </c>
      <c r="C7083" s="9" t="s">
        <v>234</v>
      </c>
      <c r="D7083" s="14" t="s">
        <v>13498</v>
      </c>
      <c r="E7083" s="9" t="s">
        <v>11</v>
      </c>
    </row>
    <row r="7084" spans="1:5" ht="15" customHeight="1" outlineLevel="2" x14ac:dyDescent="0.25">
      <c r="A7084" s="3" t="str">
        <f>HYPERLINK("http://mystore1.ru/price_items/search?utf8=%E2%9C%93&amp;oem=6525RCLS4RD","6525RCLS4RD")</f>
        <v>6525RCLS4RD</v>
      </c>
      <c r="B7084" s="1" t="s">
        <v>13499</v>
      </c>
      <c r="C7084" s="9" t="s">
        <v>234</v>
      </c>
      <c r="D7084" s="14" t="s">
        <v>13500</v>
      </c>
      <c r="E7084" s="9" t="s">
        <v>11</v>
      </c>
    </row>
    <row r="7085" spans="1:5" ht="15" customHeight="1" outlineLevel="2" x14ac:dyDescent="0.25">
      <c r="A7085" s="3" t="str">
        <f>HYPERLINK("http://mystore1.ru/price_items/search?utf8=%E2%9C%93&amp;oem=6525RCLS4RV","6525RCLS4RV")</f>
        <v>6525RCLS4RV</v>
      </c>
      <c r="B7085" s="1" t="s">
        <v>13501</v>
      </c>
      <c r="C7085" s="9" t="s">
        <v>234</v>
      </c>
      <c r="D7085" s="14" t="s">
        <v>13502</v>
      </c>
      <c r="E7085" s="9" t="s">
        <v>11</v>
      </c>
    </row>
    <row r="7086" spans="1:5" ht="15" customHeight="1" outlineLevel="2" x14ac:dyDescent="0.25">
      <c r="A7086" s="3" t="str">
        <f>HYPERLINK("http://mystore1.ru/price_items/search?utf8=%E2%9C%93&amp;oem=6525RGNE5RD","6525RGNE5RD")</f>
        <v>6525RGNE5RD</v>
      </c>
      <c r="B7086" s="1" t="s">
        <v>13503</v>
      </c>
      <c r="C7086" s="9" t="s">
        <v>2789</v>
      </c>
      <c r="D7086" s="14" t="s">
        <v>13504</v>
      </c>
      <c r="E7086" s="9" t="s">
        <v>11</v>
      </c>
    </row>
    <row r="7087" spans="1:5" ht="15" customHeight="1" outlineLevel="2" x14ac:dyDescent="0.25">
      <c r="A7087" s="3" t="str">
        <f>HYPERLINK("http://mystore1.ru/price_items/search?utf8=%E2%9C%93&amp;oem=6525RGNE5RQZ","6525RGNE5RQZ")</f>
        <v>6525RGNE5RQZ</v>
      </c>
      <c r="B7087" s="1" t="s">
        <v>13505</v>
      </c>
      <c r="C7087" s="9" t="s">
        <v>2789</v>
      </c>
      <c r="D7087" s="14" t="s">
        <v>13506</v>
      </c>
      <c r="E7087" s="9" t="s">
        <v>11</v>
      </c>
    </row>
    <row r="7088" spans="1:5" ht="15" customHeight="1" outlineLevel="2" x14ac:dyDescent="0.25">
      <c r="A7088" s="3" t="str">
        <f>HYPERLINK("http://mystore1.ru/price_items/search?utf8=%E2%9C%93&amp;oem=6525RGNE5RV","6525RGNE5RV")</f>
        <v>6525RGNE5RV</v>
      </c>
      <c r="B7088" s="1" t="s">
        <v>13507</v>
      </c>
      <c r="C7088" s="9" t="s">
        <v>2789</v>
      </c>
      <c r="D7088" s="14" t="s">
        <v>13508</v>
      </c>
      <c r="E7088" s="9" t="s">
        <v>11</v>
      </c>
    </row>
    <row r="7089" spans="1:5" ht="15" customHeight="1" outlineLevel="2" x14ac:dyDescent="0.25">
      <c r="A7089" s="3" t="str">
        <f>HYPERLINK("http://mystore1.ru/price_items/search?utf8=%E2%9C%93&amp;oem=6525RGNS4FD","6525RGNS4FD")</f>
        <v>6525RGNS4FD</v>
      </c>
      <c r="B7089" s="1" t="s">
        <v>13509</v>
      </c>
      <c r="C7089" s="9" t="s">
        <v>234</v>
      </c>
      <c r="D7089" s="14" t="s">
        <v>13510</v>
      </c>
      <c r="E7089" s="9" t="s">
        <v>11</v>
      </c>
    </row>
    <row r="7090" spans="1:5" ht="15" customHeight="1" outlineLevel="2" x14ac:dyDescent="0.25">
      <c r="A7090" s="3" t="str">
        <f>HYPERLINK("http://mystore1.ru/price_items/search?utf8=%E2%9C%93&amp;oem=6525RGNS4RD","6525RGNS4RD")</f>
        <v>6525RGNS4RD</v>
      </c>
      <c r="B7090" s="1" t="s">
        <v>13511</v>
      </c>
      <c r="C7090" s="9" t="s">
        <v>234</v>
      </c>
      <c r="D7090" s="14" t="s">
        <v>13512</v>
      </c>
      <c r="E7090" s="9" t="s">
        <v>11</v>
      </c>
    </row>
    <row r="7091" spans="1:5" ht="15" customHeight="1" outlineLevel="2" x14ac:dyDescent="0.25">
      <c r="A7091" s="3" t="str">
        <f>HYPERLINK("http://mystore1.ru/price_items/search?utf8=%E2%9C%93&amp;oem=6525RGNS4RV","6525RGNS4RV")</f>
        <v>6525RGNS4RV</v>
      </c>
      <c r="B7091" s="1" t="s">
        <v>13513</v>
      </c>
      <c r="C7091" s="9" t="s">
        <v>234</v>
      </c>
      <c r="D7091" s="14" t="s">
        <v>13514</v>
      </c>
      <c r="E7091" s="9" t="s">
        <v>11</v>
      </c>
    </row>
    <row r="7092" spans="1:5" outlineLevel="1" x14ac:dyDescent="0.25">
      <c r="A7092" s="2"/>
      <c r="B7092" s="6" t="s">
        <v>13515</v>
      </c>
      <c r="C7092" s="8"/>
      <c r="D7092" s="8"/>
      <c r="E7092" s="8"/>
    </row>
    <row r="7093" spans="1:5" ht="15" customHeight="1" outlineLevel="2" x14ac:dyDescent="0.25">
      <c r="A7093" s="3" t="str">
        <f>HYPERLINK("http://mystore1.ru/price_items/search?utf8=%E2%9C%93&amp;oem=6538AGN","6538AGN")</f>
        <v>6538AGN</v>
      </c>
      <c r="B7093" s="1" t="s">
        <v>13516</v>
      </c>
      <c r="C7093" s="9" t="s">
        <v>120</v>
      </c>
      <c r="D7093" s="14" t="s">
        <v>13517</v>
      </c>
      <c r="E7093" s="9" t="s">
        <v>8</v>
      </c>
    </row>
    <row r="7094" spans="1:5" ht="15" customHeight="1" outlineLevel="2" x14ac:dyDescent="0.25">
      <c r="A7094" s="3" t="str">
        <f>HYPERLINK("http://mystore1.ru/price_items/search?utf8=%E2%9C%93&amp;oem=6538AGNM","6538AGNM")</f>
        <v>6538AGNM</v>
      </c>
      <c r="B7094" s="1" t="s">
        <v>13518</v>
      </c>
      <c r="C7094" s="9" t="s">
        <v>120</v>
      </c>
      <c r="D7094" s="14" t="s">
        <v>13519</v>
      </c>
      <c r="E7094" s="9" t="s">
        <v>8</v>
      </c>
    </row>
    <row r="7095" spans="1:5" ht="15" customHeight="1" outlineLevel="2" x14ac:dyDescent="0.25">
      <c r="A7095" s="3" t="str">
        <f>HYPERLINK("http://mystore1.ru/price_items/search?utf8=%E2%9C%93&amp;oem=6538ASMC","6538ASMC")</f>
        <v>6538ASMC</v>
      </c>
      <c r="B7095" s="1" t="s">
        <v>13520</v>
      </c>
      <c r="C7095" s="9" t="s">
        <v>25</v>
      </c>
      <c r="D7095" s="14" t="s">
        <v>13521</v>
      </c>
      <c r="E7095" s="9" t="s">
        <v>27</v>
      </c>
    </row>
    <row r="7096" spans="1:5" ht="15" customHeight="1" outlineLevel="2" x14ac:dyDescent="0.25">
      <c r="A7096" s="3" t="str">
        <f>HYPERLINK("http://mystore1.ru/price_items/search?utf8=%E2%9C%93&amp;oem=6538LGNC2FDW1B","6538LGNC2FDW1B")</f>
        <v>6538LGNC2FDW1B</v>
      </c>
      <c r="B7096" s="1" t="s">
        <v>13522</v>
      </c>
      <c r="C7096" s="9" t="s">
        <v>2031</v>
      </c>
      <c r="D7096" s="14" t="s">
        <v>13523</v>
      </c>
      <c r="E7096" s="9" t="s">
        <v>11</v>
      </c>
    </row>
    <row r="7097" spans="1:5" ht="15" customHeight="1" outlineLevel="2" x14ac:dyDescent="0.25">
      <c r="A7097" s="3" t="str">
        <f>HYPERLINK("http://mystore1.ru/price_items/search?utf8=%E2%9C%93&amp;oem=6538RGNC2FDW","6538RGNC2FDW")</f>
        <v>6538RGNC2FDW</v>
      </c>
      <c r="B7097" s="1" t="s">
        <v>13524</v>
      </c>
      <c r="C7097" s="9" t="s">
        <v>120</v>
      </c>
      <c r="D7097" s="14" t="s">
        <v>13525</v>
      </c>
      <c r="E7097" s="9" t="s">
        <v>11</v>
      </c>
    </row>
    <row r="7098" spans="1:5" ht="15" customHeight="1" outlineLevel="2" x14ac:dyDescent="0.25">
      <c r="A7098" s="3" t="str">
        <f>HYPERLINK("http://mystore1.ru/price_items/search?utf8=%E2%9C%93&amp;oem=6538RGNC2FDW1B","6538RGNC2FDW1B")</f>
        <v>6538RGNC2FDW1B</v>
      </c>
      <c r="B7098" s="1" t="s">
        <v>13526</v>
      </c>
      <c r="C7098" s="9" t="s">
        <v>2031</v>
      </c>
      <c r="D7098" s="14" t="s">
        <v>13527</v>
      </c>
      <c r="E7098" s="9" t="s">
        <v>11</v>
      </c>
    </row>
    <row r="7099" spans="1:5" outlineLevel="1" x14ac:dyDescent="0.25">
      <c r="A7099" s="2"/>
      <c r="B7099" s="6" t="s">
        <v>13528</v>
      </c>
      <c r="C7099" s="8"/>
      <c r="D7099" s="8"/>
      <c r="E7099" s="8"/>
    </row>
    <row r="7100" spans="1:5" ht="15" customHeight="1" outlineLevel="2" x14ac:dyDescent="0.25">
      <c r="A7100" s="3" t="str">
        <f>HYPERLINK("http://mystore1.ru/price_items/search?utf8=%E2%9C%93&amp;oem=6544ACCMVZ1B","6544ACCMVZ1B")</f>
        <v>6544ACCMVZ1B</v>
      </c>
      <c r="B7100" s="1" t="s">
        <v>13529</v>
      </c>
      <c r="C7100" s="9" t="s">
        <v>212</v>
      </c>
      <c r="D7100" s="14" t="s">
        <v>13530</v>
      </c>
      <c r="E7100" s="9" t="s">
        <v>8</v>
      </c>
    </row>
    <row r="7101" spans="1:5" ht="15" customHeight="1" outlineLevel="2" x14ac:dyDescent="0.25">
      <c r="A7101" s="3" t="str">
        <f>HYPERLINK("http://mystore1.ru/price_items/search?utf8=%E2%9C%93&amp;oem=6544AGSGMVZ2P","6544AGSGMVZ2P")</f>
        <v>6544AGSGMVZ2P</v>
      </c>
      <c r="B7101" s="1" t="s">
        <v>13531</v>
      </c>
      <c r="C7101" s="9" t="s">
        <v>212</v>
      </c>
      <c r="D7101" s="14" t="s">
        <v>13532</v>
      </c>
      <c r="E7101" s="9" t="s">
        <v>8</v>
      </c>
    </row>
    <row r="7102" spans="1:5" ht="15" customHeight="1" outlineLevel="2" x14ac:dyDescent="0.25">
      <c r="A7102" s="3" t="str">
        <f>HYPERLINK("http://mystore1.ru/price_items/search?utf8=%E2%9C%93&amp;oem=6544AGSMVZ1B","6544AGSMVZ1B")</f>
        <v>6544AGSMVZ1B</v>
      </c>
      <c r="B7102" s="1" t="s">
        <v>13533</v>
      </c>
      <c r="C7102" s="9" t="s">
        <v>212</v>
      </c>
      <c r="D7102" s="14" t="s">
        <v>13532</v>
      </c>
      <c r="E7102" s="9" t="s">
        <v>8</v>
      </c>
    </row>
    <row r="7103" spans="1:5" ht="15" customHeight="1" outlineLevel="2" x14ac:dyDescent="0.25">
      <c r="A7103" s="3" t="str">
        <f>HYPERLINK("http://mystore1.ru/price_items/search?utf8=%E2%9C%93&amp;oem=6544AGSMVZ2P","6544AGSMVZ2P")</f>
        <v>6544AGSMVZ2P</v>
      </c>
      <c r="B7103" s="1" t="s">
        <v>13534</v>
      </c>
      <c r="C7103" s="9" t="s">
        <v>212</v>
      </c>
      <c r="D7103" s="14" t="s">
        <v>13535</v>
      </c>
      <c r="E7103" s="9" t="s">
        <v>8</v>
      </c>
    </row>
    <row r="7104" spans="1:5" ht="15" customHeight="1" outlineLevel="2" x14ac:dyDescent="0.25">
      <c r="A7104" s="3" t="str">
        <f>HYPERLINK("http://mystore1.ru/price_items/search?utf8=%E2%9C%93&amp;oem=6544AGSVZ","6544AGSVZ")</f>
        <v>6544AGSVZ</v>
      </c>
      <c r="B7104" s="1" t="s">
        <v>13536</v>
      </c>
      <c r="C7104" s="9" t="s">
        <v>212</v>
      </c>
      <c r="D7104" s="14" t="s">
        <v>13537</v>
      </c>
      <c r="E7104" s="9" t="s">
        <v>8</v>
      </c>
    </row>
    <row r="7105" spans="1:5" ht="15" customHeight="1" outlineLevel="2" x14ac:dyDescent="0.25">
      <c r="A7105" s="3" t="str">
        <f>HYPERLINK("http://mystore1.ru/price_items/search?utf8=%E2%9C%93&amp;oem=6544BGSSABZ","6544BGSSABZ")</f>
        <v>6544BGSSABZ</v>
      </c>
      <c r="B7105" s="1" t="s">
        <v>13538</v>
      </c>
      <c r="C7105" s="9" t="s">
        <v>212</v>
      </c>
      <c r="D7105" s="14" t="s">
        <v>13539</v>
      </c>
      <c r="E7105" s="9" t="s">
        <v>30</v>
      </c>
    </row>
    <row r="7106" spans="1:5" ht="15" customHeight="1" outlineLevel="2" x14ac:dyDescent="0.25">
      <c r="A7106" s="3" t="str">
        <f>HYPERLINK("http://mystore1.ru/price_items/search?utf8=%E2%9C%93&amp;oem=6544LGSS4FD","6544LGSS4FD")</f>
        <v>6544LGSS4FD</v>
      </c>
      <c r="B7106" s="1" t="s">
        <v>13540</v>
      </c>
      <c r="C7106" s="9" t="s">
        <v>212</v>
      </c>
      <c r="D7106" s="14" t="s">
        <v>13541</v>
      </c>
      <c r="E7106" s="9" t="s">
        <v>11</v>
      </c>
    </row>
    <row r="7107" spans="1:5" ht="15" customHeight="1" outlineLevel="2" x14ac:dyDescent="0.25">
      <c r="A7107" s="3" t="str">
        <f>HYPERLINK("http://mystore1.ru/price_items/search?utf8=%E2%9C%93&amp;oem=6544LGSS4FDKW","6544LGSS4FDKW")</f>
        <v>6544LGSS4FDKW</v>
      </c>
      <c r="B7107" s="1" t="s">
        <v>13542</v>
      </c>
      <c r="C7107" s="9" t="s">
        <v>212</v>
      </c>
      <c r="D7107" s="14" t="s">
        <v>13543</v>
      </c>
      <c r="E7107" s="9" t="s">
        <v>11</v>
      </c>
    </row>
    <row r="7108" spans="1:5" ht="15" customHeight="1" outlineLevel="2" x14ac:dyDescent="0.25">
      <c r="A7108" s="3" t="str">
        <f>HYPERLINK("http://mystore1.ru/price_items/search?utf8=%E2%9C%93&amp;oem=6544LGSS4FVZ","6544LGSS4FVZ")</f>
        <v>6544LGSS4FVZ</v>
      </c>
      <c r="B7108" s="1" t="s">
        <v>13544</v>
      </c>
      <c r="C7108" s="9" t="s">
        <v>212</v>
      </c>
      <c r="D7108" s="14" t="s">
        <v>13545</v>
      </c>
      <c r="E7108" s="9" t="s">
        <v>11</v>
      </c>
    </row>
    <row r="7109" spans="1:5" ht="15" customHeight="1" outlineLevel="2" x14ac:dyDescent="0.25">
      <c r="A7109" s="3" t="str">
        <f>HYPERLINK("http://mystore1.ru/price_items/search?utf8=%E2%9C%93&amp;oem=6544LGSS4RD","6544LGSS4RD")</f>
        <v>6544LGSS4RD</v>
      </c>
      <c r="B7109" s="1" t="s">
        <v>13546</v>
      </c>
      <c r="C7109" s="9" t="s">
        <v>212</v>
      </c>
      <c r="D7109" s="14" t="s">
        <v>13547</v>
      </c>
      <c r="E7109" s="9" t="s">
        <v>11</v>
      </c>
    </row>
    <row r="7110" spans="1:5" ht="15" customHeight="1" outlineLevel="2" x14ac:dyDescent="0.25">
      <c r="A7110" s="3" t="str">
        <f>HYPERLINK("http://mystore1.ru/price_items/search?utf8=%E2%9C%93&amp;oem=6544LGSS4RDKW","6544LGSS4RDKW")</f>
        <v>6544LGSS4RDKW</v>
      </c>
      <c r="B7110" s="1" t="s">
        <v>13548</v>
      </c>
      <c r="C7110" s="9" t="s">
        <v>212</v>
      </c>
      <c r="D7110" s="14" t="s">
        <v>13549</v>
      </c>
      <c r="E7110" s="9" t="s">
        <v>11</v>
      </c>
    </row>
    <row r="7111" spans="1:5" ht="15" customHeight="1" outlineLevel="2" x14ac:dyDescent="0.25">
      <c r="A7111" s="3" t="str">
        <f>HYPERLINK("http://mystore1.ru/price_items/search?utf8=%E2%9C%93&amp;oem=6544RGSE5RD","6544RGSE5RD")</f>
        <v>6544RGSE5RD</v>
      </c>
      <c r="B7111" s="1" t="s">
        <v>13550</v>
      </c>
      <c r="C7111" s="9" t="s">
        <v>212</v>
      </c>
      <c r="D7111" s="14" t="s">
        <v>13551</v>
      </c>
      <c r="E7111" s="9" t="s">
        <v>11</v>
      </c>
    </row>
    <row r="7112" spans="1:5" ht="15" customHeight="1" outlineLevel="2" x14ac:dyDescent="0.25">
      <c r="A7112" s="3" t="str">
        <f>HYPERLINK("http://mystore1.ru/price_items/search?utf8=%E2%9C%93&amp;oem=6544RGSS4FD","6544RGSS4FD")</f>
        <v>6544RGSS4FD</v>
      </c>
      <c r="B7112" s="1" t="s">
        <v>13552</v>
      </c>
      <c r="C7112" s="9" t="s">
        <v>212</v>
      </c>
      <c r="D7112" s="14" t="s">
        <v>13553</v>
      </c>
      <c r="E7112" s="9" t="s">
        <v>11</v>
      </c>
    </row>
    <row r="7113" spans="1:5" ht="15" customHeight="1" outlineLevel="2" x14ac:dyDescent="0.25">
      <c r="A7113" s="3" t="str">
        <f>HYPERLINK("http://mystore1.ru/price_items/search?utf8=%E2%9C%93&amp;oem=6544RGSS4FDKW","6544RGSS4FDKW")</f>
        <v>6544RGSS4FDKW</v>
      </c>
      <c r="B7113" s="1" t="s">
        <v>13554</v>
      </c>
      <c r="C7113" s="9" t="s">
        <v>212</v>
      </c>
      <c r="D7113" s="14" t="s">
        <v>13555</v>
      </c>
      <c r="E7113" s="9" t="s">
        <v>11</v>
      </c>
    </row>
    <row r="7114" spans="1:5" ht="15" customHeight="1" outlineLevel="2" x14ac:dyDescent="0.25">
      <c r="A7114" s="3" t="str">
        <f>HYPERLINK("http://mystore1.ru/price_items/search?utf8=%E2%9C%93&amp;oem=6544RGSS4FVZ","6544RGSS4FVZ")</f>
        <v>6544RGSS4FVZ</v>
      </c>
      <c r="B7114" s="1" t="s">
        <v>13556</v>
      </c>
      <c r="C7114" s="9" t="s">
        <v>212</v>
      </c>
      <c r="D7114" s="14" t="s">
        <v>13557</v>
      </c>
      <c r="E7114" s="9" t="s">
        <v>11</v>
      </c>
    </row>
    <row r="7115" spans="1:5" ht="15" customHeight="1" outlineLevel="2" x14ac:dyDescent="0.25">
      <c r="A7115" s="3" t="str">
        <f>HYPERLINK("http://mystore1.ru/price_items/search?utf8=%E2%9C%93&amp;oem=6544RGSS4RD","6544RGSS4RD")</f>
        <v>6544RGSS4RD</v>
      </c>
      <c r="B7115" s="1" t="s">
        <v>13558</v>
      </c>
      <c r="C7115" s="9" t="s">
        <v>212</v>
      </c>
      <c r="D7115" s="14" t="s">
        <v>13559</v>
      </c>
      <c r="E7115" s="9" t="s">
        <v>11</v>
      </c>
    </row>
    <row r="7116" spans="1:5" ht="15" customHeight="1" outlineLevel="2" x14ac:dyDescent="0.25">
      <c r="A7116" s="3" t="str">
        <f>HYPERLINK("http://mystore1.ru/price_items/search?utf8=%E2%9C%93&amp;oem=6544RGSS4RDKW","6544RGSS4RDKW")</f>
        <v>6544RGSS4RDKW</v>
      </c>
      <c r="B7116" s="1" t="s">
        <v>13560</v>
      </c>
      <c r="C7116" s="9" t="s">
        <v>212</v>
      </c>
      <c r="D7116" s="14" t="s">
        <v>13561</v>
      </c>
      <c r="E7116" s="9" t="s">
        <v>11</v>
      </c>
    </row>
    <row r="7117" spans="1:5" outlineLevel="1" x14ac:dyDescent="0.25">
      <c r="A7117" s="2"/>
      <c r="B7117" s="6" t="s">
        <v>13562</v>
      </c>
      <c r="C7117" s="8"/>
      <c r="D7117" s="8"/>
      <c r="E7117" s="8"/>
    </row>
    <row r="7118" spans="1:5" ht="15" customHeight="1" outlineLevel="2" x14ac:dyDescent="0.25">
      <c r="A7118" s="3" t="str">
        <f>HYPERLINK("http://mystore1.ru/price_items/search?utf8=%E2%9C%93&amp;oem=6550ACDGMVZ1P","6550ACDGMVZ1P")</f>
        <v>6550ACDGMVZ1P</v>
      </c>
      <c r="B7118" s="1" t="s">
        <v>13563</v>
      </c>
      <c r="C7118" s="9" t="s">
        <v>1629</v>
      </c>
      <c r="D7118" s="14" t="s">
        <v>13564</v>
      </c>
      <c r="E7118" s="9" t="s">
        <v>8</v>
      </c>
    </row>
    <row r="7119" spans="1:5" ht="15" customHeight="1" outlineLevel="2" x14ac:dyDescent="0.25">
      <c r="A7119" s="3" t="str">
        <f>HYPERLINK("http://mystore1.ru/price_items/search?utf8=%E2%9C%93&amp;oem=6550ACDGMVZ6L","6550ACDGMVZ6L")</f>
        <v>6550ACDGMVZ6L</v>
      </c>
      <c r="B7119" s="1" t="s">
        <v>13565</v>
      </c>
      <c r="C7119" s="9" t="s">
        <v>1629</v>
      </c>
      <c r="D7119" s="14" t="s">
        <v>13566</v>
      </c>
      <c r="E7119" s="9" t="s">
        <v>8</v>
      </c>
    </row>
    <row r="7120" spans="1:5" ht="15" customHeight="1" outlineLevel="2" x14ac:dyDescent="0.25">
      <c r="A7120" s="3" t="str">
        <f>HYPERLINK("http://mystore1.ru/price_items/search?utf8=%E2%9C%93&amp;oem=6550ACDMVZ","6550ACDMVZ")</f>
        <v>6550ACDMVZ</v>
      </c>
      <c r="B7120" s="1" t="s">
        <v>13567</v>
      </c>
      <c r="C7120" s="9" t="s">
        <v>1629</v>
      </c>
      <c r="D7120" s="14" t="s">
        <v>13568</v>
      </c>
      <c r="E7120" s="9" t="s">
        <v>8</v>
      </c>
    </row>
    <row r="7121" spans="1:5" ht="15" customHeight="1" outlineLevel="2" x14ac:dyDescent="0.25">
      <c r="A7121" s="3" t="str">
        <f>HYPERLINK("http://mystore1.ru/price_items/search?utf8=%E2%9C%93&amp;oem=6550ACDMVZ1P","6550ACDMVZ1P")</f>
        <v>6550ACDMVZ1P</v>
      </c>
      <c r="B7121" s="1" t="s">
        <v>13569</v>
      </c>
      <c r="C7121" s="9" t="s">
        <v>1629</v>
      </c>
      <c r="D7121" s="14" t="s">
        <v>13570</v>
      </c>
      <c r="E7121" s="9" t="s">
        <v>8</v>
      </c>
    </row>
    <row r="7122" spans="1:5" ht="15" customHeight="1" outlineLevel="2" x14ac:dyDescent="0.25">
      <c r="A7122" s="3" t="str">
        <f>HYPERLINK("http://mystore1.ru/price_items/search?utf8=%E2%9C%93&amp;oem=6550BGSCAZ","6550BGSCAZ")</f>
        <v>6550BGSCAZ</v>
      </c>
      <c r="B7122" s="1" t="s">
        <v>13571</v>
      </c>
      <c r="C7122" s="9" t="s">
        <v>1629</v>
      </c>
      <c r="D7122" s="14" t="s">
        <v>13572</v>
      </c>
      <c r="E7122" s="9" t="s">
        <v>30</v>
      </c>
    </row>
    <row r="7123" spans="1:5" outlineLevel="1" x14ac:dyDescent="0.25">
      <c r="A7123" s="2"/>
      <c r="B7123" s="6" t="s">
        <v>13573</v>
      </c>
      <c r="C7123" s="8"/>
      <c r="D7123" s="8"/>
      <c r="E7123" s="8"/>
    </row>
    <row r="7124" spans="1:5" ht="15" customHeight="1" outlineLevel="2" x14ac:dyDescent="0.25">
      <c r="A7124" s="3" t="str">
        <f>HYPERLINK("http://mystore1.ru/price_items/search?utf8=%E2%9C%93&amp;oem=6555AGNH","6555AGNH")</f>
        <v>6555AGNH</v>
      </c>
      <c r="B7124" s="1" t="s">
        <v>13574</v>
      </c>
      <c r="C7124" s="9" t="s">
        <v>511</v>
      </c>
      <c r="D7124" s="14" t="s">
        <v>13575</v>
      </c>
      <c r="E7124" s="9" t="s">
        <v>8</v>
      </c>
    </row>
    <row r="7125" spans="1:5" ht="15" customHeight="1" outlineLevel="2" x14ac:dyDescent="0.25">
      <c r="A7125" s="3" t="str">
        <f>HYPERLINK("http://mystore1.ru/price_items/search?utf8=%E2%9C%93&amp;oem=6555LGNR5FDW","6555LGNR5FDW")</f>
        <v>6555LGNR5FDW</v>
      </c>
      <c r="B7125" s="1" t="s">
        <v>13576</v>
      </c>
      <c r="C7125" s="9" t="s">
        <v>511</v>
      </c>
      <c r="D7125" s="14" t="s">
        <v>13577</v>
      </c>
      <c r="E7125" s="9" t="s">
        <v>11</v>
      </c>
    </row>
    <row r="7126" spans="1:5" ht="15" customHeight="1" outlineLevel="2" x14ac:dyDescent="0.25">
      <c r="A7126" s="3" t="str">
        <f>HYPERLINK("http://mystore1.ru/price_items/search?utf8=%E2%9C%93&amp;oem=6555LGNR5RDW","6555LGNR5RDW")</f>
        <v>6555LGNR5RDW</v>
      </c>
      <c r="B7126" s="1" t="s">
        <v>13578</v>
      </c>
      <c r="C7126" s="9" t="s">
        <v>511</v>
      </c>
      <c r="D7126" s="14" t="s">
        <v>13579</v>
      </c>
      <c r="E7126" s="9" t="s">
        <v>11</v>
      </c>
    </row>
    <row r="7127" spans="1:5" ht="15" customHeight="1" outlineLevel="2" x14ac:dyDescent="0.25">
      <c r="A7127" s="3" t="str">
        <f>HYPERLINK("http://mystore1.ru/price_items/search?utf8=%E2%9C%93&amp;oem=6555RGNR5FDW","6555RGNR5FDW")</f>
        <v>6555RGNR5FDW</v>
      </c>
      <c r="B7127" s="1" t="s">
        <v>13580</v>
      </c>
      <c r="C7127" s="9" t="s">
        <v>511</v>
      </c>
      <c r="D7127" s="14" t="s">
        <v>13581</v>
      </c>
      <c r="E7127" s="9" t="s">
        <v>11</v>
      </c>
    </row>
    <row r="7128" spans="1:5" ht="15" customHeight="1" outlineLevel="2" x14ac:dyDescent="0.25">
      <c r="A7128" s="3" t="str">
        <f>HYPERLINK("http://mystore1.ru/price_items/search?utf8=%E2%9C%93&amp;oem=6555RGNR5RDW","6555RGNR5RDW")</f>
        <v>6555RGNR5RDW</v>
      </c>
      <c r="B7128" s="1" t="s">
        <v>13582</v>
      </c>
      <c r="C7128" s="9" t="s">
        <v>511</v>
      </c>
      <c r="D7128" s="14" t="s">
        <v>13583</v>
      </c>
      <c r="E7128" s="9" t="s">
        <v>11</v>
      </c>
    </row>
    <row r="7129" spans="1:5" outlineLevel="1" x14ac:dyDescent="0.25">
      <c r="A7129" s="2"/>
      <c r="B7129" s="6" t="s">
        <v>13584</v>
      </c>
      <c r="C7129" s="8"/>
      <c r="D7129" s="8"/>
      <c r="E7129" s="8"/>
    </row>
    <row r="7130" spans="1:5" ht="15" customHeight="1" outlineLevel="2" x14ac:dyDescent="0.25">
      <c r="A7130" s="3" t="str">
        <f>HYPERLINK("http://mystore1.ru/price_items/search?utf8=%E2%9C%93&amp;oem=6506ACL","6506ACL")</f>
        <v>6506ACL</v>
      </c>
      <c r="B7130" s="1" t="s">
        <v>13585</v>
      </c>
      <c r="C7130" s="9" t="s">
        <v>13586</v>
      </c>
      <c r="D7130" s="14" t="s">
        <v>13587</v>
      </c>
      <c r="E7130" s="9" t="s">
        <v>8</v>
      </c>
    </row>
    <row r="7131" spans="1:5" outlineLevel="1" x14ac:dyDescent="0.25">
      <c r="A7131" s="2"/>
      <c r="B7131" s="6" t="s">
        <v>13588</v>
      </c>
      <c r="C7131" s="8"/>
      <c r="D7131" s="8"/>
      <c r="E7131" s="8"/>
    </row>
    <row r="7132" spans="1:5" ht="15" customHeight="1" outlineLevel="2" x14ac:dyDescent="0.25">
      <c r="A7132" s="3" t="str">
        <f>HYPERLINK("http://mystore1.ru/price_items/search?utf8=%E2%9C%93&amp;oem=6513ACL1C","6513ACL1C")</f>
        <v>6513ACL1C</v>
      </c>
      <c r="B7132" s="1" t="s">
        <v>13589</v>
      </c>
      <c r="C7132" s="9" t="s">
        <v>250</v>
      </c>
      <c r="D7132" s="14" t="s">
        <v>13590</v>
      </c>
      <c r="E7132" s="9" t="s">
        <v>8</v>
      </c>
    </row>
    <row r="7133" spans="1:5" ht="15" customHeight="1" outlineLevel="2" x14ac:dyDescent="0.25">
      <c r="A7133" s="3" t="str">
        <f>HYPERLINK("http://mystore1.ru/price_items/search?utf8=%E2%9C%93&amp;oem=6513RCLS4FD","6513RCLS4FD")</f>
        <v>6513RCLS4FD</v>
      </c>
      <c r="B7133" s="1" t="s">
        <v>13591</v>
      </c>
      <c r="C7133" s="9" t="s">
        <v>250</v>
      </c>
      <c r="D7133" s="14" t="s">
        <v>13592</v>
      </c>
      <c r="E7133" s="9" t="s">
        <v>11</v>
      </c>
    </row>
    <row r="7134" spans="1:5" outlineLevel="1" x14ac:dyDescent="0.25">
      <c r="A7134" s="2"/>
      <c r="B7134" s="6" t="s">
        <v>13593</v>
      </c>
      <c r="C7134" s="8"/>
      <c r="D7134" s="8"/>
      <c r="E7134" s="8"/>
    </row>
    <row r="7135" spans="1:5" ht="15" customHeight="1" outlineLevel="2" x14ac:dyDescent="0.25">
      <c r="A7135" s="3" t="str">
        <f>HYPERLINK("http://mystore1.ru/price_items/search?utf8=%E2%9C%93&amp;oem=6562AGAGMVZ1R","6562AGAGMVZ1R")</f>
        <v>6562AGAGMVZ1R</v>
      </c>
      <c r="B7135" s="1" t="s">
        <v>13594</v>
      </c>
      <c r="C7135" s="9" t="s">
        <v>601</v>
      </c>
      <c r="D7135" s="14" t="s">
        <v>13595</v>
      </c>
      <c r="E7135" s="9" t="s">
        <v>8</v>
      </c>
    </row>
    <row r="7136" spans="1:5" outlineLevel="1" x14ac:dyDescent="0.25">
      <c r="A7136" s="2"/>
      <c r="B7136" s="6" t="s">
        <v>13596</v>
      </c>
      <c r="C7136" s="8"/>
      <c r="D7136" s="8"/>
      <c r="E7136" s="8"/>
    </row>
    <row r="7137" spans="1:5" ht="15" customHeight="1" outlineLevel="2" x14ac:dyDescent="0.25">
      <c r="A7137" s="3" t="str">
        <f>HYPERLINK("http://mystore1.ru/price_items/search?utf8=%E2%9C%93&amp;oem=6519AGN","6519AGN")</f>
        <v>6519AGN</v>
      </c>
      <c r="B7137" s="1" t="s">
        <v>13597</v>
      </c>
      <c r="C7137" s="9" t="s">
        <v>2875</v>
      </c>
      <c r="D7137" s="14" t="s">
        <v>13598</v>
      </c>
      <c r="E7137" s="9" t="s">
        <v>8</v>
      </c>
    </row>
    <row r="7138" spans="1:5" ht="15" customHeight="1" outlineLevel="2" x14ac:dyDescent="0.25">
      <c r="A7138" s="3" t="str">
        <f>HYPERLINK("http://mystore1.ru/price_items/search?utf8=%E2%9C%93&amp;oem=6519AGNBL","6519AGNBL")</f>
        <v>6519AGNBL</v>
      </c>
      <c r="B7138" s="1" t="s">
        <v>13599</v>
      </c>
      <c r="C7138" s="9" t="s">
        <v>2875</v>
      </c>
      <c r="D7138" s="14" t="s">
        <v>13600</v>
      </c>
      <c r="E7138" s="9" t="s">
        <v>8</v>
      </c>
    </row>
    <row r="7139" spans="1:5" ht="15" customHeight="1" outlineLevel="2" x14ac:dyDescent="0.25">
      <c r="A7139" s="3" t="str">
        <f>HYPERLINK("http://mystore1.ru/price_items/search?utf8=%E2%9C%93&amp;oem=6519AGNGN","6519AGNGN")</f>
        <v>6519AGNGN</v>
      </c>
      <c r="B7139" s="1" t="s">
        <v>13601</v>
      </c>
      <c r="C7139" s="9" t="s">
        <v>2875</v>
      </c>
      <c r="D7139" s="14" t="s">
        <v>13602</v>
      </c>
      <c r="E7139" s="9" t="s">
        <v>8</v>
      </c>
    </row>
    <row r="7140" spans="1:5" ht="15" customHeight="1" outlineLevel="2" x14ac:dyDescent="0.25">
      <c r="A7140" s="3" t="str">
        <f>HYPERLINK("http://mystore1.ru/price_items/search?utf8=%E2%9C%93&amp;oem=6519AGNM","6519AGNM")</f>
        <v>6519AGNM</v>
      </c>
      <c r="B7140" s="1" t="s">
        <v>13603</v>
      </c>
      <c r="C7140" s="9" t="s">
        <v>6602</v>
      </c>
      <c r="D7140" s="14" t="s">
        <v>13604</v>
      </c>
      <c r="E7140" s="9" t="s">
        <v>8</v>
      </c>
    </row>
    <row r="7141" spans="1:5" ht="15" customHeight="1" outlineLevel="2" x14ac:dyDescent="0.25">
      <c r="A7141" s="3" t="str">
        <f>HYPERLINK("http://mystore1.ru/price_items/search?utf8=%E2%9C%93&amp;oem=6519LGNS4FD","6519LGNS4FD")</f>
        <v>6519LGNS4FD</v>
      </c>
      <c r="B7141" s="1" t="s">
        <v>13605</v>
      </c>
      <c r="C7141" s="9" t="s">
        <v>2875</v>
      </c>
      <c r="D7141" s="14" t="s">
        <v>13606</v>
      </c>
      <c r="E7141" s="9" t="s">
        <v>11</v>
      </c>
    </row>
    <row r="7142" spans="1:5" ht="15" customHeight="1" outlineLevel="2" x14ac:dyDescent="0.25">
      <c r="A7142" s="3" t="str">
        <f>HYPERLINK("http://mystore1.ru/price_items/search?utf8=%E2%9C%93&amp;oem=6519LGNS4RD","6519LGNS4RD")</f>
        <v>6519LGNS4RD</v>
      </c>
      <c r="B7142" s="1" t="s">
        <v>13607</v>
      </c>
      <c r="C7142" s="9" t="s">
        <v>2875</v>
      </c>
      <c r="D7142" s="14" t="s">
        <v>13608</v>
      </c>
      <c r="E7142" s="9" t="s">
        <v>11</v>
      </c>
    </row>
    <row r="7143" spans="1:5" ht="15" customHeight="1" outlineLevel="2" x14ac:dyDescent="0.25">
      <c r="A7143" s="3" t="str">
        <f>HYPERLINK("http://mystore1.ru/price_items/search?utf8=%E2%9C%93&amp;oem=6519RGNS4FD","6519RGNS4FD")</f>
        <v>6519RGNS4FD</v>
      </c>
      <c r="B7143" s="1" t="s">
        <v>13609</v>
      </c>
      <c r="C7143" s="9" t="s">
        <v>2875</v>
      </c>
      <c r="D7143" s="14" t="s">
        <v>13610</v>
      </c>
      <c r="E7143" s="9" t="s">
        <v>11</v>
      </c>
    </row>
    <row r="7144" spans="1:5" ht="15" customHeight="1" outlineLevel="2" x14ac:dyDescent="0.25">
      <c r="A7144" s="3" t="str">
        <f>HYPERLINK("http://mystore1.ru/price_items/search?utf8=%E2%9C%93&amp;oem=6519RGNS4RD","6519RGNS4RD")</f>
        <v>6519RGNS4RD</v>
      </c>
      <c r="B7144" s="1" t="s">
        <v>13611</v>
      </c>
      <c r="C7144" s="9" t="s">
        <v>2875</v>
      </c>
      <c r="D7144" s="14" t="s">
        <v>13612</v>
      </c>
      <c r="E7144" s="9" t="s">
        <v>11</v>
      </c>
    </row>
    <row r="7145" spans="1:5" ht="15" customHeight="1" outlineLevel="2" x14ac:dyDescent="0.25">
      <c r="A7145" s="3" t="str">
        <f>HYPERLINK("http://mystore1.ru/price_items/search?utf8=%E2%9C%93&amp;oem=6519RGNS4RV","6519RGNS4RV")</f>
        <v>6519RGNS4RV</v>
      </c>
      <c r="B7145" s="1" t="s">
        <v>13613</v>
      </c>
      <c r="C7145" s="9" t="s">
        <v>2875</v>
      </c>
      <c r="D7145" s="14" t="s">
        <v>13614</v>
      </c>
      <c r="E7145" s="9" t="s">
        <v>11</v>
      </c>
    </row>
    <row r="7146" spans="1:5" outlineLevel="1" x14ac:dyDescent="0.25">
      <c r="A7146" s="2"/>
      <c r="B7146" s="6" t="s">
        <v>13615</v>
      </c>
      <c r="C7146" s="8"/>
      <c r="D7146" s="8"/>
      <c r="E7146" s="8"/>
    </row>
    <row r="7147" spans="1:5" ht="15" customHeight="1" outlineLevel="2" x14ac:dyDescent="0.25">
      <c r="A7147" s="3" t="str">
        <f>HYPERLINK("http://mystore1.ru/price_items/search?utf8=%E2%9C%93&amp;oem=6540ACCMVZ","6540ACCMVZ")</f>
        <v>6540ACCMVZ</v>
      </c>
      <c r="B7147" s="1" t="s">
        <v>13616</v>
      </c>
      <c r="C7147" s="9" t="s">
        <v>74</v>
      </c>
      <c r="D7147" s="14" t="s">
        <v>13617</v>
      </c>
      <c r="E7147" s="9" t="s">
        <v>8</v>
      </c>
    </row>
    <row r="7148" spans="1:5" ht="15" customHeight="1" outlineLevel="2" x14ac:dyDescent="0.25">
      <c r="A7148" s="3" t="str">
        <f>HYPERLINK("http://mystore1.ru/price_items/search?utf8=%E2%9C%93&amp;oem=6540ACCMVZ6T","6540ACCMVZ6T")</f>
        <v>6540ACCMVZ6T</v>
      </c>
      <c r="B7148" s="1" t="s">
        <v>13618</v>
      </c>
      <c r="C7148" s="9" t="s">
        <v>74</v>
      </c>
      <c r="D7148" s="14" t="s">
        <v>13619</v>
      </c>
      <c r="E7148" s="9" t="s">
        <v>8</v>
      </c>
    </row>
    <row r="7149" spans="1:5" ht="15" customHeight="1" outlineLevel="2" x14ac:dyDescent="0.25">
      <c r="A7149" s="3" t="str">
        <f>HYPERLINK("http://mystore1.ru/price_items/search?utf8=%E2%9C%93&amp;oem=6540ACDMVZ6T","6540ACDMVZ6T")</f>
        <v>6540ACDMVZ6T</v>
      </c>
      <c r="B7149" s="1" t="s">
        <v>13620</v>
      </c>
      <c r="C7149" s="9" t="s">
        <v>74</v>
      </c>
      <c r="D7149" s="14" t="s">
        <v>13621</v>
      </c>
      <c r="E7149" s="9" t="s">
        <v>8</v>
      </c>
    </row>
    <row r="7150" spans="1:5" ht="15" customHeight="1" outlineLevel="2" x14ac:dyDescent="0.25">
      <c r="A7150" s="3" t="str">
        <f>HYPERLINK("http://mystore1.ru/price_items/search?utf8=%E2%9C%93&amp;oem=6540BGSSABZ","6540BGSSABZ")</f>
        <v>6540BGSSABZ</v>
      </c>
      <c r="B7150" s="1" t="s">
        <v>13622</v>
      </c>
      <c r="C7150" s="9" t="s">
        <v>74</v>
      </c>
      <c r="D7150" s="14" t="s">
        <v>13623</v>
      </c>
      <c r="E7150" s="9" t="s">
        <v>30</v>
      </c>
    </row>
    <row r="7151" spans="1:5" ht="15" customHeight="1" outlineLevel="2" x14ac:dyDescent="0.25">
      <c r="A7151" s="3" t="str">
        <f>HYPERLINK("http://mystore1.ru/price_items/search?utf8=%E2%9C%93&amp;oem=6540BGSSABZ1B","6540BGSSABZ1B")</f>
        <v>6540BGSSABZ1B</v>
      </c>
      <c r="B7151" s="1" t="s">
        <v>13624</v>
      </c>
      <c r="C7151" s="9" t="s">
        <v>212</v>
      </c>
      <c r="D7151" s="14" t="s">
        <v>13625</v>
      </c>
      <c r="E7151" s="9" t="s">
        <v>30</v>
      </c>
    </row>
    <row r="7152" spans="1:5" ht="15" customHeight="1" outlineLevel="2" x14ac:dyDescent="0.25">
      <c r="A7152" s="3" t="str">
        <f>HYPERLINK("http://mystore1.ru/price_items/search?utf8=%E2%9C%93&amp;oem=6540LGSS4FD","6540LGSS4FD")</f>
        <v>6540LGSS4FD</v>
      </c>
      <c r="B7152" s="1" t="s">
        <v>13626</v>
      </c>
      <c r="C7152" s="9" t="s">
        <v>74</v>
      </c>
      <c r="D7152" s="14" t="s">
        <v>13627</v>
      </c>
      <c r="E7152" s="9" t="s">
        <v>11</v>
      </c>
    </row>
    <row r="7153" spans="1:5" ht="15" customHeight="1" outlineLevel="2" x14ac:dyDescent="0.25">
      <c r="A7153" s="3" t="str">
        <f>HYPERLINK("http://mystore1.ru/price_items/search?utf8=%E2%9C%93&amp;oem=6540LGSS4FDKW","6540LGSS4FDKW")</f>
        <v>6540LGSS4FDKW</v>
      </c>
      <c r="B7153" s="1" t="s">
        <v>13628</v>
      </c>
      <c r="C7153" s="9" t="s">
        <v>74</v>
      </c>
      <c r="D7153" s="14" t="s">
        <v>13629</v>
      </c>
      <c r="E7153" s="9" t="s">
        <v>11</v>
      </c>
    </row>
    <row r="7154" spans="1:5" ht="15" customHeight="1" outlineLevel="2" x14ac:dyDescent="0.25">
      <c r="A7154" s="3" t="str">
        <f>HYPERLINK("http://mystore1.ru/price_items/search?utf8=%E2%9C%93&amp;oem=6540LGSS4RD","6540LGSS4RD")</f>
        <v>6540LGSS4RD</v>
      </c>
      <c r="B7154" s="1" t="s">
        <v>13630</v>
      </c>
      <c r="C7154" s="9" t="s">
        <v>74</v>
      </c>
      <c r="D7154" s="14" t="s">
        <v>13631</v>
      </c>
      <c r="E7154" s="9" t="s">
        <v>11</v>
      </c>
    </row>
    <row r="7155" spans="1:5" ht="15" customHeight="1" outlineLevel="2" x14ac:dyDescent="0.25">
      <c r="A7155" s="3" t="str">
        <f>HYPERLINK("http://mystore1.ru/price_items/search?utf8=%E2%9C%93&amp;oem=6540LGSS4RDKW","6540LGSS4RDKW")</f>
        <v>6540LGSS4RDKW</v>
      </c>
      <c r="B7155" s="1" t="s">
        <v>13632</v>
      </c>
      <c r="C7155" s="9" t="s">
        <v>74</v>
      </c>
      <c r="D7155" s="14" t="s">
        <v>13633</v>
      </c>
      <c r="E7155" s="9" t="s">
        <v>11</v>
      </c>
    </row>
    <row r="7156" spans="1:5" ht="15" customHeight="1" outlineLevel="2" x14ac:dyDescent="0.25">
      <c r="A7156" s="3" t="str">
        <f>HYPERLINK("http://mystore1.ru/price_items/search?utf8=%E2%9C%93&amp;oem=6540RGSS4FD","6540RGSS4FD")</f>
        <v>6540RGSS4FD</v>
      </c>
      <c r="B7156" s="1" t="s">
        <v>13634</v>
      </c>
      <c r="C7156" s="9" t="s">
        <v>74</v>
      </c>
      <c r="D7156" s="14" t="s">
        <v>13635</v>
      </c>
      <c r="E7156" s="9" t="s">
        <v>11</v>
      </c>
    </row>
    <row r="7157" spans="1:5" ht="15" customHeight="1" outlineLevel="2" x14ac:dyDescent="0.25">
      <c r="A7157" s="3" t="str">
        <f>HYPERLINK("http://mystore1.ru/price_items/search?utf8=%E2%9C%93&amp;oem=6540RGSS4RD","6540RGSS4RD")</f>
        <v>6540RGSS4RD</v>
      </c>
      <c r="B7157" s="1" t="s">
        <v>13636</v>
      </c>
      <c r="C7157" s="9" t="s">
        <v>74</v>
      </c>
      <c r="D7157" s="14" t="s">
        <v>13637</v>
      </c>
      <c r="E7157" s="9" t="s">
        <v>11</v>
      </c>
    </row>
    <row r="7158" spans="1:5" ht="15" customHeight="1" outlineLevel="2" x14ac:dyDescent="0.25">
      <c r="A7158" s="3" t="str">
        <f>HYPERLINK("http://mystore1.ru/price_items/search?utf8=%E2%9C%93&amp;oem=6540RGSS4RDKW","6540RGSS4RDKW")</f>
        <v>6540RGSS4RDKW</v>
      </c>
      <c r="B7158" s="1" t="s">
        <v>13638</v>
      </c>
      <c r="C7158" s="9" t="s">
        <v>74</v>
      </c>
      <c r="D7158" s="14" t="s">
        <v>13639</v>
      </c>
      <c r="E7158" s="9" t="s">
        <v>11</v>
      </c>
    </row>
    <row r="7159" spans="1:5" outlineLevel="1" x14ac:dyDescent="0.25">
      <c r="A7159" s="2"/>
      <c r="B7159" s="6" t="s">
        <v>13640</v>
      </c>
      <c r="C7159" s="8"/>
      <c r="D7159" s="8"/>
      <c r="E7159" s="8"/>
    </row>
    <row r="7160" spans="1:5" ht="15" customHeight="1" outlineLevel="2" x14ac:dyDescent="0.25">
      <c r="A7160" s="3" t="str">
        <f>HYPERLINK("http://mystore1.ru/price_items/search?utf8=%E2%9C%93&amp;oem=6546ACCMVZ","6546ACCMVZ")</f>
        <v>6546ACCMVZ</v>
      </c>
      <c r="B7160" s="1" t="s">
        <v>13641</v>
      </c>
      <c r="C7160" s="9" t="s">
        <v>4252</v>
      </c>
      <c r="D7160" s="14" t="s">
        <v>13642</v>
      </c>
      <c r="E7160" s="9" t="s">
        <v>8</v>
      </c>
    </row>
    <row r="7161" spans="1:5" ht="15" customHeight="1" outlineLevel="2" x14ac:dyDescent="0.25">
      <c r="A7161" s="3" t="str">
        <f>HYPERLINK("http://mystore1.ru/price_items/search?utf8=%E2%9C%93&amp;oem=6546ACCMVZ1T","6546ACCMVZ1T")</f>
        <v>6546ACCMVZ1T</v>
      </c>
      <c r="B7161" s="1" t="s">
        <v>13643</v>
      </c>
      <c r="C7161" s="9" t="s">
        <v>4252</v>
      </c>
      <c r="D7161" s="14" t="s">
        <v>13644</v>
      </c>
      <c r="E7161" s="9" t="s">
        <v>8</v>
      </c>
    </row>
    <row r="7162" spans="1:5" ht="15" customHeight="1" outlineLevel="2" x14ac:dyDescent="0.25">
      <c r="A7162" s="3" t="str">
        <f>HYPERLINK("http://mystore1.ru/price_items/search?utf8=%E2%9C%93&amp;oem=6546ACCIMVZ6P","6546ACCIMVZ6P")</f>
        <v>6546ACCIMVZ6P</v>
      </c>
      <c r="B7162" s="1" t="s">
        <v>13645</v>
      </c>
      <c r="C7162" s="9" t="s">
        <v>4252</v>
      </c>
      <c r="D7162" s="14" t="s">
        <v>13646</v>
      </c>
      <c r="E7162" s="9" t="s">
        <v>8</v>
      </c>
    </row>
    <row r="7163" spans="1:5" ht="15" customHeight="1" outlineLevel="2" x14ac:dyDescent="0.25">
      <c r="A7163" s="3" t="str">
        <f>HYPERLINK("http://mystore1.ru/price_items/search?utf8=%E2%9C%93&amp;oem=6546ACCVZ","6546ACCVZ")</f>
        <v>6546ACCVZ</v>
      </c>
      <c r="B7163" s="1" t="s">
        <v>13647</v>
      </c>
      <c r="C7163" s="9" t="s">
        <v>4252</v>
      </c>
      <c r="D7163" s="14" t="s">
        <v>13648</v>
      </c>
      <c r="E7163" s="9" t="s">
        <v>8</v>
      </c>
    </row>
    <row r="7164" spans="1:5" ht="15" customHeight="1" outlineLevel="2" x14ac:dyDescent="0.25">
      <c r="A7164" s="3" t="str">
        <f>HYPERLINK("http://mystore1.ru/price_items/search?utf8=%E2%9C%93&amp;oem=6546AGSVZ","6546AGSVZ")</f>
        <v>6546AGSVZ</v>
      </c>
      <c r="B7164" s="1" t="s">
        <v>13649</v>
      </c>
      <c r="C7164" s="9" t="s">
        <v>4252</v>
      </c>
      <c r="D7164" s="14" t="s">
        <v>13650</v>
      </c>
      <c r="E7164" s="9" t="s">
        <v>8</v>
      </c>
    </row>
    <row r="7165" spans="1:5" ht="15" customHeight="1" outlineLevel="2" x14ac:dyDescent="0.25">
      <c r="A7165" s="3" t="str">
        <f>HYPERLINK("http://mystore1.ru/price_items/search?utf8=%E2%9C%93&amp;oem=6546BGSVB","6546BGSVB")</f>
        <v>6546BGSVB</v>
      </c>
      <c r="B7165" s="1" t="s">
        <v>13651</v>
      </c>
      <c r="C7165" s="9" t="s">
        <v>4252</v>
      </c>
      <c r="D7165" s="14" t="s">
        <v>13652</v>
      </c>
      <c r="E7165" s="9" t="s">
        <v>30</v>
      </c>
    </row>
    <row r="7166" spans="1:5" ht="15" customHeight="1" outlineLevel="2" x14ac:dyDescent="0.25">
      <c r="A7166" s="3" t="str">
        <f>HYPERLINK("http://mystore1.ru/price_items/search?utf8=%E2%9C%93&amp;oem=6546LGSV5FD","6546LGSV5FD")</f>
        <v>6546LGSV5FD</v>
      </c>
      <c r="B7166" s="1" t="s">
        <v>13653</v>
      </c>
      <c r="C7166" s="9" t="s">
        <v>4252</v>
      </c>
      <c r="D7166" s="14" t="s">
        <v>13654</v>
      </c>
      <c r="E7166" s="9" t="s">
        <v>11</v>
      </c>
    </row>
    <row r="7167" spans="1:5" ht="15" customHeight="1" outlineLevel="2" x14ac:dyDescent="0.25">
      <c r="A7167" s="3" t="str">
        <f>HYPERLINK("http://mystore1.ru/price_items/search?utf8=%E2%9C%93&amp;oem=6546LGSV5RD","6546LGSV5RD")</f>
        <v>6546LGSV5RD</v>
      </c>
      <c r="B7167" s="1" t="s">
        <v>13655</v>
      </c>
      <c r="C7167" s="9" t="s">
        <v>4252</v>
      </c>
      <c r="D7167" s="14" t="s">
        <v>13656</v>
      </c>
      <c r="E7167" s="9" t="s">
        <v>11</v>
      </c>
    </row>
    <row r="7168" spans="1:5" ht="15" customHeight="1" outlineLevel="2" x14ac:dyDescent="0.25">
      <c r="A7168" s="3" t="str">
        <f>HYPERLINK("http://mystore1.ru/price_items/search?utf8=%E2%9C%93&amp;oem=6546RGSV5FD","6546RGSV5FD")</f>
        <v>6546RGSV5FD</v>
      </c>
      <c r="B7168" s="1" t="s">
        <v>13657</v>
      </c>
      <c r="C7168" s="9" t="s">
        <v>4252</v>
      </c>
      <c r="D7168" s="14" t="s">
        <v>13658</v>
      </c>
      <c r="E7168" s="9" t="s">
        <v>11</v>
      </c>
    </row>
    <row r="7169" spans="1:5" ht="15" customHeight="1" outlineLevel="2" x14ac:dyDescent="0.25">
      <c r="A7169" s="3" t="str">
        <f>HYPERLINK("http://mystore1.ru/price_items/search?utf8=%E2%9C%93&amp;oem=6546RGSV5RD","6546RGSV5RD")</f>
        <v>6546RGSV5RD</v>
      </c>
      <c r="B7169" s="1" t="s">
        <v>13659</v>
      </c>
      <c r="C7169" s="9" t="s">
        <v>4252</v>
      </c>
      <c r="D7169" s="14" t="s">
        <v>13660</v>
      </c>
      <c r="E7169" s="9" t="s">
        <v>11</v>
      </c>
    </row>
    <row r="7170" spans="1:5" outlineLevel="1" x14ac:dyDescent="0.25">
      <c r="A7170" s="2"/>
      <c r="B7170" s="6" t="s">
        <v>13661</v>
      </c>
      <c r="C7170" s="8"/>
      <c r="D7170" s="8"/>
      <c r="E7170" s="8"/>
    </row>
    <row r="7171" spans="1:5" ht="15" customHeight="1" outlineLevel="2" x14ac:dyDescent="0.25">
      <c r="A7171" s="3" t="str">
        <f>HYPERLINK("http://mystore1.ru/price_items/search?utf8=%E2%9C%93&amp;oem=6547ACC","6547ACC")</f>
        <v>6547ACC</v>
      </c>
      <c r="B7171" s="1" t="s">
        <v>13662</v>
      </c>
      <c r="C7171" s="9" t="s">
        <v>212</v>
      </c>
      <c r="D7171" s="14" t="s">
        <v>13663</v>
      </c>
      <c r="E7171" s="9" t="s">
        <v>8</v>
      </c>
    </row>
    <row r="7172" spans="1:5" ht="15" customHeight="1" outlineLevel="2" x14ac:dyDescent="0.25">
      <c r="A7172" s="3" t="str">
        <f>HYPERLINK("http://mystore1.ru/price_items/search?utf8=%E2%9C%93&amp;oem=6547ACCM1P","6547ACCM1P")</f>
        <v>6547ACCM1P</v>
      </c>
      <c r="B7172" s="1" t="s">
        <v>13664</v>
      </c>
      <c r="C7172" s="9" t="s">
        <v>212</v>
      </c>
      <c r="D7172" s="14" t="s">
        <v>13665</v>
      </c>
      <c r="E7172" s="9" t="s">
        <v>8</v>
      </c>
    </row>
    <row r="7173" spans="1:5" ht="15" customHeight="1" outlineLevel="2" x14ac:dyDescent="0.25">
      <c r="A7173" s="3" t="str">
        <f>HYPERLINK("http://mystore1.ru/price_items/search?utf8=%E2%9C%93&amp;oem=6547AGS","6547AGS")</f>
        <v>6547AGS</v>
      </c>
      <c r="B7173" s="1" t="s">
        <v>13666</v>
      </c>
      <c r="C7173" s="9" t="s">
        <v>212</v>
      </c>
      <c r="D7173" s="14" t="s">
        <v>13667</v>
      </c>
      <c r="E7173" s="9" t="s">
        <v>8</v>
      </c>
    </row>
    <row r="7174" spans="1:5" ht="15" customHeight="1" outlineLevel="2" x14ac:dyDescent="0.25">
      <c r="A7174" s="3" t="str">
        <f>HYPERLINK("http://mystore1.ru/price_items/search?utf8=%E2%9C%93&amp;oem=6547AGSM1P","6547AGSM1P")</f>
        <v>6547AGSM1P</v>
      </c>
      <c r="B7174" s="1" t="s">
        <v>13668</v>
      </c>
      <c r="C7174" s="9" t="s">
        <v>1629</v>
      </c>
      <c r="D7174" s="14" t="s">
        <v>13669</v>
      </c>
      <c r="E7174" s="9" t="s">
        <v>8</v>
      </c>
    </row>
    <row r="7175" spans="1:5" ht="15" customHeight="1" outlineLevel="2" x14ac:dyDescent="0.25">
      <c r="A7175" s="3" t="str">
        <f>HYPERLINK("http://mystore1.ru/price_items/search?utf8=%E2%9C%93&amp;oem=6547BGSH","6547BGSH")</f>
        <v>6547BGSH</v>
      </c>
      <c r="B7175" s="1" t="s">
        <v>13670</v>
      </c>
      <c r="C7175" s="9" t="s">
        <v>1629</v>
      </c>
      <c r="D7175" s="14" t="s">
        <v>13671</v>
      </c>
      <c r="E7175" s="9" t="s">
        <v>30</v>
      </c>
    </row>
    <row r="7176" spans="1:5" ht="15" customHeight="1" outlineLevel="2" x14ac:dyDescent="0.25">
      <c r="A7176" s="3" t="str">
        <f>HYPERLINK("http://mystore1.ru/price_items/search?utf8=%E2%9C%93&amp;oem=6547BYPH","6547BYPH")</f>
        <v>6547BYPH</v>
      </c>
      <c r="B7176" s="1" t="s">
        <v>13672</v>
      </c>
      <c r="C7176" s="9" t="s">
        <v>1629</v>
      </c>
      <c r="D7176" s="14" t="s">
        <v>13673</v>
      </c>
      <c r="E7176" s="9" t="s">
        <v>30</v>
      </c>
    </row>
    <row r="7177" spans="1:5" ht="15" customHeight="1" outlineLevel="2" x14ac:dyDescent="0.25">
      <c r="A7177" s="3" t="str">
        <f>HYPERLINK("http://mystore1.ru/price_items/search?utf8=%E2%9C%93&amp;oem=6547LGDH3RQ","6547LGDH3RQ")</f>
        <v>6547LGDH3RQ</v>
      </c>
      <c r="B7177" s="1" t="s">
        <v>13674</v>
      </c>
      <c r="C7177" s="9" t="s">
        <v>212</v>
      </c>
      <c r="D7177" s="14" t="s">
        <v>13675</v>
      </c>
      <c r="E7177" s="9" t="s">
        <v>11</v>
      </c>
    </row>
    <row r="7178" spans="1:5" ht="15" customHeight="1" outlineLevel="2" x14ac:dyDescent="0.25">
      <c r="A7178" s="3" t="str">
        <f>HYPERLINK("http://mystore1.ru/price_items/search?utf8=%E2%9C%93&amp;oem=6547LGSH3FD","6547LGSH3FD")</f>
        <v>6547LGSH3FD</v>
      </c>
      <c r="B7178" s="1" t="s">
        <v>13676</v>
      </c>
      <c r="C7178" s="9" t="s">
        <v>1629</v>
      </c>
      <c r="D7178" s="14" t="s">
        <v>13677</v>
      </c>
      <c r="E7178" s="9" t="s">
        <v>11</v>
      </c>
    </row>
    <row r="7179" spans="1:5" ht="15" customHeight="1" outlineLevel="2" x14ac:dyDescent="0.25">
      <c r="A7179" s="3" t="str">
        <f>HYPERLINK("http://mystore1.ru/price_items/search?utf8=%E2%9C%93&amp;oem=6547LGSH3FQV","6547LGSH3FQV")</f>
        <v>6547LGSH3FQV</v>
      </c>
      <c r="B7179" s="1" t="s">
        <v>13678</v>
      </c>
      <c r="C7179" s="9" t="s">
        <v>1629</v>
      </c>
      <c r="D7179" s="14" t="s">
        <v>13679</v>
      </c>
      <c r="E7179" s="9" t="s">
        <v>11</v>
      </c>
    </row>
    <row r="7180" spans="1:5" ht="15" customHeight="1" outlineLevel="2" x14ac:dyDescent="0.25">
      <c r="A7180" s="3" t="str">
        <f>HYPERLINK("http://mystore1.ru/price_items/search?utf8=%E2%9C%93&amp;oem=6547LGSH3RQ","6547LGSH3RQ")</f>
        <v>6547LGSH3RQ</v>
      </c>
      <c r="B7180" s="1" t="s">
        <v>13680</v>
      </c>
      <c r="C7180" s="9" t="s">
        <v>1629</v>
      </c>
      <c r="D7180" s="14" t="s">
        <v>13681</v>
      </c>
      <c r="E7180" s="9" t="s">
        <v>11</v>
      </c>
    </row>
    <row r="7181" spans="1:5" ht="15" customHeight="1" outlineLevel="2" x14ac:dyDescent="0.25">
      <c r="A7181" s="3" t="str">
        <f>HYPERLINK("http://mystore1.ru/price_items/search?utf8=%E2%9C%93&amp;oem=6547LGSH3RQ1J","6547LGSH3RQ1J")</f>
        <v>6547LGSH3RQ1J</v>
      </c>
      <c r="B7181" s="1" t="s">
        <v>13682</v>
      </c>
      <c r="C7181" s="9" t="s">
        <v>1629</v>
      </c>
      <c r="D7181" s="14" t="s">
        <v>13683</v>
      </c>
      <c r="E7181" s="9" t="s">
        <v>11</v>
      </c>
    </row>
    <row r="7182" spans="1:5" ht="15" customHeight="1" outlineLevel="2" x14ac:dyDescent="0.25">
      <c r="A7182" s="3" t="str">
        <f>HYPERLINK("http://mystore1.ru/price_items/search?utf8=%E2%9C%93&amp;oem=6547LYPH3RQ1J","6547LYPH3RQ1J")</f>
        <v>6547LYPH3RQ1J</v>
      </c>
      <c r="B7182" s="1" t="s">
        <v>13684</v>
      </c>
      <c r="C7182" s="9" t="s">
        <v>1629</v>
      </c>
      <c r="D7182" s="14" t="s">
        <v>13685</v>
      </c>
      <c r="E7182" s="9" t="s">
        <v>11</v>
      </c>
    </row>
    <row r="7183" spans="1:5" ht="15" customHeight="1" outlineLevel="2" x14ac:dyDescent="0.25">
      <c r="A7183" s="3" t="str">
        <f>HYPERLINK("http://mystore1.ru/price_items/search?utf8=%E2%9C%93&amp;oem=6547RGDH3RQ","6547RGDH3RQ")</f>
        <v>6547RGDH3RQ</v>
      </c>
      <c r="B7183" s="1" t="s">
        <v>13686</v>
      </c>
      <c r="C7183" s="9" t="s">
        <v>212</v>
      </c>
      <c r="D7183" s="14" t="s">
        <v>13687</v>
      </c>
      <c r="E7183" s="9" t="s">
        <v>11</v>
      </c>
    </row>
    <row r="7184" spans="1:5" ht="15" customHeight="1" outlineLevel="2" x14ac:dyDescent="0.25">
      <c r="A7184" s="3" t="str">
        <f>HYPERLINK("http://mystore1.ru/price_items/search?utf8=%E2%9C%93&amp;oem=6547RGSH3FD","6547RGSH3FD")</f>
        <v>6547RGSH3FD</v>
      </c>
      <c r="B7184" s="1" t="s">
        <v>13688</v>
      </c>
      <c r="C7184" s="9" t="s">
        <v>1629</v>
      </c>
      <c r="D7184" s="14" t="s">
        <v>13689</v>
      </c>
      <c r="E7184" s="9" t="s">
        <v>11</v>
      </c>
    </row>
    <row r="7185" spans="1:5" ht="15" customHeight="1" outlineLevel="2" x14ac:dyDescent="0.25">
      <c r="A7185" s="3" t="str">
        <f>HYPERLINK("http://mystore1.ru/price_items/search?utf8=%E2%9C%93&amp;oem=6547RGSH3FQ","6547RGSH3FQ")</f>
        <v>6547RGSH3FQ</v>
      </c>
      <c r="B7185" s="1" t="s">
        <v>13690</v>
      </c>
      <c r="C7185" s="9" t="s">
        <v>1629</v>
      </c>
      <c r="D7185" s="14" t="s">
        <v>13691</v>
      </c>
      <c r="E7185" s="9" t="s">
        <v>11</v>
      </c>
    </row>
    <row r="7186" spans="1:5" ht="15" customHeight="1" outlineLevel="2" x14ac:dyDescent="0.25">
      <c r="A7186" s="3" t="str">
        <f>HYPERLINK("http://mystore1.ru/price_items/search?utf8=%E2%9C%93&amp;oem=6547RGSH3RQ","6547RGSH3RQ")</f>
        <v>6547RGSH3RQ</v>
      </c>
      <c r="B7186" s="1" t="s">
        <v>13692</v>
      </c>
      <c r="C7186" s="9" t="s">
        <v>1629</v>
      </c>
      <c r="D7186" s="14" t="s">
        <v>13693</v>
      </c>
      <c r="E7186" s="9" t="s">
        <v>11</v>
      </c>
    </row>
    <row r="7187" spans="1:5" ht="15" customHeight="1" outlineLevel="2" x14ac:dyDescent="0.25">
      <c r="A7187" s="3" t="str">
        <f>HYPERLINK("http://mystore1.ru/price_items/search?utf8=%E2%9C%93&amp;oem=6547RGSH3RQ1J","6547RGSH3RQ1J")</f>
        <v>6547RGSH3RQ1J</v>
      </c>
      <c r="B7187" s="1" t="s">
        <v>13694</v>
      </c>
      <c r="C7187" s="9" t="s">
        <v>1629</v>
      </c>
      <c r="D7187" s="14" t="s">
        <v>13695</v>
      </c>
      <c r="E7187" s="9" t="s">
        <v>11</v>
      </c>
    </row>
    <row r="7188" spans="1:5" ht="15" customHeight="1" outlineLevel="2" x14ac:dyDescent="0.25">
      <c r="A7188" s="3" t="str">
        <f>HYPERLINK("http://mystore1.ru/price_items/search?utf8=%E2%9C%93&amp;oem=6547RYPH3RQ1J","6547RYPH3RQ1J")</f>
        <v>6547RYPH3RQ1J</v>
      </c>
      <c r="B7188" s="1" t="s">
        <v>13696</v>
      </c>
      <c r="C7188" s="9" t="s">
        <v>1629</v>
      </c>
      <c r="D7188" s="14" t="s">
        <v>13697</v>
      </c>
      <c r="E7188" s="9" t="s">
        <v>11</v>
      </c>
    </row>
    <row r="7189" spans="1:5" outlineLevel="1" x14ac:dyDescent="0.25">
      <c r="A7189" s="2"/>
      <c r="B7189" s="6" t="s">
        <v>13698</v>
      </c>
      <c r="C7189" s="8"/>
      <c r="D7189" s="8"/>
      <c r="E7189" s="8"/>
    </row>
    <row r="7190" spans="1:5" ht="15" customHeight="1" outlineLevel="2" x14ac:dyDescent="0.25">
      <c r="A7190" s="3" t="str">
        <f>HYPERLINK("http://mystore1.ru/price_items/search?utf8=%E2%9C%93&amp;oem=6560AGAMVW1B","6560AGAMVW1B")</f>
        <v>6560AGAMVW1B</v>
      </c>
      <c r="B7190" s="1" t="s">
        <v>13699</v>
      </c>
      <c r="C7190" s="9" t="s">
        <v>369</v>
      </c>
      <c r="D7190" s="14" t="s">
        <v>13700</v>
      </c>
      <c r="E7190" s="9" t="s">
        <v>8</v>
      </c>
    </row>
    <row r="7191" spans="1:5" ht="15" customHeight="1" outlineLevel="2" x14ac:dyDescent="0.25">
      <c r="A7191" s="3" t="str">
        <f>HYPERLINK("http://mystore1.ru/price_items/search?utf8=%E2%9C%93&amp;oem=6560AGAVW","6560AGAVW")</f>
        <v>6560AGAVW</v>
      </c>
      <c r="B7191" s="1" t="s">
        <v>13701</v>
      </c>
      <c r="C7191" s="9" t="s">
        <v>369</v>
      </c>
      <c r="D7191" s="14" t="s">
        <v>13702</v>
      </c>
      <c r="E7191" s="9" t="s">
        <v>8</v>
      </c>
    </row>
    <row r="7192" spans="1:5" outlineLevel="1" x14ac:dyDescent="0.25">
      <c r="A7192" s="2"/>
      <c r="B7192" s="6" t="s">
        <v>13703</v>
      </c>
      <c r="C7192" s="8"/>
      <c r="D7192" s="8"/>
      <c r="E7192" s="8"/>
    </row>
    <row r="7193" spans="1:5" ht="15" customHeight="1" outlineLevel="2" x14ac:dyDescent="0.25">
      <c r="A7193" s="3" t="str">
        <f>HYPERLINK("http://mystore1.ru/price_items/search?utf8=%E2%9C%93&amp;oem=6557AGSV","6557AGSV")</f>
        <v>6557AGSV</v>
      </c>
      <c r="B7193" s="1" t="s">
        <v>13704</v>
      </c>
      <c r="C7193" s="9" t="s">
        <v>642</v>
      </c>
      <c r="D7193" s="14" t="s">
        <v>13705</v>
      </c>
      <c r="E7193" s="9" t="s">
        <v>8</v>
      </c>
    </row>
    <row r="7194" spans="1:5" outlineLevel="1" x14ac:dyDescent="0.25">
      <c r="A7194" s="2"/>
      <c r="B7194" s="6" t="s">
        <v>13706</v>
      </c>
      <c r="C7194" s="8"/>
      <c r="D7194" s="8"/>
      <c r="E7194" s="8"/>
    </row>
    <row r="7195" spans="1:5" ht="15" customHeight="1" outlineLevel="2" x14ac:dyDescent="0.25">
      <c r="A7195" s="3" t="str">
        <f>HYPERLINK("http://mystore1.ru/price_items/search?utf8=%E2%9C%93&amp;oem=6523ACL1B","6523ACL1B")</f>
        <v>6523ACL1B</v>
      </c>
      <c r="B7195" s="1" t="s">
        <v>13707</v>
      </c>
      <c r="C7195" s="9" t="s">
        <v>727</v>
      </c>
      <c r="D7195" s="14" t="s">
        <v>13708</v>
      </c>
      <c r="E7195" s="9" t="s">
        <v>8</v>
      </c>
    </row>
    <row r="7196" spans="1:5" ht="15" customHeight="1" outlineLevel="2" x14ac:dyDescent="0.25">
      <c r="A7196" s="3" t="str">
        <f>HYPERLINK("http://mystore1.ru/price_items/search?utf8=%E2%9C%93&amp;oem=6523AGN1B","6523AGN1B")</f>
        <v>6523AGN1B</v>
      </c>
      <c r="B7196" s="1" t="s">
        <v>13709</v>
      </c>
      <c r="C7196" s="9" t="s">
        <v>727</v>
      </c>
      <c r="D7196" s="14" t="s">
        <v>13710</v>
      </c>
      <c r="E7196" s="9" t="s">
        <v>8</v>
      </c>
    </row>
    <row r="7197" spans="1:5" ht="15" customHeight="1" outlineLevel="2" x14ac:dyDescent="0.25">
      <c r="A7197" s="3" t="str">
        <f>HYPERLINK("http://mystore1.ru/price_items/search?utf8=%E2%9C%93&amp;oem=6523AGNGN1B","6523AGNGN1B")</f>
        <v>6523AGNGN1B</v>
      </c>
      <c r="B7197" s="1" t="s">
        <v>13711</v>
      </c>
      <c r="C7197" s="9" t="s">
        <v>727</v>
      </c>
      <c r="D7197" s="14" t="s">
        <v>13712</v>
      </c>
      <c r="E7197" s="9" t="s">
        <v>8</v>
      </c>
    </row>
    <row r="7198" spans="1:5" ht="15" customHeight="1" outlineLevel="2" x14ac:dyDescent="0.25">
      <c r="A7198" s="3" t="str">
        <f>HYPERLINK("http://mystore1.ru/price_items/search?utf8=%E2%9C%93&amp;oem=2722ASMV","2722ASMV")</f>
        <v>2722ASMV</v>
      </c>
      <c r="B7198" s="1" t="s">
        <v>2652</v>
      </c>
      <c r="C7198" s="9" t="s">
        <v>25</v>
      </c>
      <c r="D7198" s="14" t="s">
        <v>13713</v>
      </c>
      <c r="E7198" s="9" t="s">
        <v>27</v>
      </c>
    </row>
    <row r="7199" spans="1:5" ht="15" customHeight="1" outlineLevel="2" x14ac:dyDescent="0.25">
      <c r="A7199" s="3" t="str">
        <f>HYPERLINK("http://mystore1.ru/price_items/search?utf8=%E2%9C%93&amp;oem=6523BCLVRU","6523BCLVRU")</f>
        <v>6523BCLVRU</v>
      </c>
      <c r="B7199" s="1" t="s">
        <v>13714</v>
      </c>
      <c r="C7199" s="9" t="s">
        <v>2655</v>
      </c>
      <c r="D7199" s="14" t="s">
        <v>13715</v>
      </c>
      <c r="E7199" s="9" t="s">
        <v>30</v>
      </c>
    </row>
    <row r="7200" spans="1:5" ht="15" customHeight="1" outlineLevel="2" x14ac:dyDescent="0.25">
      <c r="A7200" s="3" t="str">
        <f>HYPERLINK("http://mystore1.ru/price_items/search?utf8=%E2%9C%93&amp;oem=6523LCLV2FD","6523LCLV2FD")</f>
        <v>6523LCLV2FD</v>
      </c>
      <c r="B7200" s="1" t="s">
        <v>13716</v>
      </c>
      <c r="C7200" s="9" t="s">
        <v>2655</v>
      </c>
      <c r="D7200" s="14" t="s">
        <v>13717</v>
      </c>
      <c r="E7200" s="9" t="s">
        <v>11</v>
      </c>
    </row>
    <row r="7201" spans="1:5" ht="15" customHeight="1" outlineLevel="2" x14ac:dyDescent="0.25">
      <c r="A7201" s="3" t="str">
        <f>HYPERLINK("http://mystore1.ru/price_items/search?utf8=%E2%9C%93&amp;oem=6523LCLV2FV","6523LCLV2FV")</f>
        <v>6523LCLV2FV</v>
      </c>
      <c r="B7201" s="1" t="s">
        <v>13718</v>
      </c>
      <c r="C7201" s="9" t="s">
        <v>2655</v>
      </c>
      <c r="D7201" s="14" t="s">
        <v>13719</v>
      </c>
      <c r="E7201" s="9" t="s">
        <v>11</v>
      </c>
    </row>
    <row r="7202" spans="1:5" ht="15" customHeight="1" outlineLevel="2" x14ac:dyDescent="0.25">
      <c r="A7202" s="3" t="str">
        <f>HYPERLINK("http://mystore1.ru/price_items/search?utf8=%E2%9C%93&amp;oem=6523LGNV2FD","6523LGNV2FD")</f>
        <v>6523LGNV2FD</v>
      </c>
      <c r="B7202" s="1" t="s">
        <v>13720</v>
      </c>
      <c r="C7202" s="9" t="s">
        <v>2655</v>
      </c>
      <c r="D7202" s="14" t="s">
        <v>13721</v>
      </c>
      <c r="E7202" s="9" t="s">
        <v>11</v>
      </c>
    </row>
    <row r="7203" spans="1:5" ht="15" customHeight="1" outlineLevel="2" x14ac:dyDescent="0.25">
      <c r="A7203" s="3" t="str">
        <f>HYPERLINK("http://mystore1.ru/price_items/search?utf8=%E2%9C%93&amp;oem=6523RCLV2FD","6523RCLV2FD")</f>
        <v>6523RCLV2FD</v>
      </c>
      <c r="B7203" s="1" t="s">
        <v>13722</v>
      </c>
      <c r="C7203" s="9" t="s">
        <v>2655</v>
      </c>
      <c r="D7203" s="14" t="s">
        <v>13723</v>
      </c>
      <c r="E7203" s="9" t="s">
        <v>11</v>
      </c>
    </row>
    <row r="7204" spans="1:5" ht="15" customHeight="1" outlineLevel="2" x14ac:dyDescent="0.25">
      <c r="A7204" s="3" t="str">
        <f>HYPERLINK("http://mystore1.ru/price_items/search?utf8=%E2%9C%93&amp;oem=6523RGNV2FD","6523RGNV2FD")</f>
        <v>6523RGNV2FD</v>
      </c>
      <c r="B7204" s="1" t="s">
        <v>13724</v>
      </c>
      <c r="C7204" s="9" t="s">
        <v>2655</v>
      </c>
      <c r="D7204" s="14" t="s">
        <v>13725</v>
      </c>
      <c r="E7204" s="9" t="s">
        <v>11</v>
      </c>
    </row>
    <row r="7205" spans="1:5" outlineLevel="1" x14ac:dyDescent="0.25">
      <c r="A7205" s="2"/>
      <c r="B7205" s="6" t="s">
        <v>13726</v>
      </c>
      <c r="C7205" s="8"/>
      <c r="D7205" s="8"/>
      <c r="E7205" s="8"/>
    </row>
    <row r="7206" spans="1:5" ht="15" customHeight="1" outlineLevel="2" x14ac:dyDescent="0.25">
      <c r="A7206" s="3" t="str">
        <f>HYPERLINK("http://mystore1.ru/price_items/search?utf8=%E2%9C%93&amp;oem=6552ACCMVZ1B","6552ACCMVZ1B")</f>
        <v>6552ACCMVZ1B</v>
      </c>
      <c r="B7206" s="1" t="s">
        <v>13727</v>
      </c>
      <c r="C7206" s="9" t="s">
        <v>687</v>
      </c>
      <c r="D7206" s="14" t="s">
        <v>13728</v>
      </c>
      <c r="E7206" s="9" t="s">
        <v>8</v>
      </c>
    </row>
    <row r="7207" spans="1:5" ht="15" customHeight="1" outlineLevel="2" x14ac:dyDescent="0.25">
      <c r="A7207" s="3" t="str">
        <f>HYPERLINK("http://mystore1.ru/price_items/search?utf8=%E2%9C%93&amp;oem=6552ACCVZ","6552ACCVZ")</f>
        <v>6552ACCVZ</v>
      </c>
      <c r="B7207" s="1" t="s">
        <v>13729</v>
      </c>
      <c r="C7207" s="9" t="s">
        <v>687</v>
      </c>
      <c r="D7207" s="14" t="s">
        <v>13730</v>
      </c>
      <c r="E7207" s="9" t="s">
        <v>8</v>
      </c>
    </row>
    <row r="7208" spans="1:5" ht="15" customHeight="1" outlineLevel="2" x14ac:dyDescent="0.25">
      <c r="A7208" s="3" t="str">
        <f>HYPERLINK("http://mystore1.ru/price_items/search?utf8=%E2%9C%93&amp;oem=6552AGSMVZ1B","6552AGSMVZ1B")</f>
        <v>6552AGSMVZ1B</v>
      </c>
      <c r="B7208" s="1" t="s">
        <v>13731</v>
      </c>
      <c r="C7208" s="9" t="s">
        <v>687</v>
      </c>
      <c r="D7208" s="14" t="s">
        <v>13732</v>
      </c>
      <c r="E7208" s="9" t="s">
        <v>8</v>
      </c>
    </row>
    <row r="7209" spans="1:5" ht="15" customHeight="1" outlineLevel="2" x14ac:dyDescent="0.25">
      <c r="A7209" s="3" t="str">
        <f>HYPERLINK("http://mystore1.ru/price_items/search?utf8=%E2%9C%93&amp;oem=6552AGSVZ","6552AGSVZ")</f>
        <v>6552AGSVZ</v>
      </c>
      <c r="B7209" s="1" t="s">
        <v>13733</v>
      </c>
      <c r="C7209" s="9" t="s">
        <v>687</v>
      </c>
      <c r="D7209" s="14" t="s">
        <v>13734</v>
      </c>
      <c r="E7209" s="9" t="s">
        <v>8</v>
      </c>
    </row>
    <row r="7210" spans="1:5" ht="15" customHeight="1" outlineLevel="2" x14ac:dyDescent="0.25">
      <c r="A7210" s="3" t="str">
        <f>HYPERLINK("http://mystore1.ru/price_items/search?utf8=%E2%9C%93&amp;oem=6552LGSV3FDW","6552LGSV3FDW")</f>
        <v>6552LGSV3FDW</v>
      </c>
      <c r="B7210" s="1" t="s">
        <v>13735</v>
      </c>
      <c r="C7210" s="9" t="s">
        <v>687</v>
      </c>
      <c r="D7210" s="14" t="s">
        <v>13736</v>
      </c>
      <c r="E7210" s="9" t="s">
        <v>11</v>
      </c>
    </row>
    <row r="7211" spans="1:5" ht="15" customHeight="1" outlineLevel="2" x14ac:dyDescent="0.25">
      <c r="A7211" s="3" t="str">
        <f>HYPERLINK("http://mystore1.ru/price_items/search?utf8=%E2%9C%93&amp;oem=6552RGSV3FDW","6552RGSV3FDW")</f>
        <v>6552RGSV3FDW</v>
      </c>
      <c r="B7211" s="1" t="s">
        <v>13737</v>
      </c>
      <c r="C7211" s="9" t="s">
        <v>687</v>
      </c>
      <c r="D7211" s="14" t="s">
        <v>13738</v>
      </c>
      <c r="E7211" s="9" t="s">
        <v>11</v>
      </c>
    </row>
    <row r="7212" spans="1:5" outlineLevel="1" x14ac:dyDescent="0.25">
      <c r="A7212" s="2"/>
      <c r="B7212" s="6" t="s">
        <v>13739</v>
      </c>
      <c r="C7212" s="8"/>
      <c r="D7212" s="8"/>
      <c r="E7212" s="8"/>
    </row>
    <row r="7213" spans="1:5" ht="15" customHeight="1" outlineLevel="2" x14ac:dyDescent="0.25">
      <c r="A7213" s="3" t="str">
        <f>HYPERLINK("http://mystore1.ru/price_items/search?utf8=%E2%9C%93&amp;oem=6522ACC","6522ACC")</f>
        <v>6522ACC</v>
      </c>
      <c r="B7213" s="1" t="s">
        <v>13740</v>
      </c>
      <c r="C7213" s="9" t="s">
        <v>2692</v>
      </c>
      <c r="D7213" s="14" t="s">
        <v>13741</v>
      </c>
      <c r="E7213" s="9" t="s">
        <v>8</v>
      </c>
    </row>
    <row r="7214" spans="1:5" ht="15" customHeight="1" outlineLevel="2" x14ac:dyDescent="0.25">
      <c r="A7214" s="3" t="str">
        <f>HYPERLINK("http://mystore1.ru/price_items/search?utf8=%E2%9C%93&amp;oem=6522ACL","6522ACL")</f>
        <v>6522ACL</v>
      </c>
      <c r="B7214" s="1" t="s">
        <v>13742</v>
      </c>
      <c r="C7214" s="9" t="s">
        <v>2692</v>
      </c>
      <c r="D7214" s="14" t="s">
        <v>13743</v>
      </c>
      <c r="E7214" s="9" t="s">
        <v>8</v>
      </c>
    </row>
    <row r="7215" spans="1:5" ht="15" customHeight="1" outlineLevel="2" x14ac:dyDescent="0.25">
      <c r="A7215" s="3" t="str">
        <f>HYPERLINK("http://mystore1.ru/price_items/search?utf8=%E2%9C%93&amp;oem=6522AGS","6522AGS")</f>
        <v>6522AGS</v>
      </c>
      <c r="B7215" s="1" t="s">
        <v>13744</v>
      </c>
      <c r="C7215" s="9" t="s">
        <v>2692</v>
      </c>
      <c r="D7215" s="14" t="s">
        <v>13745</v>
      </c>
      <c r="E7215" s="9" t="s">
        <v>8</v>
      </c>
    </row>
    <row r="7216" spans="1:5" ht="15" customHeight="1" outlineLevel="2" x14ac:dyDescent="0.25">
      <c r="A7216" s="3" t="str">
        <f>HYPERLINK("http://mystore1.ru/price_items/search?utf8=%E2%9C%93&amp;oem=6522ASMV","6522ASMV")</f>
        <v>6522ASMV</v>
      </c>
      <c r="B7216" s="1" t="s">
        <v>13746</v>
      </c>
      <c r="C7216" s="9" t="s">
        <v>25</v>
      </c>
      <c r="D7216" s="14" t="s">
        <v>13747</v>
      </c>
      <c r="E7216" s="9" t="s">
        <v>27</v>
      </c>
    </row>
    <row r="7217" spans="1:5" ht="15" customHeight="1" outlineLevel="2" x14ac:dyDescent="0.25">
      <c r="A7217" s="3" t="str">
        <f>HYPERLINK("http://mystore1.ru/price_items/search?utf8=%E2%9C%93&amp;oem=6522BCLVL","6522BCLVL")</f>
        <v>6522BCLVL</v>
      </c>
      <c r="B7217" s="1" t="s">
        <v>13748</v>
      </c>
      <c r="C7217" s="9" t="s">
        <v>2692</v>
      </c>
      <c r="D7217" s="14" t="s">
        <v>13749</v>
      </c>
      <c r="E7217" s="9" t="s">
        <v>30</v>
      </c>
    </row>
    <row r="7218" spans="1:5" ht="15" customHeight="1" outlineLevel="2" x14ac:dyDescent="0.25">
      <c r="A7218" s="3" t="str">
        <f>HYPERLINK("http://mystore1.ru/price_items/search?utf8=%E2%9C%93&amp;oem=6522BCLVLU","6522BCLVLU")</f>
        <v>6522BCLVLU</v>
      </c>
      <c r="B7218" s="1" t="s">
        <v>13750</v>
      </c>
      <c r="C7218" s="9" t="s">
        <v>2692</v>
      </c>
      <c r="D7218" s="14" t="s">
        <v>13751</v>
      </c>
      <c r="E7218" s="9" t="s">
        <v>30</v>
      </c>
    </row>
    <row r="7219" spans="1:5" ht="15" customHeight="1" outlineLevel="2" x14ac:dyDescent="0.25">
      <c r="A7219" s="3" t="str">
        <f>HYPERLINK("http://mystore1.ru/price_items/search?utf8=%E2%9C%93&amp;oem=6522BCLVR","6522BCLVR")</f>
        <v>6522BCLVR</v>
      </c>
      <c r="B7219" s="1" t="s">
        <v>13752</v>
      </c>
      <c r="C7219" s="9" t="s">
        <v>2692</v>
      </c>
      <c r="D7219" s="14" t="s">
        <v>13753</v>
      </c>
      <c r="E7219" s="9" t="s">
        <v>30</v>
      </c>
    </row>
    <row r="7220" spans="1:5" ht="15" customHeight="1" outlineLevel="2" x14ac:dyDescent="0.25">
      <c r="A7220" s="3" t="str">
        <f>HYPERLINK("http://mystore1.ru/price_items/search?utf8=%E2%9C%93&amp;oem=6522BCLVRU","6522BCLVRU")</f>
        <v>6522BCLVRU</v>
      </c>
      <c r="B7220" s="1" t="s">
        <v>13754</v>
      </c>
      <c r="C7220" s="9" t="s">
        <v>2692</v>
      </c>
      <c r="D7220" s="14" t="s">
        <v>13755</v>
      </c>
      <c r="E7220" s="9" t="s">
        <v>30</v>
      </c>
    </row>
    <row r="7221" spans="1:5" ht="15" customHeight="1" outlineLevel="2" x14ac:dyDescent="0.25">
      <c r="A7221" s="3" t="str">
        <f>HYPERLINK("http://mystore1.ru/price_items/search?utf8=%E2%9C%93&amp;oem=6522BGSVB","6522BGSVB")</f>
        <v>6522BGSVB</v>
      </c>
      <c r="B7221" s="1" t="s">
        <v>13756</v>
      </c>
      <c r="C7221" s="9" t="s">
        <v>2692</v>
      </c>
      <c r="D7221" s="14" t="s">
        <v>13757</v>
      </c>
      <c r="E7221" s="9" t="s">
        <v>30</v>
      </c>
    </row>
    <row r="7222" spans="1:5" ht="15" customHeight="1" outlineLevel="2" x14ac:dyDescent="0.25">
      <c r="A7222" s="3" t="str">
        <f>HYPERLINK("http://mystore1.ru/price_items/search?utf8=%E2%9C%93&amp;oem=6522BGSVL","6522BGSVL")</f>
        <v>6522BGSVL</v>
      </c>
      <c r="B7222" s="1" t="s">
        <v>13758</v>
      </c>
      <c r="C7222" s="9" t="s">
        <v>2692</v>
      </c>
      <c r="D7222" s="14" t="s">
        <v>13759</v>
      </c>
      <c r="E7222" s="9" t="s">
        <v>30</v>
      </c>
    </row>
    <row r="7223" spans="1:5" ht="15" customHeight="1" outlineLevel="2" x14ac:dyDescent="0.25">
      <c r="A7223" s="3" t="str">
        <f>HYPERLINK("http://mystore1.ru/price_items/search?utf8=%E2%9C%93&amp;oem=6522BGSVLU","6522BGSVLU")</f>
        <v>6522BGSVLU</v>
      </c>
      <c r="B7223" s="1" t="s">
        <v>13760</v>
      </c>
      <c r="C7223" s="9" t="s">
        <v>2692</v>
      </c>
      <c r="D7223" s="14" t="s">
        <v>13761</v>
      </c>
      <c r="E7223" s="9" t="s">
        <v>30</v>
      </c>
    </row>
    <row r="7224" spans="1:5" ht="15" customHeight="1" outlineLevel="2" x14ac:dyDescent="0.25">
      <c r="A7224" s="3" t="str">
        <f>HYPERLINK("http://mystore1.ru/price_items/search?utf8=%E2%9C%93&amp;oem=6522BGSVR","6522BGSVR")</f>
        <v>6522BGSVR</v>
      </c>
      <c r="B7224" s="1" t="s">
        <v>13762</v>
      </c>
      <c r="C7224" s="9" t="s">
        <v>2692</v>
      </c>
      <c r="D7224" s="14" t="s">
        <v>13763</v>
      </c>
      <c r="E7224" s="9" t="s">
        <v>30</v>
      </c>
    </row>
    <row r="7225" spans="1:5" ht="15" customHeight="1" outlineLevel="2" x14ac:dyDescent="0.25">
      <c r="A7225" s="3" t="str">
        <f>HYPERLINK("http://mystore1.ru/price_items/search?utf8=%E2%9C%93&amp;oem=6522BGSVRU","6522BGSVRU")</f>
        <v>6522BGSVRU</v>
      </c>
      <c r="B7225" s="1" t="s">
        <v>13764</v>
      </c>
      <c r="C7225" s="9" t="s">
        <v>2692</v>
      </c>
      <c r="D7225" s="14" t="s">
        <v>13765</v>
      </c>
      <c r="E7225" s="9" t="s">
        <v>30</v>
      </c>
    </row>
    <row r="7226" spans="1:5" ht="15" customHeight="1" outlineLevel="2" x14ac:dyDescent="0.25">
      <c r="A7226" s="3" t="str">
        <f>HYPERLINK("http://mystore1.ru/price_items/search?utf8=%E2%9C%93&amp;oem=6522LCLV5FD","6522LCLV5FD")</f>
        <v>6522LCLV5FD</v>
      </c>
      <c r="B7226" s="1" t="s">
        <v>13766</v>
      </c>
      <c r="C7226" s="9" t="s">
        <v>2692</v>
      </c>
      <c r="D7226" s="14" t="s">
        <v>13767</v>
      </c>
      <c r="E7226" s="9" t="s">
        <v>11</v>
      </c>
    </row>
    <row r="7227" spans="1:5" ht="15" customHeight="1" outlineLevel="2" x14ac:dyDescent="0.25">
      <c r="A7227" s="3" t="str">
        <f>HYPERLINK("http://mystore1.ru/price_items/search?utf8=%E2%9C%93&amp;oem=6522LCLV5FQ","6522LCLV5FQ")</f>
        <v>6522LCLV5FQ</v>
      </c>
      <c r="B7227" s="1" t="s">
        <v>13768</v>
      </c>
      <c r="C7227" s="9" t="s">
        <v>2692</v>
      </c>
      <c r="D7227" s="14" t="s">
        <v>13769</v>
      </c>
      <c r="E7227" s="9" t="s">
        <v>11</v>
      </c>
    </row>
    <row r="7228" spans="1:5" ht="15" customHeight="1" outlineLevel="2" x14ac:dyDescent="0.25">
      <c r="A7228" s="3" t="str">
        <f>HYPERLINK("http://mystore1.ru/price_items/search?utf8=%E2%9C%93&amp;oem=6522LGSV5FQ","6522LGSV5FQ")</f>
        <v>6522LGSV5FQ</v>
      </c>
      <c r="B7228" s="1" t="s">
        <v>13770</v>
      </c>
      <c r="C7228" s="9" t="s">
        <v>2692</v>
      </c>
      <c r="D7228" s="14" t="s">
        <v>13771</v>
      </c>
      <c r="E7228" s="9" t="s">
        <v>11</v>
      </c>
    </row>
    <row r="7229" spans="1:5" ht="15" customHeight="1" outlineLevel="2" x14ac:dyDescent="0.25">
      <c r="A7229" s="3" t="str">
        <f>HYPERLINK("http://mystore1.ru/price_items/search?utf8=%E2%9C%93&amp;oem=6522RCLV5FD","6522RCLV5FD")</f>
        <v>6522RCLV5FD</v>
      </c>
      <c r="B7229" s="1" t="s">
        <v>13772</v>
      </c>
      <c r="C7229" s="9" t="s">
        <v>2692</v>
      </c>
      <c r="D7229" s="14" t="s">
        <v>13773</v>
      </c>
      <c r="E7229" s="9" t="s">
        <v>11</v>
      </c>
    </row>
    <row r="7230" spans="1:5" ht="15" customHeight="1" outlineLevel="2" x14ac:dyDescent="0.25">
      <c r="A7230" s="3" t="str">
        <f>HYPERLINK("http://mystore1.ru/price_items/search?utf8=%E2%9C%93&amp;oem=6522RCLV5FQ","6522RCLV5FQ")</f>
        <v>6522RCLV5FQ</v>
      </c>
      <c r="B7230" s="1" t="s">
        <v>13774</v>
      </c>
      <c r="C7230" s="9" t="s">
        <v>2692</v>
      </c>
      <c r="D7230" s="14" t="s">
        <v>13775</v>
      </c>
      <c r="E7230" s="9" t="s">
        <v>11</v>
      </c>
    </row>
    <row r="7231" spans="1:5" ht="15" customHeight="1" outlineLevel="2" x14ac:dyDescent="0.25">
      <c r="A7231" s="3" t="str">
        <f>HYPERLINK("http://mystore1.ru/price_items/search?utf8=%E2%9C%93&amp;oem=6522RGSV5FQ","6522RGSV5FQ")</f>
        <v>6522RGSV5FQ</v>
      </c>
      <c r="B7231" s="1" t="s">
        <v>13776</v>
      </c>
      <c r="C7231" s="9" t="s">
        <v>2692</v>
      </c>
      <c r="D7231" s="14" t="s">
        <v>13777</v>
      </c>
      <c r="E7231" s="9" t="s">
        <v>11</v>
      </c>
    </row>
    <row r="7232" spans="1:5" outlineLevel="1" x14ac:dyDescent="0.25">
      <c r="A7232" s="2"/>
      <c r="B7232" s="6" t="s">
        <v>13778</v>
      </c>
      <c r="C7232" s="8"/>
      <c r="D7232" s="8"/>
      <c r="E7232" s="8"/>
    </row>
    <row r="7233" spans="1:5" ht="15" customHeight="1" outlineLevel="2" x14ac:dyDescent="0.25">
      <c r="A7233" s="3" t="str">
        <f>HYPERLINK("http://mystore1.ru/price_items/search?utf8=%E2%9C%93&amp;oem=6553ACCMVZ1P","6553ACCMVZ1P")</f>
        <v>6553ACCMVZ1P</v>
      </c>
      <c r="B7233" s="1" t="s">
        <v>13779</v>
      </c>
      <c r="C7233" s="9" t="s">
        <v>687</v>
      </c>
      <c r="D7233" s="14" t="s">
        <v>13780</v>
      </c>
      <c r="E7233" s="9" t="s">
        <v>8</v>
      </c>
    </row>
    <row r="7234" spans="1:5" ht="15" customHeight="1" outlineLevel="2" x14ac:dyDescent="0.25">
      <c r="A7234" s="3" t="str">
        <f>HYPERLINK("http://mystore1.ru/price_items/search?utf8=%E2%9C%93&amp;oem=6553ACCVZ","6553ACCVZ")</f>
        <v>6553ACCVZ</v>
      </c>
      <c r="B7234" s="1" t="s">
        <v>13781</v>
      </c>
      <c r="C7234" s="9" t="s">
        <v>687</v>
      </c>
      <c r="D7234" s="14" t="s">
        <v>13782</v>
      </c>
      <c r="E7234" s="9" t="s">
        <v>8</v>
      </c>
    </row>
    <row r="7235" spans="1:5" ht="15" customHeight="1" outlineLevel="2" x14ac:dyDescent="0.25">
      <c r="A7235" s="3" t="str">
        <f>HYPERLINK("http://mystore1.ru/price_items/search?utf8=%E2%9C%93&amp;oem=6553AGSMVZ1P","6553AGSMVZ1P")</f>
        <v>6553AGSMVZ1P</v>
      </c>
      <c r="B7235" s="1" t="s">
        <v>13783</v>
      </c>
      <c r="C7235" s="9" t="s">
        <v>687</v>
      </c>
      <c r="D7235" s="14" t="s">
        <v>13784</v>
      </c>
      <c r="E7235" s="9" t="s">
        <v>8</v>
      </c>
    </row>
    <row r="7236" spans="1:5" ht="15" customHeight="1" outlineLevel="2" x14ac:dyDescent="0.25">
      <c r="A7236" s="3" t="str">
        <f>HYPERLINK("http://mystore1.ru/price_items/search?utf8=%E2%9C%93&amp;oem=6553AGSVZ","6553AGSVZ")</f>
        <v>6553AGSVZ</v>
      </c>
      <c r="B7236" s="1" t="s">
        <v>13785</v>
      </c>
      <c r="C7236" s="9" t="s">
        <v>687</v>
      </c>
      <c r="D7236" s="14" t="s">
        <v>13786</v>
      </c>
      <c r="E7236" s="9" t="s">
        <v>8</v>
      </c>
    </row>
    <row r="7237" spans="1:5" ht="15" customHeight="1" outlineLevel="2" x14ac:dyDescent="0.25">
      <c r="A7237" s="3" t="str">
        <f>HYPERLINK("http://mystore1.ru/price_items/search?utf8=%E2%9C%93&amp;oem=6553BGDVB","6553BGDVB")</f>
        <v>6553BGDVB</v>
      </c>
      <c r="B7237" s="1" t="s">
        <v>13787</v>
      </c>
      <c r="C7237" s="9" t="s">
        <v>687</v>
      </c>
      <c r="D7237" s="14" t="s">
        <v>13788</v>
      </c>
      <c r="E7237" s="9" t="s">
        <v>30</v>
      </c>
    </row>
    <row r="7238" spans="1:5" ht="15" customHeight="1" outlineLevel="2" x14ac:dyDescent="0.25">
      <c r="A7238" s="3" t="str">
        <f>HYPERLINK("http://mystore1.ru/price_items/search?utf8=%E2%9C%93&amp;oem=6553BGSVB","6553BGSVB")</f>
        <v>6553BGSVB</v>
      </c>
      <c r="B7238" s="1" t="s">
        <v>13789</v>
      </c>
      <c r="C7238" s="9" t="s">
        <v>687</v>
      </c>
      <c r="D7238" s="14" t="s">
        <v>13790</v>
      </c>
      <c r="E7238" s="9" t="s">
        <v>30</v>
      </c>
    </row>
    <row r="7239" spans="1:5" ht="15" customHeight="1" outlineLevel="2" x14ac:dyDescent="0.25">
      <c r="A7239" s="3" t="str">
        <f>HYPERLINK("http://mystore1.ru/price_items/search?utf8=%E2%9C%93&amp;oem=6553BGSVL","6553BGSVL")</f>
        <v>6553BGSVL</v>
      </c>
      <c r="B7239" s="1" t="s">
        <v>13791</v>
      </c>
      <c r="C7239" s="9" t="s">
        <v>687</v>
      </c>
      <c r="D7239" s="14" t="s">
        <v>13792</v>
      </c>
      <c r="E7239" s="9" t="s">
        <v>30</v>
      </c>
    </row>
    <row r="7240" spans="1:5" ht="15" customHeight="1" outlineLevel="2" x14ac:dyDescent="0.25">
      <c r="A7240" s="3" t="str">
        <f>HYPERLINK("http://mystore1.ru/price_items/search?utf8=%E2%9C%93&amp;oem=6553BGSVLU","6553BGSVLU")</f>
        <v>6553BGSVLU</v>
      </c>
      <c r="B7240" s="1" t="s">
        <v>13793</v>
      </c>
      <c r="C7240" s="9" t="s">
        <v>687</v>
      </c>
      <c r="D7240" s="14" t="s">
        <v>13794</v>
      </c>
      <c r="E7240" s="9" t="s">
        <v>30</v>
      </c>
    </row>
    <row r="7241" spans="1:5" ht="15" customHeight="1" outlineLevel="2" x14ac:dyDescent="0.25">
      <c r="A7241" s="3" t="str">
        <f>HYPERLINK("http://mystore1.ru/price_items/search?utf8=%E2%9C%93&amp;oem=6553BGSVR","6553BGSVR")</f>
        <v>6553BGSVR</v>
      </c>
      <c r="B7241" s="1" t="s">
        <v>13795</v>
      </c>
      <c r="C7241" s="9" t="s">
        <v>687</v>
      </c>
      <c r="D7241" s="14" t="s">
        <v>13796</v>
      </c>
      <c r="E7241" s="9" t="s">
        <v>30</v>
      </c>
    </row>
    <row r="7242" spans="1:5" ht="15" customHeight="1" outlineLevel="2" x14ac:dyDescent="0.25">
      <c r="A7242" s="3" t="str">
        <f>HYPERLINK("http://mystore1.ru/price_items/search?utf8=%E2%9C%93&amp;oem=6553BGSVRU","6553BGSVRU")</f>
        <v>6553BGSVRU</v>
      </c>
      <c r="B7242" s="1" t="s">
        <v>13797</v>
      </c>
      <c r="C7242" s="9" t="s">
        <v>687</v>
      </c>
      <c r="D7242" s="14" t="s">
        <v>13798</v>
      </c>
      <c r="E7242" s="9" t="s">
        <v>30</v>
      </c>
    </row>
    <row r="7243" spans="1:5" ht="15" customHeight="1" outlineLevel="2" x14ac:dyDescent="0.25">
      <c r="A7243" s="3" t="str">
        <f>HYPERLINK("http://mystore1.ru/price_items/search?utf8=%E2%9C%93&amp;oem=6553LGDV5RQ","6553LGDV5RQ")</f>
        <v>6553LGDV5RQ</v>
      </c>
      <c r="B7243" s="1" t="s">
        <v>13799</v>
      </c>
      <c r="C7243" s="9" t="s">
        <v>687</v>
      </c>
      <c r="D7243" s="14" t="s">
        <v>13800</v>
      </c>
      <c r="E7243" s="9" t="s">
        <v>11</v>
      </c>
    </row>
    <row r="7244" spans="1:5" ht="15" customHeight="1" outlineLevel="2" x14ac:dyDescent="0.25">
      <c r="A7244" s="3" t="str">
        <f>HYPERLINK("http://mystore1.ru/price_items/search?utf8=%E2%9C%93&amp;oem=6553LGDV5RQ1J","6553LGDV5RQ1J")</f>
        <v>6553LGDV5RQ1J</v>
      </c>
      <c r="B7244" s="1" t="s">
        <v>13801</v>
      </c>
      <c r="C7244" s="9" t="s">
        <v>687</v>
      </c>
      <c r="D7244" s="14" t="s">
        <v>13802</v>
      </c>
      <c r="E7244" s="9" t="s">
        <v>11</v>
      </c>
    </row>
    <row r="7245" spans="1:5" ht="15" customHeight="1" outlineLevel="2" x14ac:dyDescent="0.25">
      <c r="A7245" s="3" t="str">
        <f>HYPERLINK("http://mystore1.ru/price_items/search?utf8=%E2%9C%93&amp;oem=6553LGPV5RD","6553LGPV5RD")</f>
        <v>6553LGPV5RD</v>
      </c>
      <c r="B7245" s="1" t="s">
        <v>13803</v>
      </c>
      <c r="C7245" s="9" t="s">
        <v>687</v>
      </c>
      <c r="D7245" s="14" t="s">
        <v>13804</v>
      </c>
      <c r="E7245" s="9" t="s">
        <v>11</v>
      </c>
    </row>
    <row r="7246" spans="1:5" ht="15" customHeight="1" outlineLevel="2" x14ac:dyDescent="0.25">
      <c r="A7246" s="3" t="str">
        <f>HYPERLINK("http://mystore1.ru/price_items/search?utf8=%E2%9C%93&amp;oem=6553LGSV5FD","6553LGSV5FD")</f>
        <v>6553LGSV5FD</v>
      </c>
      <c r="B7246" s="1" t="s">
        <v>13805</v>
      </c>
      <c r="C7246" s="9" t="s">
        <v>687</v>
      </c>
      <c r="D7246" s="14" t="s">
        <v>13806</v>
      </c>
      <c r="E7246" s="9" t="s">
        <v>11</v>
      </c>
    </row>
    <row r="7247" spans="1:5" ht="15" customHeight="1" outlineLevel="2" x14ac:dyDescent="0.25">
      <c r="A7247" s="3" t="str">
        <f>HYPERLINK("http://mystore1.ru/price_items/search?utf8=%E2%9C%93&amp;oem=6553LGSV5RD","6553LGSV5RD")</f>
        <v>6553LGSV5RD</v>
      </c>
      <c r="B7247" s="1" t="s">
        <v>13807</v>
      </c>
      <c r="C7247" s="9" t="s">
        <v>687</v>
      </c>
      <c r="D7247" s="14" t="s">
        <v>13808</v>
      </c>
      <c r="E7247" s="9" t="s">
        <v>11</v>
      </c>
    </row>
    <row r="7248" spans="1:5" ht="15" customHeight="1" outlineLevel="2" x14ac:dyDescent="0.25">
      <c r="A7248" s="3" t="str">
        <f>HYPERLINK("http://mystore1.ru/price_items/search?utf8=%E2%9C%93&amp;oem=6553LGSV5RQ","6553LGSV5RQ")</f>
        <v>6553LGSV5RQ</v>
      </c>
      <c r="B7248" s="1" t="s">
        <v>13809</v>
      </c>
      <c r="C7248" s="9" t="s">
        <v>687</v>
      </c>
      <c r="D7248" s="14" t="s">
        <v>13810</v>
      </c>
      <c r="E7248" s="9" t="s">
        <v>11</v>
      </c>
    </row>
    <row r="7249" spans="1:5" ht="15" customHeight="1" outlineLevel="2" x14ac:dyDescent="0.25">
      <c r="A7249" s="3" t="str">
        <f>HYPERLINK("http://mystore1.ru/price_items/search?utf8=%E2%9C%93&amp;oem=6553LGSV5RQ1J","6553LGSV5RQ1J")</f>
        <v>6553LGSV5RQ1J</v>
      </c>
      <c r="B7249" s="1" t="s">
        <v>13811</v>
      </c>
      <c r="C7249" s="9" t="s">
        <v>687</v>
      </c>
      <c r="D7249" s="14" t="s">
        <v>13812</v>
      </c>
      <c r="E7249" s="9" t="s">
        <v>11</v>
      </c>
    </row>
    <row r="7250" spans="1:5" ht="15" customHeight="1" outlineLevel="2" x14ac:dyDescent="0.25">
      <c r="A7250" s="3" t="str">
        <f>HYPERLINK("http://mystore1.ru/price_items/search?utf8=%E2%9C%93&amp;oem=6553RGDV5RQ","6553RGDV5RQ")</f>
        <v>6553RGDV5RQ</v>
      </c>
      <c r="B7250" s="1" t="s">
        <v>13813</v>
      </c>
      <c r="C7250" s="9" t="s">
        <v>687</v>
      </c>
      <c r="D7250" s="14" t="s">
        <v>13814</v>
      </c>
      <c r="E7250" s="9" t="s">
        <v>11</v>
      </c>
    </row>
    <row r="7251" spans="1:5" ht="15" customHeight="1" outlineLevel="2" x14ac:dyDescent="0.25">
      <c r="A7251" s="3" t="str">
        <f>HYPERLINK("http://mystore1.ru/price_items/search?utf8=%E2%9C%93&amp;oem=6553RGDV5RQ1J","6553RGDV5RQ1J")</f>
        <v>6553RGDV5RQ1J</v>
      </c>
      <c r="B7251" s="1" t="s">
        <v>13815</v>
      </c>
      <c r="C7251" s="9" t="s">
        <v>687</v>
      </c>
      <c r="D7251" s="14" t="s">
        <v>13816</v>
      </c>
      <c r="E7251" s="9" t="s">
        <v>11</v>
      </c>
    </row>
    <row r="7252" spans="1:5" ht="15" customHeight="1" outlineLevel="2" x14ac:dyDescent="0.25">
      <c r="A7252" s="3" t="str">
        <f>HYPERLINK("http://mystore1.ru/price_items/search?utf8=%E2%9C%93&amp;oem=6553RGPV5RD","6553RGPV5RD")</f>
        <v>6553RGPV5RD</v>
      </c>
      <c r="B7252" s="1" t="s">
        <v>13817</v>
      </c>
      <c r="C7252" s="9" t="s">
        <v>687</v>
      </c>
      <c r="D7252" s="14" t="s">
        <v>13818</v>
      </c>
      <c r="E7252" s="9" t="s">
        <v>11</v>
      </c>
    </row>
    <row r="7253" spans="1:5" ht="15" customHeight="1" outlineLevel="2" x14ac:dyDescent="0.25">
      <c r="A7253" s="3" t="str">
        <f>HYPERLINK("http://mystore1.ru/price_items/search?utf8=%E2%9C%93&amp;oem=6553RGSV5FD","6553RGSV5FD")</f>
        <v>6553RGSV5FD</v>
      </c>
      <c r="B7253" s="1" t="s">
        <v>13819</v>
      </c>
      <c r="C7253" s="9" t="s">
        <v>687</v>
      </c>
      <c r="D7253" s="14" t="s">
        <v>13820</v>
      </c>
      <c r="E7253" s="9" t="s">
        <v>11</v>
      </c>
    </row>
    <row r="7254" spans="1:5" ht="15" customHeight="1" outlineLevel="2" x14ac:dyDescent="0.25">
      <c r="A7254" s="3" t="str">
        <f>HYPERLINK("http://mystore1.ru/price_items/search?utf8=%E2%9C%93&amp;oem=6553RGSV5RD","6553RGSV5RD")</f>
        <v>6553RGSV5RD</v>
      </c>
      <c r="B7254" s="1" t="s">
        <v>13821</v>
      </c>
      <c r="C7254" s="9" t="s">
        <v>687</v>
      </c>
      <c r="D7254" s="14" t="s">
        <v>13822</v>
      </c>
      <c r="E7254" s="9" t="s">
        <v>11</v>
      </c>
    </row>
    <row r="7255" spans="1:5" ht="15" customHeight="1" outlineLevel="2" x14ac:dyDescent="0.25">
      <c r="A7255" s="3" t="str">
        <f>HYPERLINK("http://mystore1.ru/price_items/search?utf8=%E2%9C%93&amp;oem=6553RGSV5RQ","6553RGSV5RQ")</f>
        <v>6553RGSV5RQ</v>
      </c>
      <c r="B7255" s="1" t="s">
        <v>13823</v>
      </c>
      <c r="C7255" s="9" t="s">
        <v>687</v>
      </c>
      <c r="D7255" s="14" t="s">
        <v>13824</v>
      </c>
      <c r="E7255" s="9" t="s">
        <v>11</v>
      </c>
    </row>
    <row r="7256" spans="1:5" ht="15" customHeight="1" outlineLevel="2" x14ac:dyDescent="0.25">
      <c r="A7256" s="3" t="str">
        <f>HYPERLINK("http://mystore1.ru/price_items/search?utf8=%E2%9C%93&amp;oem=6553RGSV5RQ1J","6553RGSV5RQ1J")</f>
        <v>6553RGSV5RQ1J</v>
      </c>
      <c r="B7256" s="1" t="s">
        <v>13825</v>
      </c>
      <c r="C7256" s="9" t="s">
        <v>687</v>
      </c>
      <c r="D7256" s="14" t="s">
        <v>13826</v>
      </c>
      <c r="E7256" s="9" t="s">
        <v>11</v>
      </c>
    </row>
    <row r="7257" spans="1:5" outlineLevel="1" x14ac:dyDescent="0.25">
      <c r="A7257" s="2"/>
      <c r="B7257" s="6" t="s">
        <v>13827</v>
      </c>
      <c r="C7257" s="8"/>
      <c r="D7257" s="8"/>
      <c r="E7257" s="8"/>
    </row>
    <row r="7258" spans="1:5" ht="15" customHeight="1" outlineLevel="2" x14ac:dyDescent="0.25">
      <c r="A7258" s="3" t="str">
        <f>HYPERLINK("http://mystore1.ru/price_items/search?utf8=%E2%9C%93&amp;oem=6537ACC1P","6537ACC1P")</f>
        <v>6537ACC1P</v>
      </c>
      <c r="B7258" s="1" t="s">
        <v>13828</v>
      </c>
      <c r="C7258" s="9" t="s">
        <v>1359</v>
      </c>
      <c r="D7258" s="14" t="s">
        <v>13829</v>
      </c>
      <c r="E7258" s="9" t="s">
        <v>8</v>
      </c>
    </row>
    <row r="7259" spans="1:5" ht="15" customHeight="1" outlineLevel="2" x14ac:dyDescent="0.25">
      <c r="A7259" s="3" t="str">
        <f>HYPERLINK("http://mystore1.ru/price_items/search?utf8=%E2%9C%93&amp;oem=6537ACL","6537ACL")</f>
        <v>6537ACL</v>
      </c>
      <c r="B7259" s="1" t="s">
        <v>13830</v>
      </c>
      <c r="C7259" s="9" t="s">
        <v>2199</v>
      </c>
      <c r="D7259" s="14" t="s">
        <v>13831</v>
      </c>
      <c r="E7259" s="9" t="s">
        <v>8</v>
      </c>
    </row>
    <row r="7260" spans="1:5" ht="15" customHeight="1" outlineLevel="2" x14ac:dyDescent="0.25">
      <c r="A7260" s="3" t="str">
        <f>HYPERLINK("http://mystore1.ru/price_items/search?utf8=%E2%9C%93&amp;oem=6537ACL1P","6537ACL1P")</f>
        <v>6537ACL1P</v>
      </c>
      <c r="B7260" s="1" t="s">
        <v>13832</v>
      </c>
      <c r="C7260" s="9" t="s">
        <v>1359</v>
      </c>
      <c r="D7260" s="14" t="s">
        <v>13833</v>
      </c>
      <c r="E7260" s="9" t="s">
        <v>8</v>
      </c>
    </row>
    <row r="7261" spans="1:5" ht="15" customHeight="1" outlineLevel="2" x14ac:dyDescent="0.25">
      <c r="A7261" s="3" t="str">
        <f>HYPERLINK("http://mystore1.ru/price_items/search?utf8=%E2%9C%93&amp;oem=6537AGN","6537AGN")</f>
        <v>6537AGN</v>
      </c>
      <c r="B7261" s="1" t="s">
        <v>13834</v>
      </c>
      <c r="C7261" s="9" t="s">
        <v>2199</v>
      </c>
      <c r="D7261" s="14" t="s">
        <v>13835</v>
      </c>
      <c r="E7261" s="9" t="s">
        <v>8</v>
      </c>
    </row>
    <row r="7262" spans="1:5" ht="15" customHeight="1" outlineLevel="2" x14ac:dyDescent="0.25">
      <c r="A7262" s="3" t="str">
        <f>HYPERLINK("http://mystore1.ru/price_items/search?utf8=%E2%9C%93&amp;oem=6537AGS1P","6537AGS1P")</f>
        <v>6537AGS1P</v>
      </c>
      <c r="B7262" s="1" t="s">
        <v>13836</v>
      </c>
      <c r="C7262" s="9" t="s">
        <v>1359</v>
      </c>
      <c r="D7262" s="14" t="s">
        <v>13837</v>
      </c>
      <c r="E7262" s="9" t="s">
        <v>8</v>
      </c>
    </row>
    <row r="7263" spans="1:5" ht="15" customHeight="1" outlineLevel="2" x14ac:dyDescent="0.25">
      <c r="A7263" s="3" t="str">
        <f>HYPERLINK("http://mystore1.ru/price_items/search?utf8=%E2%9C%93&amp;oem=6537AGSBL1P","6537AGSBL1P")</f>
        <v>6537AGSBL1P</v>
      </c>
      <c r="B7263" s="1" t="s">
        <v>13838</v>
      </c>
      <c r="C7263" s="9" t="s">
        <v>1359</v>
      </c>
      <c r="D7263" s="14" t="s">
        <v>13839</v>
      </c>
      <c r="E7263" s="9" t="s">
        <v>8</v>
      </c>
    </row>
    <row r="7264" spans="1:5" ht="15" customHeight="1" outlineLevel="2" x14ac:dyDescent="0.25">
      <c r="A7264" s="3" t="str">
        <f>HYPERLINK("http://mystore1.ru/price_items/search?utf8=%E2%9C%93&amp;oem=6537AGSM2P","6537AGSM2P")</f>
        <v>6537AGSM2P</v>
      </c>
      <c r="B7264" s="1" t="s">
        <v>13840</v>
      </c>
      <c r="C7264" s="9" t="s">
        <v>1359</v>
      </c>
      <c r="D7264" s="14" t="s">
        <v>13841</v>
      </c>
      <c r="E7264" s="9" t="s">
        <v>8</v>
      </c>
    </row>
    <row r="7265" spans="1:5" ht="15" customHeight="1" outlineLevel="2" x14ac:dyDescent="0.25">
      <c r="A7265" s="3" t="str">
        <f>HYPERLINK("http://mystore1.ru/price_items/search?utf8=%E2%9C%93&amp;oem=6537BCLV","6537BCLV")</f>
        <v>6537BCLV</v>
      </c>
      <c r="B7265" s="1" t="s">
        <v>13842</v>
      </c>
      <c r="C7265" s="9" t="s">
        <v>2199</v>
      </c>
      <c r="D7265" s="14" t="s">
        <v>13843</v>
      </c>
      <c r="E7265" s="9" t="s">
        <v>30</v>
      </c>
    </row>
    <row r="7266" spans="1:5" ht="15" customHeight="1" outlineLevel="2" x14ac:dyDescent="0.25">
      <c r="A7266" s="3" t="str">
        <f>HYPERLINK("http://mystore1.ru/price_items/search?utf8=%E2%9C%93&amp;oem=6537BCLVLU","6537BCLVLU")</f>
        <v>6537BCLVLU</v>
      </c>
      <c r="B7266" s="1" t="s">
        <v>13844</v>
      </c>
      <c r="C7266" s="9" t="s">
        <v>2199</v>
      </c>
      <c r="D7266" s="14" t="s">
        <v>13845</v>
      </c>
      <c r="E7266" s="9" t="s">
        <v>30</v>
      </c>
    </row>
    <row r="7267" spans="1:5" ht="15" customHeight="1" outlineLevel="2" x14ac:dyDescent="0.25">
      <c r="A7267" s="3" t="str">
        <f>HYPERLINK("http://mystore1.ru/price_items/search?utf8=%E2%9C%93&amp;oem=6537BCLVRU","6537BCLVRU")</f>
        <v>6537BCLVRU</v>
      </c>
      <c r="B7267" s="1" t="s">
        <v>13846</v>
      </c>
      <c r="C7267" s="9" t="s">
        <v>2199</v>
      </c>
      <c r="D7267" s="14" t="s">
        <v>13847</v>
      </c>
      <c r="E7267" s="9" t="s">
        <v>30</v>
      </c>
    </row>
    <row r="7268" spans="1:5" ht="15" customHeight="1" outlineLevel="2" x14ac:dyDescent="0.25">
      <c r="A7268" s="3" t="str">
        <f>HYPERLINK("http://mystore1.ru/price_items/search?utf8=%E2%9C%93&amp;oem=6537BGNV","6537BGNV")</f>
        <v>6537BGNV</v>
      </c>
      <c r="B7268" s="1" t="s">
        <v>13848</v>
      </c>
      <c r="C7268" s="9" t="s">
        <v>2199</v>
      </c>
      <c r="D7268" s="14" t="s">
        <v>13849</v>
      </c>
      <c r="E7268" s="9" t="s">
        <v>30</v>
      </c>
    </row>
    <row r="7269" spans="1:5" ht="15" customHeight="1" outlineLevel="2" x14ac:dyDescent="0.25">
      <c r="A7269" s="3" t="str">
        <f>HYPERLINK("http://mystore1.ru/price_items/search?utf8=%E2%9C%93&amp;oem=6537BGNVL","6537BGNVL")</f>
        <v>6537BGNVL</v>
      </c>
      <c r="B7269" s="1" t="s">
        <v>13850</v>
      </c>
      <c r="C7269" s="9" t="s">
        <v>2199</v>
      </c>
      <c r="D7269" s="14" t="s">
        <v>13851</v>
      </c>
      <c r="E7269" s="9" t="s">
        <v>30</v>
      </c>
    </row>
    <row r="7270" spans="1:5" ht="15" customHeight="1" outlineLevel="2" x14ac:dyDescent="0.25">
      <c r="A7270" s="3" t="str">
        <f>HYPERLINK("http://mystore1.ru/price_items/search?utf8=%E2%9C%93&amp;oem=6537BGNVLU","6537BGNVLU")</f>
        <v>6537BGNVLU</v>
      </c>
      <c r="B7270" s="1" t="s">
        <v>13852</v>
      </c>
      <c r="C7270" s="9" t="s">
        <v>2199</v>
      </c>
      <c r="D7270" s="14" t="s">
        <v>13853</v>
      </c>
      <c r="E7270" s="9" t="s">
        <v>30</v>
      </c>
    </row>
    <row r="7271" spans="1:5" ht="15" customHeight="1" outlineLevel="2" x14ac:dyDescent="0.25">
      <c r="A7271" s="3" t="str">
        <f>HYPERLINK("http://mystore1.ru/price_items/search?utf8=%E2%9C%93&amp;oem=6537BGNVR","6537BGNVR")</f>
        <v>6537BGNVR</v>
      </c>
      <c r="B7271" s="1" t="s">
        <v>13854</v>
      </c>
      <c r="C7271" s="9" t="s">
        <v>2199</v>
      </c>
      <c r="D7271" s="14" t="s">
        <v>13855</v>
      </c>
      <c r="E7271" s="9" t="s">
        <v>30</v>
      </c>
    </row>
    <row r="7272" spans="1:5" ht="15" customHeight="1" outlineLevel="2" x14ac:dyDescent="0.25">
      <c r="A7272" s="3" t="str">
        <f>HYPERLINK("http://mystore1.ru/price_items/search?utf8=%E2%9C%93&amp;oem=6537BGNVRU","6537BGNVRU")</f>
        <v>6537BGNVRU</v>
      </c>
      <c r="B7272" s="1" t="s">
        <v>13856</v>
      </c>
      <c r="C7272" s="9" t="s">
        <v>2199</v>
      </c>
      <c r="D7272" s="14" t="s">
        <v>13857</v>
      </c>
      <c r="E7272" s="9" t="s">
        <v>30</v>
      </c>
    </row>
    <row r="7273" spans="1:5" ht="15" customHeight="1" outlineLevel="2" x14ac:dyDescent="0.25">
      <c r="A7273" s="3" t="str">
        <f>HYPERLINK("http://mystore1.ru/price_items/search?utf8=%E2%9C%93&amp;oem=6537LCLV2FD","6537LCLV2FD")</f>
        <v>6537LCLV2FD</v>
      </c>
      <c r="B7273" s="1" t="s">
        <v>13858</v>
      </c>
      <c r="C7273" s="9" t="s">
        <v>2199</v>
      </c>
      <c r="D7273" s="14" t="s">
        <v>13859</v>
      </c>
      <c r="E7273" s="9" t="s">
        <v>11</v>
      </c>
    </row>
    <row r="7274" spans="1:5" ht="15" customHeight="1" outlineLevel="2" x14ac:dyDescent="0.25">
      <c r="A7274" s="3" t="str">
        <f>HYPERLINK("http://mystore1.ru/price_items/search?utf8=%E2%9C%93&amp;oem=6537LGNV2FD","6537LGNV2FD")</f>
        <v>6537LGNV2FD</v>
      </c>
      <c r="B7274" s="1" t="s">
        <v>13860</v>
      </c>
      <c r="C7274" s="9" t="s">
        <v>2199</v>
      </c>
      <c r="D7274" s="14" t="s">
        <v>13861</v>
      </c>
      <c r="E7274" s="9" t="s">
        <v>11</v>
      </c>
    </row>
    <row r="7275" spans="1:5" ht="15" customHeight="1" outlineLevel="2" x14ac:dyDescent="0.25">
      <c r="A7275" s="3" t="str">
        <f>HYPERLINK("http://mystore1.ru/price_items/search?utf8=%E2%9C%93&amp;oem=6537LGNV2MQO","6537LGNV2MQO")</f>
        <v>6537LGNV2MQO</v>
      </c>
      <c r="B7275" s="1" t="s">
        <v>13862</v>
      </c>
      <c r="C7275" s="9" t="s">
        <v>2199</v>
      </c>
      <c r="D7275" s="14" t="s">
        <v>13863</v>
      </c>
      <c r="E7275" s="9" t="s">
        <v>11</v>
      </c>
    </row>
    <row r="7276" spans="1:5" ht="15" customHeight="1" outlineLevel="2" x14ac:dyDescent="0.25">
      <c r="A7276" s="3" t="str">
        <f>HYPERLINK("http://mystore1.ru/price_items/search?utf8=%E2%9C%93&amp;oem=6537LGNV2RQO","6537LGNV2RQO")</f>
        <v>6537LGNV2RQO</v>
      </c>
      <c r="B7276" s="1" t="s">
        <v>13864</v>
      </c>
      <c r="C7276" s="9" t="s">
        <v>2199</v>
      </c>
      <c r="D7276" s="14" t="s">
        <v>13865</v>
      </c>
      <c r="E7276" s="9" t="s">
        <v>11</v>
      </c>
    </row>
    <row r="7277" spans="1:5" ht="15" customHeight="1" outlineLevel="2" x14ac:dyDescent="0.25">
      <c r="A7277" s="3" t="str">
        <f>HYPERLINK("http://mystore1.ru/price_items/search?utf8=%E2%9C%93&amp;oem=6537RCLV2FD","6537RCLV2FD")</f>
        <v>6537RCLV2FD</v>
      </c>
      <c r="B7277" s="1" t="s">
        <v>13866</v>
      </c>
      <c r="C7277" s="9" t="s">
        <v>2199</v>
      </c>
      <c r="D7277" s="14" t="s">
        <v>13867</v>
      </c>
      <c r="E7277" s="9" t="s">
        <v>11</v>
      </c>
    </row>
    <row r="7278" spans="1:5" ht="15" customHeight="1" outlineLevel="2" x14ac:dyDescent="0.25">
      <c r="A7278" s="3" t="str">
        <f>HYPERLINK("http://mystore1.ru/price_items/search?utf8=%E2%9C%93&amp;oem=6537RGNV2FD","6537RGNV2FD")</f>
        <v>6537RGNV2FD</v>
      </c>
      <c r="B7278" s="1" t="s">
        <v>13868</v>
      </c>
      <c r="C7278" s="9" t="s">
        <v>2199</v>
      </c>
      <c r="D7278" s="14" t="s">
        <v>13869</v>
      </c>
      <c r="E7278" s="9" t="s">
        <v>11</v>
      </c>
    </row>
    <row r="7279" spans="1:5" ht="15" customHeight="1" outlineLevel="2" x14ac:dyDescent="0.25">
      <c r="A7279" s="3" t="str">
        <f>HYPERLINK("http://mystore1.ru/price_items/search?utf8=%E2%9C%93&amp;oem=6537RGNV2RQO","6537RGNV2RQO")</f>
        <v>6537RGNV2RQO</v>
      </c>
      <c r="B7279" s="1" t="s">
        <v>13870</v>
      </c>
      <c r="C7279" s="9" t="s">
        <v>2199</v>
      </c>
      <c r="D7279" s="14" t="s">
        <v>13871</v>
      </c>
      <c r="E7279" s="9" t="s">
        <v>11</v>
      </c>
    </row>
    <row r="7280" spans="1:5" outlineLevel="1" x14ac:dyDescent="0.25">
      <c r="A7280" s="2"/>
      <c r="B7280" s="6" t="s">
        <v>13872</v>
      </c>
      <c r="C7280" s="8"/>
      <c r="D7280" s="8"/>
      <c r="E7280" s="8"/>
    </row>
    <row r="7281" spans="1:5" outlineLevel="2" x14ac:dyDescent="0.25">
      <c r="A7281" s="3" t="str">
        <f>HYPERLINK("http://mystore1.ru/price_items/search?utf8=%E2%9C%93&amp;oem=6558AGSVZ","6558AGSVZ")</f>
        <v>6558AGSVZ</v>
      </c>
      <c r="B7281" s="1" t="s">
        <v>13873</v>
      </c>
      <c r="C7281" s="9" t="s">
        <v>642</v>
      </c>
      <c r="D7281" s="14" t="s">
        <v>13874</v>
      </c>
      <c r="E7281" s="9" t="s">
        <v>8</v>
      </c>
    </row>
    <row r="7282" spans="1:5" outlineLevel="2" x14ac:dyDescent="0.25">
      <c r="A7282" s="3" t="str">
        <f>HYPERLINK("http://mystore1.ru/price_items/search?utf8=%E2%9C%93&amp;oem=6558AGSVZ1P","6558AGSVZ1P")</f>
        <v>6558AGSVZ1P</v>
      </c>
      <c r="B7282" s="1" t="s">
        <v>13875</v>
      </c>
      <c r="C7282" s="9" t="s">
        <v>642</v>
      </c>
      <c r="D7282" s="14" t="s">
        <v>13876</v>
      </c>
      <c r="E7282" s="9" t="s">
        <v>8</v>
      </c>
    </row>
    <row r="7283" spans="1:5" x14ac:dyDescent="0.25">
      <c r="A7283" s="61" t="s">
        <v>13877</v>
      </c>
      <c r="B7283" s="61"/>
      <c r="C7283" s="61"/>
      <c r="D7283" s="61"/>
      <c r="E7283" s="61"/>
    </row>
    <row r="7284" spans="1:5" outlineLevel="1" x14ac:dyDescent="0.25">
      <c r="A7284" s="2"/>
      <c r="B7284" s="6" t="s">
        <v>13878</v>
      </c>
      <c r="C7284" s="8"/>
      <c r="D7284" s="8"/>
      <c r="E7284" s="8"/>
    </row>
    <row r="7285" spans="1:5" ht="15" customHeight="1" outlineLevel="2" x14ac:dyDescent="0.25">
      <c r="A7285" s="3" t="str">
        <f>HYPERLINK("http://mystore1.ru/price_items/search?utf8=%E2%9C%93&amp;oem=AP29ACCBLV","AP29ACCBLV")</f>
        <v>AP29ACCBLV</v>
      </c>
      <c r="B7285" s="1" t="s">
        <v>13879</v>
      </c>
      <c r="C7285" s="9" t="s">
        <v>11484</v>
      </c>
      <c r="D7285" s="14" t="s">
        <v>13880</v>
      </c>
      <c r="E7285" s="9" t="s">
        <v>8</v>
      </c>
    </row>
    <row r="7286" spans="1:5" outlineLevel="1" x14ac:dyDescent="0.25">
      <c r="A7286" s="2"/>
      <c r="B7286" s="6" t="s">
        <v>13881</v>
      </c>
      <c r="C7286" s="8"/>
      <c r="D7286" s="8"/>
      <c r="E7286" s="8"/>
    </row>
    <row r="7287" spans="1:5" outlineLevel="2" x14ac:dyDescent="0.25">
      <c r="A7287" s="3" t="str">
        <f>HYPERLINK("http://mystore1.ru/price_items/search?utf8=%E2%9C%93&amp;oem=AP37ACCBLAV","AP37ACCBLAV")</f>
        <v>AP37ACCBLAV</v>
      </c>
      <c r="B7287" s="1" t="s">
        <v>13882</v>
      </c>
      <c r="C7287" s="9" t="s">
        <v>3061</v>
      </c>
      <c r="D7287" s="14" t="s">
        <v>13883</v>
      </c>
      <c r="E7287" s="9" t="s">
        <v>8</v>
      </c>
    </row>
    <row r="7288" spans="1:5" x14ac:dyDescent="0.25">
      <c r="A7288" s="61" t="s">
        <v>13884</v>
      </c>
      <c r="B7288" s="61"/>
      <c r="C7288" s="61"/>
      <c r="D7288" s="61"/>
      <c r="E7288" s="61"/>
    </row>
    <row r="7289" spans="1:5" outlineLevel="1" x14ac:dyDescent="0.25">
      <c r="A7289" s="2"/>
      <c r="B7289" s="6" t="s">
        <v>13885</v>
      </c>
      <c r="C7289" s="8"/>
      <c r="D7289" s="8"/>
      <c r="E7289" s="8"/>
    </row>
    <row r="7290" spans="1:5" ht="15" customHeight="1" outlineLevel="2" x14ac:dyDescent="0.25">
      <c r="A7290" s="3" t="str">
        <f>HYPERLINK("http://mystore1.ru/price_items/search?utf8=%E2%9C%93&amp;oem=6721AGNAVZ","6721AGNAVZ")</f>
        <v>6721AGNAVZ</v>
      </c>
      <c r="B7290" s="1" t="s">
        <v>13886</v>
      </c>
      <c r="C7290" s="9" t="s">
        <v>10118</v>
      </c>
      <c r="D7290" s="14" t="s">
        <v>13887</v>
      </c>
      <c r="E7290" s="9" t="s">
        <v>8</v>
      </c>
    </row>
    <row r="7291" spans="1:5" outlineLevel="1" x14ac:dyDescent="0.25">
      <c r="A7291" s="2"/>
      <c r="B7291" s="6" t="s">
        <v>13888</v>
      </c>
      <c r="C7291" s="47"/>
      <c r="D7291" s="8"/>
      <c r="E7291" s="8"/>
    </row>
    <row r="7292" spans="1:5" ht="15" customHeight="1" outlineLevel="2" x14ac:dyDescent="0.25">
      <c r="A7292" s="3" t="str">
        <f>HYPERLINK("http://mystore1.ru/price_items/search?utf8=%E2%9C%93&amp;oem=6709ACL","6709ACL")</f>
        <v>6709ACL</v>
      </c>
      <c r="B7292" s="1" t="s">
        <v>13889</v>
      </c>
      <c r="C7292" s="9" t="s">
        <v>13890</v>
      </c>
      <c r="D7292" s="14" t="s">
        <v>13891</v>
      </c>
      <c r="E7292" s="9" t="s">
        <v>8</v>
      </c>
    </row>
    <row r="7293" spans="1:5" ht="15" customHeight="1" outlineLevel="2" x14ac:dyDescent="0.25">
      <c r="A7293" s="3" t="str">
        <f>HYPERLINK("http://mystore1.ru/price_items/search?utf8=%E2%9C%93&amp;oem=6709ASRC","6709ASRC")</f>
        <v>6709ASRC</v>
      </c>
      <c r="B7293" s="1" t="s">
        <v>13892</v>
      </c>
      <c r="C7293" s="9" t="s">
        <v>25</v>
      </c>
      <c r="D7293" s="14" t="s">
        <v>13893</v>
      </c>
      <c r="E7293" s="9" t="s">
        <v>27</v>
      </c>
    </row>
    <row r="7294" spans="1:5" outlineLevel="1" x14ac:dyDescent="0.25">
      <c r="A7294" s="2"/>
      <c r="B7294" s="6" t="s">
        <v>13894</v>
      </c>
      <c r="C7294" s="8"/>
      <c r="D7294" s="8"/>
      <c r="E7294" s="8"/>
    </row>
    <row r="7295" spans="1:5" ht="15" customHeight="1" outlineLevel="2" x14ac:dyDescent="0.25">
      <c r="A7295" s="3" t="str">
        <f>HYPERLINK("http://mystore1.ru/price_items/search?utf8=%E2%9C%93&amp;oem=6716AGNA","6716AGNA")</f>
        <v>6716AGNA</v>
      </c>
      <c r="B7295" s="1" t="s">
        <v>13895</v>
      </c>
      <c r="C7295" s="9" t="s">
        <v>5725</v>
      </c>
      <c r="D7295" s="14" t="s">
        <v>13896</v>
      </c>
      <c r="E7295" s="9" t="s">
        <v>8</v>
      </c>
    </row>
    <row r="7296" spans="1:5" ht="15" customHeight="1" outlineLevel="2" x14ac:dyDescent="0.25">
      <c r="A7296" s="3" t="str">
        <f>HYPERLINK("http://mystore1.ru/price_items/search?utf8=%E2%9C%93&amp;oem=6716AGNGNA","6716AGNGNA")</f>
        <v>6716AGNGNA</v>
      </c>
      <c r="B7296" s="1" t="s">
        <v>13897</v>
      </c>
      <c r="C7296" s="9" t="s">
        <v>5725</v>
      </c>
      <c r="D7296" s="14" t="s">
        <v>13898</v>
      </c>
      <c r="E7296" s="9" t="s">
        <v>8</v>
      </c>
    </row>
    <row r="7297" spans="1:5" ht="15" customHeight="1" outlineLevel="2" x14ac:dyDescent="0.25">
      <c r="A7297" s="3" t="str">
        <f>HYPERLINK("http://mystore1.ru/price_items/search?utf8=%E2%9C%93&amp;oem=6716ASRC","6716ASRC")</f>
        <v>6716ASRC</v>
      </c>
      <c r="B7297" s="1" t="s">
        <v>13899</v>
      </c>
      <c r="C7297" s="9" t="s">
        <v>25</v>
      </c>
      <c r="D7297" s="14" t="s">
        <v>13900</v>
      </c>
      <c r="E7297" s="9" t="s">
        <v>27</v>
      </c>
    </row>
    <row r="7298" spans="1:5" outlineLevel="1" x14ac:dyDescent="0.25">
      <c r="A7298" s="2"/>
      <c r="B7298" s="6" t="s">
        <v>13901</v>
      </c>
      <c r="C7298" s="8"/>
      <c r="D7298" s="8"/>
      <c r="E7298" s="8"/>
    </row>
    <row r="7299" spans="1:5" ht="15" customHeight="1" outlineLevel="2" x14ac:dyDescent="0.25">
      <c r="A7299" s="3" t="str">
        <f>HYPERLINK("http://mystore1.ru/price_items/search?utf8=%E2%9C%93&amp;oem=6711AGNGN","6711AGNGN")</f>
        <v>6711AGNGN</v>
      </c>
      <c r="B7299" s="1" t="s">
        <v>13902</v>
      </c>
      <c r="C7299" s="9" t="s">
        <v>13903</v>
      </c>
      <c r="D7299" s="14" t="s">
        <v>13904</v>
      </c>
      <c r="E7299" s="9" t="s">
        <v>8</v>
      </c>
    </row>
    <row r="7300" spans="1:5" outlineLevel="1" x14ac:dyDescent="0.25">
      <c r="A7300" s="2"/>
      <c r="B7300" s="6" t="s">
        <v>13905</v>
      </c>
      <c r="C7300" s="8"/>
      <c r="D7300" s="8"/>
      <c r="E7300" s="8"/>
    </row>
    <row r="7301" spans="1:5" ht="15" customHeight="1" outlineLevel="2" x14ac:dyDescent="0.25">
      <c r="A7301" s="3" t="str">
        <f>HYPERLINK("http://mystore1.ru/price_items/search?utf8=%E2%9C%93&amp;oem=6722AGSGYMVZ","6722AGSGYMVZ")</f>
        <v>6722AGSGYMVZ</v>
      </c>
      <c r="B7301" s="1" t="s">
        <v>13906</v>
      </c>
      <c r="C7301" s="9" t="s">
        <v>2594</v>
      </c>
      <c r="D7301" s="14" t="s">
        <v>13907</v>
      </c>
      <c r="E7301" s="9" t="s">
        <v>8</v>
      </c>
    </row>
    <row r="7302" spans="1:5" ht="15" customHeight="1" outlineLevel="2" x14ac:dyDescent="0.25">
      <c r="A7302" s="3" t="str">
        <f>HYPERLINK("http://mystore1.ru/price_items/search?utf8=%E2%9C%93&amp;oem=6722AGSGYVZ","6722AGSGYVZ")</f>
        <v>6722AGSGYVZ</v>
      </c>
      <c r="B7302" s="1" t="s">
        <v>13908</v>
      </c>
      <c r="C7302" s="9" t="s">
        <v>2594</v>
      </c>
      <c r="D7302" s="14" t="s">
        <v>13909</v>
      </c>
      <c r="E7302" s="9" t="s">
        <v>8</v>
      </c>
    </row>
    <row r="7303" spans="1:5" ht="15" customHeight="1" outlineLevel="2" x14ac:dyDescent="0.25">
      <c r="A7303" s="3" t="str">
        <f>HYPERLINK("http://mystore1.ru/price_items/search?utf8=%E2%9C%93&amp;oem=6722LGSR5FD","6722LGSR5FD")</f>
        <v>6722LGSR5FD</v>
      </c>
      <c r="B7303" s="1" t="s">
        <v>13910</v>
      </c>
      <c r="C7303" s="9" t="s">
        <v>2594</v>
      </c>
      <c r="D7303" s="14" t="s">
        <v>13911</v>
      </c>
      <c r="E7303" s="9" t="s">
        <v>11</v>
      </c>
    </row>
    <row r="7304" spans="1:5" ht="15" customHeight="1" outlineLevel="2" x14ac:dyDescent="0.25">
      <c r="A7304" s="3" t="str">
        <f>HYPERLINK("http://mystore1.ru/price_items/search?utf8=%E2%9C%93&amp;oem=6722LGSR5RD","6722LGSR5RD")</f>
        <v>6722LGSR5RD</v>
      </c>
      <c r="B7304" s="1" t="s">
        <v>13912</v>
      </c>
      <c r="C7304" s="9" t="s">
        <v>2594</v>
      </c>
      <c r="D7304" s="14" t="s">
        <v>13913</v>
      </c>
      <c r="E7304" s="9" t="s">
        <v>11</v>
      </c>
    </row>
    <row r="7305" spans="1:5" ht="15" customHeight="1" outlineLevel="2" x14ac:dyDescent="0.25">
      <c r="A7305" s="3" t="str">
        <f>HYPERLINK("http://mystore1.ru/price_items/search?utf8=%E2%9C%93&amp;oem=6722RGSR5FD","6722RGSR5FD")</f>
        <v>6722RGSR5FD</v>
      </c>
      <c r="B7305" s="1" t="s">
        <v>13914</v>
      </c>
      <c r="C7305" s="9" t="s">
        <v>2594</v>
      </c>
      <c r="D7305" s="14" t="s">
        <v>13915</v>
      </c>
      <c r="E7305" s="9" t="s">
        <v>11</v>
      </c>
    </row>
    <row r="7306" spans="1:5" ht="15" customHeight="1" outlineLevel="2" x14ac:dyDescent="0.25">
      <c r="A7306" s="3" t="str">
        <f>HYPERLINK("http://mystore1.ru/price_items/search?utf8=%E2%9C%93&amp;oem=6722RGSR5RD","6722RGSR5RD")</f>
        <v>6722RGSR5RD</v>
      </c>
      <c r="B7306" s="1" t="s">
        <v>13916</v>
      </c>
      <c r="C7306" s="9" t="s">
        <v>2594</v>
      </c>
      <c r="D7306" s="14" t="s">
        <v>13917</v>
      </c>
      <c r="E7306" s="9" t="s">
        <v>11</v>
      </c>
    </row>
    <row r="7307" spans="1:5" outlineLevel="1" x14ac:dyDescent="0.25">
      <c r="A7307" s="2"/>
      <c r="B7307" s="6" t="s">
        <v>13918</v>
      </c>
      <c r="C7307" s="8"/>
      <c r="D7307" s="8"/>
      <c r="E7307" s="8"/>
    </row>
    <row r="7308" spans="1:5" outlineLevel="2" x14ac:dyDescent="0.25">
      <c r="A7308" s="3" t="str">
        <f>HYPERLINK("http://mystore1.ru/price_items/search?utf8=%E2%9C%93&amp;oem=6729ACDGYMVWZ6A","6729ACDGYMVWZ6A")</f>
        <v>6729ACDGYMVWZ6A</v>
      </c>
      <c r="B7308" s="1" t="s">
        <v>13919</v>
      </c>
      <c r="C7308" s="9" t="s">
        <v>25</v>
      </c>
      <c r="D7308" s="14" t="s">
        <v>13920</v>
      </c>
      <c r="E7308" s="9" t="s">
        <v>8</v>
      </c>
    </row>
    <row r="7309" spans="1:5" outlineLevel="2" x14ac:dyDescent="0.25">
      <c r="A7309" s="3" t="str">
        <f>HYPERLINK("http://mystore1.ru/price_items/search?utf8=%E2%9C%93&amp;oem=6729AGAGYHMVWZ","6729AGAGYHMVWZ")</f>
        <v>6729AGAGYHMVWZ</v>
      </c>
      <c r="B7309" s="1" t="s">
        <v>13921</v>
      </c>
      <c r="C7309" s="9" t="s">
        <v>25</v>
      </c>
      <c r="D7309" s="14" t="s">
        <v>13922</v>
      </c>
      <c r="E7309" s="9" t="s">
        <v>8</v>
      </c>
    </row>
    <row r="7310" spans="1:5" outlineLevel="2" x14ac:dyDescent="0.25">
      <c r="A7310" s="3" t="str">
        <f>HYPERLINK("http://mystore1.ru/price_items/search?utf8=%E2%9C%93&amp;oem=6729ACDGYHMVWZ","6729ACDGYHMVWZ")</f>
        <v>6729ACDGYHMVWZ</v>
      </c>
      <c r="B7310" s="1" t="s">
        <v>13923</v>
      </c>
      <c r="C7310" s="9" t="s">
        <v>601</v>
      </c>
      <c r="D7310" s="14" t="s">
        <v>13924</v>
      </c>
      <c r="E7310" s="9" t="s">
        <v>8</v>
      </c>
    </row>
    <row r="7311" spans="1:5" outlineLevel="2" x14ac:dyDescent="0.25">
      <c r="A7311" s="3" t="str">
        <f>HYPERLINK("http://mystore1.ru/price_items/search?utf8=%E2%9C%93&amp;oem=6729AGSGYMVWZ","6729AGSGYMVWZ")</f>
        <v>6729AGSGYMVWZ</v>
      </c>
      <c r="B7311" s="1" t="s">
        <v>13925</v>
      </c>
      <c r="C7311" s="9" t="s">
        <v>601</v>
      </c>
      <c r="D7311" s="14" t="s">
        <v>13926</v>
      </c>
      <c r="E7311" s="9" t="s">
        <v>8</v>
      </c>
    </row>
    <row r="7312" spans="1:5" x14ac:dyDescent="0.25">
      <c r="A7312" s="61" t="s">
        <v>13927</v>
      </c>
      <c r="B7312" s="61"/>
      <c r="C7312" s="61"/>
      <c r="D7312" s="61"/>
      <c r="E7312" s="61"/>
    </row>
    <row r="7313" spans="1:5" outlineLevel="1" x14ac:dyDescent="0.25">
      <c r="A7313" s="2"/>
      <c r="B7313" s="6" t="s">
        <v>13928</v>
      </c>
      <c r="C7313" s="8"/>
      <c r="D7313" s="8"/>
      <c r="E7313" s="8"/>
    </row>
    <row r="7314" spans="1:5" ht="15" customHeight="1" outlineLevel="2" x14ac:dyDescent="0.25">
      <c r="A7314" s="3" t="str">
        <f>HYPERLINK("http://mystore1.ru/price_items/search?utf8=%E2%9C%93&amp;oem=6801ABL","6801ABL")</f>
        <v>6801ABL</v>
      </c>
      <c r="B7314" s="1" t="s">
        <v>13929</v>
      </c>
      <c r="C7314" s="9" t="s">
        <v>13930</v>
      </c>
      <c r="D7314" s="14" t="s">
        <v>13931</v>
      </c>
      <c r="E7314" s="9" t="s">
        <v>8</v>
      </c>
    </row>
    <row r="7315" spans="1:5" ht="15" customHeight="1" outlineLevel="2" x14ac:dyDescent="0.25">
      <c r="A7315" s="3" t="str">
        <f>HYPERLINK("http://mystore1.ru/price_items/search?utf8=%E2%9C%93&amp;oem=6801LBLH5FD","6801LBLH5FD")</f>
        <v>6801LBLH5FD</v>
      </c>
      <c r="B7315" s="1" t="s">
        <v>13932</v>
      </c>
      <c r="C7315" s="9" t="s">
        <v>13930</v>
      </c>
      <c r="D7315" s="14" t="s">
        <v>13933</v>
      </c>
      <c r="E7315" s="9" t="s">
        <v>11</v>
      </c>
    </row>
    <row r="7316" spans="1:5" ht="15" customHeight="1" outlineLevel="2" x14ac:dyDescent="0.25">
      <c r="A7316" s="3" t="str">
        <f>HYPERLINK("http://mystore1.ru/price_items/search?utf8=%E2%9C%93&amp;oem=6801LBLH5RV","6801LBLH5RV")</f>
        <v>6801LBLH5RV</v>
      </c>
      <c r="B7316" s="1" t="s">
        <v>13934</v>
      </c>
      <c r="C7316" s="9" t="s">
        <v>13930</v>
      </c>
      <c r="D7316" s="14" t="s">
        <v>13935</v>
      </c>
      <c r="E7316" s="9" t="s">
        <v>11</v>
      </c>
    </row>
    <row r="7317" spans="1:5" ht="15" customHeight="1" outlineLevel="2" x14ac:dyDescent="0.25">
      <c r="A7317" s="3" t="str">
        <f>HYPERLINK("http://mystore1.ru/price_items/search?utf8=%E2%9C%93&amp;oem=6801RBLH5FD","6801RBLH5FD")</f>
        <v>6801RBLH5FD</v>
      </c>
      <c r="B7317" s="1" t="s">
        <v>13936</v>
      </c>
      <c r="C7317" s="9" t="s">
        <v>13930</v>
      </c>
      <c r="D7317" s="14" t="s">
        <v>13937</v>
      </c>
      <c r="E7317" s="9" t="s">
        <v>11</v>
      </c>
    </row>
    <row r="7318" spans="1:5" outlineLevel="1" x14ac:dyDescent="0.25">
      <c r="A7318" s="2"/>
      <c r="B7318" s="6" t="s">
        <v>13938</v>
      </c>
      <c r="C7318" s="8"/>
      <c r="D7318" s="8"/>
      <c r="E7318" s="8"/>
    </row>
    <row r="7319" spans="1:5" ht="15" customHeight="1" outlineLevel="2" x14ac:dyDescent="0.25">
      <c r="A7319" s="3" t="str">
        <f>HYPERLINK("http://mystore1.ru/price_items/search?utf8=%E2%9C%93&amp;oem=6802ABL","6802ABL")</f>
        <v>6802ABL</v>
      </c>
      <c r="B7319" s="1" t="s">
        <v>13939</v>
      </c>
      <c r="C7319" s="9" t="s">
        <v>241</v>
      </c>
      <c r="D7319" s="14" t="s">
        <v>13940</v>
      </c>
      <c r="E7319" s="9" t="s">
        <v>8</v>
      </c>
    </row>
    <row r="7320" spans="1:5" outlineLevel="1" x14ac:dyDescent="0.25">
      <c r="A7320" s="2"/>
      <c r="B7320" s="6" t="s">
        <v>13941</v>
      </c>
      <c r="C7320" s="8"/>
      <c r="D7320" s="8"/>
      <c r="E7320" s="8"/>
    </row>
    <row r="7321" spans="1:5" outlineLevel="2" x14ac:dyDescent="0.25">
      <c r="A7321" s="3" t="str">
        <f>HYPERLINK("http://mystore1.ru/price_items/search?utf8=%E2%9C%93&amp;oem=6805AGN","6805AGN")</f>
        <v>6805AGN</v>
      </c>
      <c r="B7321" s="1" t="s">
        <v>13942</v>
      </c>
      <c r="C7321" s="9" t="s">
        <v>1408</v>
      </c>
      <c r="D7321" s="14" t="s">
        <v>13943</v>
      </c>
      <c r="E7321" s="9" t="s">
        <v>8</v>
      </c>
    </row>
    <row r="7322" spans="1:5" x14ac:dyDescent="0.25">
      <c r="A7322" s="61" t="s">
        <v>13944</v>
      </c>
      <c r="B7322" s="61"/>
      <c r="C7322" s="61"/>
      <c r="D7322" s="61"/>
      <c r="E7322" s="61"/>
    </row>
    <row r="7323" spans="1:5" outlineLevel="1" x14ac:dyDescent="0.25">
      <c r="A7323" s="2"/>
      <c r="B7323" s="6" t="s">
        <v>13945</v>
      </c>
      <c r="C7323" s="8"/>
      <c r="D7323" s="8"/>
      <c r="E7323" s="8"/>
    </row>
    <row r="7324" spans="1:5" ht="15" customHeight="1" outlineLevel="2" x14ac:dyDescent="0.25">
      <c r="A7324" s="3" t="str">
        <f>HYPERLINK("http://mystore1.ru/price_items/search?utf8=%E2%9C%93&amp;oem=7258AGNBL","7258AGNBL")</f>
        <v>7258AGNBL</v>
      </c>
      <c r="B7324" s="1" t="s">
        <v>13946</v>
      </c>
      <c r="C7324" s="9" t="s">
        <v>3279</v>
      </c>
      <c r="D7324" s="14" t="s">
        <v>13947</v>
      </c>
      <c r="E7324" s="9" t="s">
        <v>8</v>
      </c>
    </row>
    <row r="7325" spans="1:5" ht="15" customHeight="1" outlineLevel="2" x14ac:dyDescent="0.25">
      <c r="A7325" s="3" t="str">
        <f>HYPERLINK("http://mystore1.ru/price_items/search?utf8=%E2%9C%93&amp;oem=7258LGNR3FD","7258LGNR3FD")</f>
        <v>7258LGNR3FD</v>
      </c>
      <c r="B7325" s="1" t="s">
        <v>13948</v>
      </c>
      <c r="C7325" s="9" t="s">
        <v>3279</v>
      </c>
      <c r="D7325" s="14" t="s">
        <v>13949</v>
      </c>
      <c r="E7325" s="9" t="s">
        <v>11</v>
      </c>
    </row>
    <row r="7326" spans="1:5" ht="15" customHeight="1" outlineLevel="2" x14ac:dyDescent="0.25">
      <c r="A7326" s="3" t="str">
        <f>HYPERLINK("http://mystore1.ru/price_items/search?utf8=%E2%9C%93&amp;oem=7258LGNR5FD","7258LGNR5FD")</f>
        <v>7258LGNR5FD</v>
      </c>
      <c r="B7326" s="1" t="s">
        <v>13950</v>
      </c>
      <c r="C7326" s="9" t="s">
        <v>3279</v>
      </c>
      <c r="D7326" s="14" t="s">
        <v>13951</v>
      </c>
      <c r="E7326" s="9" t="s">
        <v>11</v>
      </c>
    </row>
    <row r="7327" spans="1:5" ht="15" customHeight="1" outlineLevel="2" x14ac:dyDescent="0.25">
      <c r="A7327" s="3" t="str">
        <f>HYPERLINK("http://mystore1.ru/price_items/search?utf8=%E2%9C%93&amp;oem=7258LGNR5RV","7258LGNR5RV")</f>
        <v>7258LGNR5RV</v>
      </c>
      <c r="B7327" s="1" t="s">
        <v>13952</v>
      </c>
      <c r="C7327" s="9" t="s">
        <v>3279</v>
      </c>
      <c r="D7327" s="14" t="s">
        <v>13953</v>
      </c>
      <c r="E7327" s="9" t="s">
        <v>11</v>
      </c>
    </row>
    <row r="7328" spans="1:5" ht="15" customHeight="1" outlineLevel="2" x14ac:dyDescent="0.25">
      <c r="A7328" s="3" t="str">
        <f>HYPERLINK("http://mystore1.ru/price_items/search?utf8=%E2%9C%93&amp;oem=7258RGNR3FD","7258RGNR3FD")</f>
        <v>7258RGNR3FD</v>
      </c>
      <c r="B7328" s="1" t="s">
        <v>13954</v>
      </c>
      <c r="C7328" s="9" t="s">
        <v>3279</v>
      </c>
      <c r="D7328" s="14" t="s">
        <v>13955</v>
      </c>
      <c r="E7328" s="9" t="s">
        <v>11</v>
      </c>
    </row>
    <row r="7329" spans="1:5" ht="15" customHeight="1" outlineLevel="2" x14ac:dyDescent="0.25">
      <c r="A7329" s="3" t="str">
        <f>HYPERLINK("http://mystore1.ru/price_items/search?utf8=%E2%9C%93&amp;oem=7258RGNR5RV","7258RGNR5RV")</f>
        <v>7258RGNR5RV</v>
      </c>
      <c r="B7329" s="1" t="s">
        <v>13956</v>
      </c>
      <c r="C7329" s="9" t="s">
        <v>3279</v>
      </c>
      <c r="D7329" s="14" t="s">
        <v>13957</v>
      </c>
      <c r="E7329" s="9" t="s">
        <v>11</v>
      </c>
    </row>
    <row r="7330" spans="1:5" outlineLevel="1" x14ac:dyDescent="0.25">
      <c r="A7330" s="2"/>
      <c r="B7330" s="6" t="s">
        <v>13958</v>
      </c>
      <c r="C7330" s="8"/>
      <c r="D7330" s="8"/>
      <c r="E7330" s="8"/>
    </row>
    <row r="7331" spans="1:5" ht="15" customHeight="1" outlineLevel="2" x14ac:dyDescent="0.25">
      <c r="A7331" s="3" t="str">
        <f>HYPERLINK("http://mystore1.ru/price_items/search?utf8=%E2%9C%93&amp;oem=7232ACL","7232ACL")</f>
        <v>7232ACL</v>
      </c>
      <c r="B7331" s="1" t="s">
        <v>13959</v>
      </c>
      <c r="C7331" s="9" t="s">
        <v>891</v>
      </c>
      <c r="D7331" s="14" t="s">
        <v>13960</v>
      </c>
      <c r="E7331" s="9" t="s">
        <v>8</v>
      </c>
    </row>
    <row r="7332" spans="1:5" ht="15" customHeight="1" outlineLevel="2" x14ac:dyDescent="0.25">
      <c r="A7332" s="3" t="str">
        <f>HYPERLINK("http://mystore1.ru/price_items/search?utf8=%E2%9C%93&amp;oem=7232AGN","7232AGN")</f>
        <v>7232AGN</v>
      </c>
      <c r="B7332" s="1" t="s">
        <v>13961</v>
      </c>
      <c r="C7332" s="9" t="s">
        <v>891</v>
      </c>
      <c r="D7332" s="14" t="s">
        <v>13962</v>
      </c>
      <c r="E7332" s="9" t="s">
        <v>8</v>
      </c>
    </row>
    <row r="7333" spans="1:5" ht="15" customHeight="1" outlineLevel="2" x14ac:dyDescent="0.25">
      <c r="A7333" s="3" t="str">
        <f>HYPERLINK("http://mystore1.ru/price_items/search?utf8=%E2%9C%93&amp;oem=7232AGNBL","7232AGNBL")</f>
        <v>7232AGNBL</v>
      </c>
      <c r="B7333" s="1" t="s">
        <v>13963</v>
      </c>
      <c r="C7333" s="9" t="s">
        <v>891</v>
      </c>
      <c r="D7333" s="14" t="s">
        <v>13964</v>
      </c>
      <c r="E7333" s="9" t="s">
        <v>8</v>
      </c>
    </row>
    <row r="7334" spans="1:5" ht="15" customHeight="1" outlineLevel="2" x14ac:dyDescent="0.25">
      <c r="A7334" s="3" t="str">
        <f>HYPERLINK("http://mystore1.ru/price_items/search?utf8=%E2%9C%93&amp;oem=7232AGNGN","7232AGNGN")</f>
        <v>7232AGNGN</v>
      </c>
      <c r="B7334" s="1" t="s">
        <v>13965</v>
      </c>
      <c r="C7334" s="9" t="s">
        <v>891</v>
      </c>
      <c r="D7334" s="14" t="s">
        <v>13966</v>
      </c>
      <c r="E7334" s="9" t="s">
        <v>8</v>
      </c>
    </row>
    <row r="7335" spans="1:5" ht="15" customHeight="1" outlineLevel="2" x14ac:dyDescent="0.25">
      <c r="A7335" s="3" t="str">
        <f>HYPERLINK("http://mystore1.ru/price_items/search?utf8=%E2%9C%93&amp;oem=7232AKMH","7232AKMH")</f>
        <v>7232AKMH</v>
      </c>
      <c r="B7335" s="1" t="s">
        <v>13967</v>
      </c>
      <c r="C7335" s="9" t="s">
        <v>25</v>
      </c>
      <c r="D7335" s="14" t="s">
        <v>13968</v>
      </c>
      <c r="E7335" s="9" t="s">
        <v>27</v>
      </c>
    </row>
    <row r="7336" spans="1:5" ht="15" customHeight="1" outlineLevel="2" x14ac:dyDescent="0.25">
      <c r="A7336" s="3" t="str">
        <f>HYPERLINK("http://mystore1.ru/price_items/search?utf8=%E2%9C%93&amp;oem=7232ASGH","7232ASGH")</f>
        <v>7232ASGH</v>
      </c>
      <c r="B7336" s="1" t="s">
        <v>13969</v>
      </c>
      <c r="C7336" s="9" t="s">
        <v>25</v>
      </c>
      <c r="D7336" s="14" t="s">
        <v>13970</v>
      </c>
      <c r="E7336" s="9" t="s">
        <v>27</v>
      </c>
    </row>
    <row r="7337" spans="1:5" ht="15" customHeight="1" outlineLevel="2" x14ac:dyDescent="0.25">
      <c r="A7337" s="3" t="str">
        <f>HYPERLINK("http://mystore1.ru/price_items/search?utf8=%E2%9C%93&amp;oem=7232ASMH","7232ASMH")</f>
        <v>7232ASMH</v>
      </c>
      <c r="B7337" s="1" t="s">
        <v>13971</v>
      </c>
      <c r="C7337" s="9" t="s">
        <v>25</v>
      </c>
      <c r="D7337" s="14" t="s">
        <v>13972</v>
      </c>
      <c r="E7337" s="9" t="s">
        <v>27</v>
      </c>
    </row>
    <row r="7338" spans="1:5" ht="15" customHeight="1" outlineLevel="2" x14ac:dyDescent="0.25">
      <c r="A7338" s="3" t="str">
        <f>HYPERLINK("http://mystore1.ru/price_items/search?utf8=%E2%9C%93&amp;oem=7232BCLH","7232BCLH")</f>
        <v>7232BCLH</v>
      </c>
      <c r="B7338" s="1" t="s">
        <v>13973</v>
      </c>
      <c r="C7338" s="9" t="s">
        <v>891</v>
      </c>
      <c r="D7338" s="14" t="s">
        <v>13974</v>
      </c>
      <c r="E7338" s="9" t="s">
        <v>30</v>
      </c>
    </row>
    <row r="7339" spans="1:5" ht="15" customHeight="1" outlineLevel="2" x14ac:dyDescent="0.25">
      <c r="A7339" s="3" t="str">
        <f>HYPERLINK("http://mystore1.ru/price_items/search?utf8=%E2%9C%93&amp;oem=7232BGNH","7232BGNH")</f>
        <v>7232BGNH</v>
      </c>
      <c r="B7339" s="1" t="s">
        <v>13975</v>
      </c>
      <c r="C7339" s="9" t="s">
        <v>891</v>
      </c>
      <c r="D7339" s="14" t="s">
        <v>13976</v>
      </c>
      <c r="E7339" s="9" t="s">
        <v>30</v>
      </c>
    </row>
    <row r="7340" spans="1:5" ht="15" customHeight="1" outlineLevel="2" x14ac:dyDescent="0.25">
      <c r="A7340" s="3" t="str">
        <f>HYPERLINK("http://mystore1.ru/price_items/search?utf8=%E2%9C%93&amp;oem=7232BSMH","7232BSMH")</f>
        <v>7232BSMH</v>
      </c>
      <c r="B7340" s="1" t="s">
        <v>13977</v>
      </c>
      <c r="C7340" s="9" t="s">
        <v>25</v>
      </c>
      <c r="D7340" s="14" t="s">
        <v>13978</v>
      </c>
      <c r="E7340" s="9" t="s">
        <v>27</v>
      </c>
    </row>
    <row r="7341" spans="1:5" ht="15" customHeight="1" outlineLevel="2" x14ac:dyDescent="0.25">
      <c r="A7341" s="3" t="str">
        <f>HYPERLINK("http://mystore1.ru/price_items/search?utf8=%E2%9C%93&amp;oem=7232LCLH3FD","7232LCLH3FD")</f>
        <v>7232LCLH3FD</v>
      </c>
      <c r="B7341" s="1" t="s">
        <v>13979</v>
      </c>
      <c r="C7341" s="9" t="s">
        <v>891</v>
      </c>
      <c r="D7341" s="14" t="s">
        <v>13980</v>
      </c>
      <c r="E7341" s="9" t="s">
        <v>11</v>
      </c>
    </row>
    <row r="7342" spans="1:5" ht="15" customHeight="1" outlineLevel="2" x14ac:dyDescent="0.25">
      <c r="A7342" s="3" t="str">
        <f>HYPERLINK("http://mystore1.ru/price_items/search?utf8=%E2%9C%93&amp;oem=7232LCLH3RQ","7232LCLH3RQ")</f>
        <v>7232LCLH3RQ</v>
      </c>
      <c r="B7342" s="1" t="s">
        <v>13981</v>
      </c>
      <c r="C7342" s="9" t="s">
        <v>891</v>
      </c>
      <c r="D7342" s="14" t="s">
        <v>13982</v>
      </c>
      <c r="E7342" s="9" t="s">
        <v>11</v>
      </c>
    </row>
    <row r="7343" spans="1:5" ht="15" customHeight="1" outlineLevel="2" x14ac:dyDescent="0.25">
      <c r="A7343" s="3" t="str">
        <f>HYPERLINK("http://mystore1.ru/price_items/search?utf8=%E2%9C%93&amp;oem=7232LCLH5FD","7232LCLH5FD")</f>
        <v>7232LCLH5FD</v>
      </c>
      <c r="B7343" s="1" t="s">
        <v>13983</v>
      </c>
      <c r="C7343" s="9" t="s">
        <v>891</v>
      </c>
      <c r="D7343" s="14" t="s">
        <v>13984</v>
      </c>
      <c r="E7343" s="9" t="s">
        <v>11</v>
      </c>
    </row>
    <row r="7344" spans="1:5" ht="15" customHeight="1" outlineLevel="2" x14ac:dyDescent="0.25">
      <c r="A7344" s="3" t="str">
        <f>HYPERLINK("http://mystore1.ru/price_items/search?utf8=%E2%9C%93&amp;oem=7232LCLH5RD","7232LCLH5RD")</f>
        <v>7232LCLH5RD</v>
      </c>
      <c r="B7344" s="1" t="s">
        <v>13985</v>
      </c>
      <c r="C7344" s="9" t="s">
        <v>891</v>
      </c>
      <c r="D7344" s="14" t="s">
        <v>13986</v>
      </c>
      <c r="E7344" s="9" t="s">
        <v>11</v>
      </c>
    </row>
    <row r="7345" spans="1:5" ht="15" customHeight="1" outlineLevel="2" x14ac:dyDescent="0.25">
      <c r="A7345" s="3" t="str">
        <f>HYPERLINK("http://mystore1.ru/price_items/search?utf8=%E2%9C%93&amp;oem=7232LCLH5RV","7232LCLH5RV")</f>
        <v>7232LCLH5RV</v>
      </c>
      <c r="B7345" s="1" t="s">
        <v>13987</v>
      </c>
      <c r="C7345" s="9" t="s">
        <v>891</v>
      </c>
      <c r="D7345" s="14" t="s">
        <v>13988</v>
      </c>
      <c r="E7345" s="9" t="s">
        <v>11</v>
      </c>
    </row>
    <row r="7346" spans="1:5" ht="15" customHeight="1" outlineLevel="2" x14ac:dyDescent="0.25">
      <c r="A7346" s="3" t="str">
        <f>HYPERLINK("http://mystore1.ru/price_items/search?utf8=%E2%9C%93&amp;oem=7232LGNH3FD","7232LGNH3FD")</f>
        <v>7232LGNH3FD</v>
      </c>
      <c r="B7346" s="1" t="s">
        <v>13989</v>
      </c>
      <c r="C7346" s="9" t="s">
        <v>891</v>
      </c>
      <c r="D7346" s="14" t="s">
        <v>13990</v>
      </c>
      <c r="E7346" s="9" t="s">
        <v>11</v>
      </c>
    </row>
    <row r="7347" spans="1:5" ht="15" customHeight="1" outlineLevel="2" x14ac:dyDescent="0.25">
      <c r="A7347" s="3" t="str">
        <f>HYPERLINK("http://mystore1.ru/price_items/search?utf8=%E2%9C%93&amp;oem=7232LGNH3RQO","7232LGNH3RQO")</f>
        <v>7232LGNH3RQO</v>
      </c>
      <c r="B7347" s="1" t="s">
        <v>13991</v>
      </c>
      <c r="C7347" s="9" t="s">
        <v>891</v>
      </c>
      <c r="D7347" s="14" t="s">
        <v>13992</v>
      </c>
      <c r="E7347" s="9" t="s">
        <v>11</v>
      </c>
    </row>
    <row r="7348" spans="1:5" ht="15" customHeight="1" outlineLevel="2" x14ac:dyDescent="0.25">
      <c r="A7348" s="3" t="str">
        <f>HYPERLINK("http://mystore1.ru/price_items/search?utf8=%E2%9C%93&amp;oem=7232LGNH5FD","7232LGNH5FD")</f>
        <v>7232LGNH5FD</v>
      </c>
      <c r="B7348" s="1" t="s">
        <v>13993</v>
      </c>
      <c r="C7348" s="9" t="s">
        <v>891</v>
      </c>
      <c r="D7348" s="14" t="s">
        <v>13994</v>
      </c>
      <c r="E7348" s="9" t="s">
        <v>11</v>
      </c>
    </row>
    <row r="7349" spans="1:5" ht="15" customHeight="1" outlineLevel="2" x14ac:dyDescent="0.25">
      <c r="A7349" s="3" t="str">
        <f>HYPERLINK("http://mystore1.ru/price_items/search?utf8=%E2%9C%93&amp;oem=7232LGNH5RD","7232LGNH5RD")</f>
        <v>7232LGNH5RD</v>
      </c>
      <c r="B7349" s="1" t="s">
        <v>13995</v>
      </c>
      <c r="C7349" s="9" t="s">
        <v>891</v>
      </c>
      <c r="D7349" s="14" t="s">
        <v>13996</v>
      </c>
      <c r="E7349" s="9" t="s">
        <v>11</v>
      </c>
    </row>
    <row r="7350" spans="1:5" ht="15" customHeight="1" outlineLevel="2" x14ac:dyDescent="0.25">
      <c r="A7350" s="3" t="str">
        <f>HYPERLINK("http://mystore1.ru/price_items/search?utf8=%E2%9C%93&amp;oem=7232LGNH5RV","7232LGNH5RV")</f>
        <v>7232LGNH5RV</v>
      </c>
      <c r="B7350" s="1" t="s">
        <v>13997</v>
      </c>
      <c r="C7350" s="9" t="s">
        <v>891</v>
      </c>
      <c r="D7350" s="14" t="s">
        <v>13998</v>
      </c>
      <c r="E7350" s="9" t="s">
        <v>11</v>
      </c>
    </row>
    <row r="7351" spans="1:5" ht="15" customHeight="1" outlineLevel="2" x14ac:dyDescent="0.25">
      <c r="A7351" s="3" t="str">
        <f>HYPERLINK("http://mystore1.ru/price_items/search?utf8=%E2%9C%93&amp;oem=7232RCLH3FD","7232RCLH3FD")</f>
        <v>7232RCLH3FD</v>
      </c>
      <c r="B7351" s="1" t="s">
        <v>13999</v>
      </c>
      <c r="C7351" s="9" t="s">
        <v>891</v>
      </c>
      <c r="D7351" s="14" t="s">
        <v>14000</v>
      </c>
      <c r="E7351" s="9" t="s">
        <v>11</v>
      </c>
    </row>
    <row r="7352" spans="1:5" ht="15" customHeight="1" outlineLevel="2" x14ac:dyDescent="0.25">
      <c r="A7352" s="3" t="str">
        <f>HYPERLINK("http://mystore1.ru/price_items/search?utf8=%E2%9C%93&amp;oem=7232RCLH3RQ","7232RCLH3RQ")</f>
        <v>7232RCLH3RQ</v>
      </c>
      <c r="B7352" s="1" t="s">
        <v>14001</v>
      </c>
      <c r="C7352" s="9" t="s">
        <v>891</v>
      </c>
      <c r="D7352" s="14" t="s">
        <v>14002</v>
      </c>
      <c r="E7352" s="9" t="s">
        <v>11</v>
      </c>
    </row>
    <row r="7353" spans="1:5" ht="15" customHeight="1" outlineLevel="2" x14ac:dyDescent="0.25">
      <c r="A7353" s="3" t="str">
        <f>HYPERLINK("http://mystore1.ru/price_items/search?utf8=%E2%9C%93&amp;oem=7232RCLH5FD","7232RCLH5FD")</f>
        <v>7232RCLH5FD</v>
      </c>
      <c r="B7353" s="1" t="s">
        <v>14003</v>
      </c>
      <c r="C7353" s="9" t="s">
        <v>891</v>
      </c>
      <c r="D7353" s="14" t="s">
        <v>14004</v>
      </c>
      <c r="E7353" s="9" t="s">
        <v>11</v>
      </c>
    </row>
    <row r="7354" spans="1:5" ht="15" customHeight="1" outlineLevel="2" x14ac:dyDescent="0.25">
      <c r="A7354" s="3" t="str">
        <f>HYPERLINK("http://mystore1.ru/price_items/search?utf8=%E2%9C%93&amp;oem=7232RCLH5RD","7232RCLH5RD")</f>
        <v>7232RCLH5RD</v>
      </c>
      <c r="B7354" s="1" t="s">
        <v>14005</v>
      </c>
      <c r="C7354" s="9" t="s">
        <v>891</v>
      </c>
      <c r="D7354" s="14" t="s">
        <v>14006</v>
      </c>
      <c r="E7354" s="9" t="s">
        <v>11</v>
      </c>
    </row>
    <row r="7355" spans="1:5" ht="15" customHeight="1" outlineLevel="2" x14ac:dyDescent="0.25">
      <c r="A7355" s="3" t="str">
        <f>HYPERLINK("http://mystore1.ru/price_items/search?utf8=%E2%9C%93&amp;oem=7232RCLH5RV","7232RCLH5RV")</f>
        <v>7232RCLH5RV</v>
      </c>
      <c r="B7355" s="1" t="s">
        <v>14007</v>
      </c>
      <c r="C7355" s="9" t="s">
        <v>891</v>
      </c>
      <c r="D7355" s="14" t="s">
        <v>14008</v>
      </c>
      <c r="E7355" s="9" t="s">
        <v>11</v>
      </c>
    </row>
    <row r="7356" spans="1:5" ht="15" customHeight="1" outlineLevel="2" x14ac:dyDescent="0.25">
      <c r="A7356" s="3" t="str">
        <f>HYPERLINK("http://mystore1.ru/price_items/search?utf8=%E2%9C%93&amp;oem=7232RGNH3FD","7232RGNH3FD")</f>
        <v>7232RGNH3FD</v>
      </c>
      <c r="B7356" s="1" t="s">
        <v>14009</v>
      </c>
      <c r="C7356" s="9" t="s">
        <v>891</v>
      </c>
      <c r="D7356" s="14" t="s">
        <v>14010</v>
      </c>
      <c r="E7356" s="9" t="s">
        <v>11</v>
      </c>
    </row>
    <row r="7357" spans="1:5" ht="15" customHeight="1" outlineLevel="2" x14ac:dyDescent="0.25">
      <c r="A7357" s="3" t="str">
        <f>HYPERLINK("http://mystore1.ru/price_items/search?utf8=%E2%9C%93&amp;oem=7232RGNH3RQO","7232RGNH3RQO")</f>
        <v>7232RGNH3RQO</v>
      </c>
      <c r="B7357" s="1" t="s">
        <v>14011</v>
      </c>
      <c r="C7357" s="9" t="s">
        <v>891</v>
      </c>
      <c r="D7357" s="14" t="s">
        <v>14012</v>
      </c>
      <c r="E7357" s="9" t="s">
        <v>11</v>
      </c>
    </row>
    <row r="7358" spans="1:5" ht="15" customHeight="1" outlineLevel="2" x14ac:dyDescent="0.25">
      <c r="A7358" s="3" t="str">
        <f>HYPERLINK("http://mystore1.ru/price_items/search?utf8=%E2%9C%93&amp;oem=7232RGNH5FD","7232RGNH5FD")</f>
        <v>7232RGNH5FD</v>
      </c>
      <c r="B7358" s="1" t="s">
        <v>14013</v>
      </c>
      <c r="C7358" s="9" t="s">
        <v>891</v>
      </c>
      <c r="D7358" s="14" t="s">
        <v>14014</v>
      </c>
      <c r="E7358" s="9" t="s">
        <v>11</v>
      </c>
    </row>
    <row r="7359" spans="1:5" ht="15" customHeight="1" outlineLevel="2" x14ac:dyDescent="0.25">
      <c r="A7359" s="3" t="str">
        <f>HYPERLINK("http://mystore1.ru/price_items/search?utf8=%E2%9C%93&amp;oem=7232RGNH5RD","7232RGNH5RD")</f>
        <v>7232RGNH5RD</v>
      </c>
      <c r="B7359" s="1" t="s">
        <v>14015</v>
      </c>
      <c r="C7359" s="9" t="s">
        <v>891</v>
      </c>
      <c r="D7359" s="14" t="s">
        <v>14016</v>
      </c>
      <c r="E7359" s="9" t="s">
        <v>11</v>
      </c>
    </row>
    <row r="7360" spans="1:5" ht="15" customHeight="1" outlineLevel="2" x14ac:dyDescent="0.25">
      <c r="A7360" s="3" t="str">
        <f>HYPERLINK("http://mystore1.ru/price_items/search?utf8=%E2%9C%93&amp;oem=7232RGNH5RV","7232RGNH5RV")</f>
        <v>7232RGNH5RV</v>
      </c>
      <c r="B7360" s="1" t="s">
        <v>14017</v>
      </c>
      <c r="C7360" s="9" t="s">
        <v>891</v>
      </c>
      <c r="D7360" s="14" t="s">
        <v>14018</v>
      </c>
      <c r="E7360" s="9" t="s">
        <v>11</v>
      </c>
    </row>
    <row r="7361" spans="1:5" outlineLevel="1" x14ac:dyDescent="0.25">
      <c r="A7361" s="2"/>
      <c r="B7361" s="6" t="s">
        <v>14019</v>
      </c>
      <c r="C7361" s="8"/>
      <c r="D7361" s="8"/>
      <c r="E7361" s="8"/>
    </row>
    <row r="7362" spans="1:5" ht="15" customHeight="1" outlineLevel="2" x14ac:dyDescent="0.25">
      <c r="A7362" s="3" t="str">
        <f>HYPERLINK("http://mystore1.ru/price_items/search?utf8=%E2%9C%93&amp;oem=7248ACC1M","7248ACC1M")</f>
        <v>7248ACC1M</v>
      </c>
      <c r="B7362" s="1" t="s">
        <v>14020</v>
      </c>
      <c r="C7362" s="9" t="s">
        <v>981</v>
      </c>
      <c r="D7362" s="14" t="s">
        <v>14021</v>
      </c>
      <c r="E7362" s="9" t="s">
        <v>8</v>
      </c>
    </row>
    <row r="7363" spans="1:5" ht="15" customHeight="1" outlineLevel="2" x14ac:dyDescent="0.25">
      <c r="A7363" s="3" t="str">
        <f>HYPERLINK("http://mystore1.ru/price_items/search?utf8=%E2%9C%93&amp;oem=7248ACCM1R","7248ACCM1R")</f>
        <v>7248ACCM1R</v>
      </c>
      <c r="B7363" s="1" t="s">
        <v>14022</v>
      </c>
      <c r="C7363" s="9" t="s">
        <v>981</v>
      </c>
      <c r="D7363" s="14" t="s">
        <v>14023</v>
      </c>
      <c r="E7363" s="9" t="s">
        <v>8</v>
      </c>
    </row>
    <row r="7364" spans="1:5" ht="15" customHeight="1" outlineLevel="2" x14ac:dyDescent="0.25">
      <c r="A7364" s="3" t="str">
        <f>HYPERLINK("http://mystore1.ru/price_items/search?utf8=%E2%9C%93&amp;oem=7248AGA1B","7248AGA1B")</f>
        <v>7248AGA1B</v>
      </c>
      <c r="B7364" s="1" t="s">
        <v>14024</v>
      </c>
      <c r="C7364" s="9" t="s">
        <v>984</v>
      </c>
      <c r="D7364" s="14" t="s">
        <v>14025</v>
      </c>
      <c r="E7364" s="9" t="s">
        <v>8</v>
      </c>
    </row>
    <row r="7365" spans="1:5" ht="15" customHeight="1" outlineLevel="2" x14ac:dyDescent="0.25">
      <c r="A7365" s="3" t="str">
        <f>HYPERLINK("http://mystore1.ru/price_items/search?utf8=%E2%9C%93&amp;oem=7248AGS1B","7248AGS1B")</f>
        <v>7248AGS1B</v>
      </c>
      <c r="B7365" s="1" t="s">
        <v>14026</v>
      </c>
      <c r="C7365" s="9" t="s">
        <v>981</v>
      </c>
      <c r="D7365" s="14" t="s">
        <v>14027</v>
      </c>
      <c r="E7365" s="9" t="s">
        <v>8</v>
      </c>
    </row>
    <row r="7366" spans="1:5" ht="15" customHeight="1" outlineLevel="2" x14ac:dyDescent="0.25">
      <c r="A7366" s="3" t="str">
        <f>HYPERLINK("http://mystore1.ru/price_items/search?utf8=%E2%9C%93&amp;oem=7248AGS1R","7248AGS1R")</f>
        <v>7248AGS1R</v>
      </c>
      <c r="B7366" s="1" t="s">
        <v>14028</v>
      </c>
      <c r="C7366" s="9" t="s">
        <v>984</v>
      </c>
      <c r="D7366" s="14" t="s">
        <v>14029</v>
      </c>
      <c r="E7366" s="9" t="s">
        <v>8</v>
      </c>
    </row>
    <row r="7367" spans="1:5" ht="15" customHeight="1" outlineLevel="2" x14ac:dyDescent="0.25">
      <c r="A7367" s="3" t="str">
        <f>HYPERLINK("http://mystore1.ru/price_items/search?utf8=%E2%9C%93&amp;oem=7248AGS2R","7248AGS2R")</f>
        <v>7248AGS2R</v>
      </c>
      <c r="B7367" s="1" t="s">
        <v>14030</v>
      </c>
      <c r="C7367" s="9" t="s">
        <v>984</v>
      </c>
      <c r="D7367" s="14" t="s">
        <v>14031</v>
      </c>
      <c r="E7367" s="9" t="s">
        <v>8</v>
      </c>
    </row>
    <row r="7368" spans="1:5" ht="15" customHeight="1" outlineLevel="2" x14ac:dyDescent="0.25">
      <c r="A7368" s="3" t="str">
        <f>HYPERLINK("http://mystore1.ru/price_items/search?utf8=%E2%9C%93&amp;oem=7248AGSBL","7248AGSBL")</f>
        <v>7248AGSBL</v>
      </c>
      <c r="B7368" s="1" t="s">
        <v>14032</v>
      </c>
      <c r="C7368" s="9" t="s">
        <v>981</v>
      </c>
      <c r="D7368" s="14" t="s">
        <v>14033</v>
      </c>
      <c r="E7368" s="9" t="s">
        <v>8</v>
      </c>
    </row>
    <row r="7369" spans="1:5" ht="15" customHeight="1" outlineLevel="2" x14ac:dyDescent="0.25">
      <c r="A7369" s="3" t="str">
        <f>HYPERLINK("http://mystore1.ru/price_items/search?utf8=%E2%9C%93&amp;oem=7248AGSGN","7248AGSGN")</f>
        <v>7248AGSGN</v>
      </c>
      <c r="B7369" s="1" t="s">
        <v>14034</v>
      </c>
      <c r="C7369" s="9" t="s">
        <v>981</v>
      </c>
      <c r="D7369" s="14" t="s">
        <v>14035</v>
      </c>
      <c r="E7369" s="9" t="s">
        <v>8</v>
      </c>
    </row>
    <row r="7370" spans="1:5" ht="15" customHeight="1" outlineLevel="2" x14ac:dyDescent="0.25">
      <c r="A7370" s="3" t="str">
        <f>HYPERLINK("http://mystore1.ru/price_items/search?utf8=%E2%9C%93&amp;oem=7248AKMH","7248AKMH")</f>
        <v>7248AKMH</v>
      </c>
      <c r="B7370" s="1" t="s">
        <v>14036</v>
      </c>
      <c r="C7370" s="9" t="s">
        <v>25</v>
      </c>
      <c r="D7370" s="14" t="s">
        <v>14037</v>
      </c>
      <c r="E7370" s="9" t="s">
        <v>27</v>
      </c>
    </row>
    <row r="7371" spans="1:5" ht="15" customHeight="1" outlineLevel="2" x14ac:dyDescent="0.25">
      <c r="A7371" s="3" t="str">
        <f>HYPERLINK("http://mystore1.ru/price_items/search?utf8=%E2%9C%93&amp;oem=7248BGSH","7248BGSH")</f>
        <v>7248BGSH</v>
      </c>
      <c r="B7371" s="1" t="s">
        <v>14038</v>
      </c>
      <c r="C7371" s="9" t="s">
        <v>981</v>
      </c>
      <c r="D7371" s="14" t="s">
        <v>14039</v>
      </c>
      <c r="E7371" s="9" t="s">
        <v>30</v>
      </c>
    </row>
    <row r="7372" spans="1:5" ht="15" customHeight="1" outlineLevel="2" x14ac:dyDescent="0.25">
      <c r="A7372" s="3" t="str">
        <f>HYPERLINK("http://mystore1.ru/price_items/search?utf8=%E2%9C%93&amp;oem=7248LGSH3FD","7248LGSH3FD")</f>
        <v>7248LGSH3FD</v>
      </c>
      <c r="B7372" s="1" t="s">
        <v>14040</v>
      </c>
      <c r="C7372" s="9" t="s">
        <v>981</v>
      </c>
      <c r="D7372" s="14" t="s">
        <v>14041</v>
      </c>
      <c r="E7372" s="9" t="s">
        <v>11</v>
      </c>
    </row>
    <row r="7373" spans="1:5" ht="15" customHeight="1" outlineLevel="2" x14ac:dyDescent="0.25">
      <c r="A7373" s="3" t="str">
        <f>HYPERLINK("http://mystore1.ru/price_items/search?utf8=%E2%9C%93&amp;oem=7248LGSH3FD1A","7248LGSH3FD1A")</f>
        <v>7248LGSH3FD1A</v>
      </c>
      <c r="B7373" s="1" t="s">
        <v>14042</v>
      </c>
      <c r="C7373" s="9" t="s">
        <v>984</v>
      </c>
      <c r="D7373" s="14" t="s">
        <v>14043</v>
      </c>
      <c r="E7373" s="9" t="s">
        <v>11</v>
      </c>
    </row>
    <row r="7374" spans="1:5" ht="15" customHeight="1" outlineLevel="2" x14ac:dyDescent="0.25">
      <c r="A7374" s="3" t="str">
        <f>HYPERLINK("http://mystore1.ru/price_items/search?utf8=%E2%9C%93&amp;oem=7248LGSH3RQZ","7248LGSH3RQZ")</f>
        <v>7248LGSH3RQZ</v>
      </c>
      <c r="B7374" s="1" t="s">
        <v>14044</v>
      </c>
      <c r="C7374" s="9" t="s">
        <v>981</v>
      </c>
      <c r="D7374" s="14" t="s">
        <v>14045</v>
      </c>
      <c r="E7374" s="9" t="s">
        <v>11</v>
      </c>
    </row>
    <row r="7375" spans="1:5" ht="15" customHeight="1" outlineLevel="2" x14ac:dyDescent="0.25">
      <c r="A7375" s="3" t="str">
        <f>HYPERLINK("http://mystore1.ru/price_items/search?utf8=%E2%9C%93&amp;oem=7248LGSH5FD","7248LGSH5FD")</f>
        <v>7248LGSH5FD</v>
      </c>
      <c r="B7375" s="1" t="s">
        <v>14046</v>
      </c>
      <c r="C7375" s="9" t="s">
        <v>981</v>
      </c>
      <c r="D7375" s="14" t="s">
        <v>14047</v>
      </c>
      <c r="E7375" s="9" t="s">
        <v>11</v>
      </c>
    </row>
    <row r="7376" spans="1:5" ht="15" customHeight="1" outlineLevel="2" x14ac:dyDescent="0.25">
      <c r="A7376" s="3" t="str">
        <f>HYPERLINK("http://mystore1.ru/price_items/search?utf8=%E2%9C%93&amp;oem=7248LGSH5FD1A","7248LGSH5FD1A")</f>
        <v>7248LGSH5FD1A</v>
      </c>
      <c r="B7376" s="1" t="s">
        <v>14048</v>
      </c>
      <c r="C7376" s="9" t="s">
        <v>984</v>
      </c>
      <c r="D7376" s="14" t="s">
        <v>14049</v>
      </c>
      <c r="E7376" s="9" t="s">
        <v>11</v>
      </c>
    </row>
    <row r="7377" spans="1:5" ht="15" customHeight="1" outlineLevel="2" x14ac:dyDescent="0.25">
      <c r="A7377" s="3" t="str">
        <f>HYPERLINK("http://mystore1.ru/price_items/search?utf8=%E2%9C%93&amp;oem=7248LGSH5RD","7248LGSH5RD")</f>
        <v>7248LGSH5RD</v>
      </c>
      <c r="B7377" s="1" t="s">
        <v>14050</v>
      </c>
      <c r="C7377" s="9" t="s">
        <v>981</v>
      </c>
      <c r="D7377" s="14" t="s">
        <v>14051</v>
      </c>
      <c r="E7377" s="9" t="s">
        <v>11</v>
      </c>
    </row>
    <row r="7378" spans="1:5" ht="15" customHeight="1" outlineLevel="2" x14ac:dyDescent="0.25">
      <c r="A7378" s="3" t="str">
        <f>HYPERLINK("http://mystore1.ru/price_items/search?utf8=%E2%9C%93&amp;oem=7248LGSH5RD1J","7248LGSH5RD1J")</f>
        <v>7248LGSH5RD1J</v>
      </c>
      <c r="B7378" s="1" t="s">
        <v>14052</v>
      </c>
      <c r="C7378" s="9" t="s">
        <v>2031</v>
      </c>
      <c r="D7378" s="14" t="s">
        <v>14053</v>
      </c>
      <c r="E7378" s="9" t="s">
        <v>11</v>
      </c>
    </row>
    <row r="7379" spans="1:5" ht="15" customHeight="1" outlineLevel="2" x14ac:dyDescent="0.25">
      <c r="A7379" s="3" t="str">
        <f>HYPERLINK("http://mystore1.ru/price_items/search?utf8=%E2%9C%93&amp;oem=7248LGSH5RV","7248LGSH5RV")</f>
        <v>7248LGSH5RV</v>
      </c>
      <c r="B7379" s="1" t="s">
        <v>14054</v>
      </c>
      <c r="C7379" s="9" t="s">
        <v>981</v>
      </c>
      <c r="D7379" s="14" t="s">
        <v>14055</v>
      </c>
      <c r="E7379" s="9" t="s">
        <v>11</v>
      </c>
    </row>
    <row r="7380" spans="1:5" ht="15" customHeight="1" outlineLevel="2" x14ac:dyDescent="0.25">
      <c r="A7380" s="3" t="str">
        <f>HYPERLINK("http://mystore1.ru/price_items/search?utf8=%E2%9C%93&amp;oem=7248RGSH3FD","7248RGSH3FD")</f>
        <v>7248RGSH3FD</v>
      </c>
      <c r="B7380" s="1" t="s">
        <v>14056</v>
      </c>
      <c r="C7380" s="9" t="s">
        <v>981</v>
      </c>
      <c r="D7380" s="14" t="s">
        <v>14057</v>
      </c>
      <c r="E7380" s="9" t="s">
        <v>11</v>
      </c>
    </row>
    <row r="7381" spans="1:5" ht="15" customHeight="1" outlineLevel="2" x14ac:dyDescent="0.25">
      <c r="A7381" s="3" t="str">
        <f>HYPERLINK("http://mystore1.ru/price_items/search?utf8=%E2%9C%93&amp;oem=7248RGSH3FD1A","7248RGSH3FD1A")</f>
        <v>7248RGSH3FD1A</v>
      </c>
      <c r="B7381" s="1" t="s">
        <v>14058</v>
      </c>
      <c r="C7381" s="9" t="s">
        <v>984</v>
      </c>
      <c r="D7381" s="14" t="s">
        <v>14059</v>
      </c>
      <c r="E7381" s="9" t="s">
        <v>11</v>
      </c>
    </row>
    <row r="7382" spans="1:5" ht="15" customHeight="1" outlineLevel="2" x14ac:dyDescent="0.25">
      <c r="A7382" s="3" t="str">
        <f>HYPERLINK("http://mystore1.ru/price_items/search?utf8=%E2%9C%93&amp;oem=7248RGSH3RQZ","7248RGSH3RQZ")</f>
        <v>7248RGSH3RQZ</v>
      </c>
      <c r="B7382" s="1" t="s">
        <v>14060</v>
      </c>
      <c r="C7382" s="9" t="s">
        <v>981</v>
      </c>
      <c r="D7382" s="14" t="s">
        <v>14061</v>
      </c>
      <c r="E7382" s="9" t="s">
        <v>11</v>
      </c>
    </row>
    <row r="7383" spans="1:5" ht="15" customHeight="1" outlineLevel="2" x14ac:dyDescent="0.25">
      <c r="A7383" s="3" t="str">
        <f>HYPERLINK("http://mystore1.ru/price_items/search?utf8=%E2%9C%93&amp;oem=7248RGSH5FD","7248RGSH5FD")</f>
        <v>7248RGSH5FD</v>
      </c>
      <c r="B7383" s="1" t="s">
        <v>14062</v>
      </c>
      <c r="C7383" s="9" t="s">
        <v>981</v>
      </c>
      <c r="D7383" s="14" t="s">
        <v>14063</v>
      </c>
      <c r="E7383" s="9" t="s">
        <v>11</v>
      </c>
    </row>
    <row r="7384" spans="1:5" ht="15" customHeight="1" outlineLevel="2" x14ac:dyDescent="0.25">
      <c r="A7384" s="3" t="str">
        <f>HYPERLINK("http://mystore1.ru/price_items/search?utf8=%E2%9C%93&amp;oem=7248RGSH5FD1A","7248RGSH5FD1A")</f>
        <v>7248RGSH5FD1A</v>
      </c>
      <c r="B7384" s="1" t="s">
        <v>14064</v>
      </c>
      <c r="C7384" s="9" t="s">
        <v>984</v>
      </c>
      <c r="D7384" s="14" t="s">
        <v>14065</v>
      </c>
      <c r="E7384" s="9" t="s">
        <v>11</v>
      </c>
    </row>
    <row r="7385" spans="1:5" ht="15" customHeight="1" outlineLevel="2" x14ac:dyDescent="0.25">
      <c r="A7385" s="3" t="str">
        <f>HYPERLINK("http://mystore1.ru/price_items/search?utf8=%E2%9C%93&amp;oem=7248RGSH5RD","7248RGSH5RD")</f>
        <v>7248RGSH5RD</v>
      </c>
      <c r="B7385" s="1" t="s">
        <v>14066</v>
      </c>
      <c r="C7385" s="9" t="s">
        <v>981</v>
      </c>
      <c r="D7385" s="14" t="s">
        <v>14067</v>
      </c>
      <c r="E7385" s="9" t="s">
        <v>11</v>
      </c>
    </row>
    <row r="7386" spans="1:5" ht="15" customHeight="1" outlineLevel="2" x14ac:dyDescent="0.25">
      <c r="A7386" s="3" t="str">
        <f>HYPERLINK("http://mystore1.ru/price_items/search?utf8=%E2%9C%93&amp;oem=7248RGSH5RD1J","7248RGSH5RD1J")</f>
        <v>7248RGSH5RD1J</v>
      </c>
      <c r="B7386" s="1" t="s">
        <v>14068</v>
      </c>
      <c r="C7386" s="9" t="s">
        <v>2031</v>
      </c>
      <c r="D7386" s="14" t="s">
        <v>14069</v>
      </c>
      <c r="E7386" s="9" t="s">
        <v>11</v>
      </c>
    </row>
    <row r="7387" spans="1:5" ht="15" customHeight="1" outlineLevel="2" x14ac:dyDescent="0.25">
      <c r="A7387" s="3" t="str">
        <f>HYPERLINK("http://mystore1.ru/price_items/search?utf8=%E2%9C%93&amp;oem=7248RGSH5RV","7248RGSH5RV")</f>
        <v>7248RGSH5RV</v>
      </c>
      <c r="B7387" s="1" t="s">
        <v>14070</v>
      </c>
      <c r="C7387" s="9" t="s">
        <v>981</v>
      </c>
      <c r="D7387" s="14" t="s">
        <v>14071</v>
      </c>
      <c r="E7387" s="9" t="s">
        <v>11</v>
      </c>
    </row>
    <row r="7388" spans="1:5" outlineLevel="1" x14ac:dyDescent="0.25">
      <c r="A7388" s="2"/>
      <c r="B7388" s="6" t="s">
        <v>14072</v>
      </c>
      <c r="C7388" s="7"/>
      <c r="D7388" s="8"/>
      <c r="E7388" s="8"/>
    </row>
    <row r="7389" spans="1:5" ht="15" customHeight="1" outlineLevel="2" x14ac:dyDescent="0.25">
      <c r="A7389" s="3" t="str">
        <f>HYPERLINK("http://mystore1.ru/price_items/search?utf8=%E2%9C%93&amp;oem=7262AGSMV1R","7262AGSMV1R")</f>
        <v>7262AGSMV1R</v>
      </c>
      <c r="B7389" s="1" t="s">
        <v>14073</v>
      </c>
      <c r="C7389" s="9" t="s">
        <v>7906</v>
      </c>
      <c r="D7389" s="14" t="s">
        <v>14074</v>
      </c>
      <c r="E7389" s="9" t="s">
        <v>8</v>
      </c>
    </row>
    <row r="7390" spans="1:5" ht="15" customHeight="1" outlineLevel="2" x14ac:dyDescent="0.25">
      <c r="A7390" s="3" t="str">
        <f>HYPERLINK("http://mystore1.ru/price_items/search?utf8=%E2%9C%93&amp;oem=7262AGAMV1R","7262AGAMV1R")</f>
        <v>7262AGAMV1R</v>
      </c>
      <c r="B7390" s="1" t="s">
        <v>14075</v>
      </c>
      <c r="C7390" s="9" t="s">
        <v>7906</v>
      </c>
      <c r="D7390" s="14" t="s">
        <v>14076</v>
      </c>
      <c r="E7390" s="9" t="s">
        <v>8</v>
      </c>
    </row>
    <row r="7391" spans="1:5" ht="15" customHeight="1" outlineLevel="2" x14ac:dyDescent="0.25">
      <c r="A7391" s="3" t="str">
        <f>HYPERLINK("http://mystore1.ru/price_items/search?utf8=%E2%9C%93&amp;oem=7262AGSV1M","7262AGSV1M")</f>
        <v>7262AGSV1M</v>
      </c>
      <c r="B7391" s="1" t="s">
        <v>14077</v>
      </c>
      <c r="C7391" s="9" t="s">
        <v>7906</v>
      </c>
      <c r="D7391" s="14" t="s">
        <v>14078</v>
      </c>
      <c r="E7391" s="9" t="s">
        <v>8</v>
      </c>
    </row>
    <row r="7392" spans="1:5" ht="15" customHeight="1" outlineLevel="2" x14ac:dyDescent="0.25">
      <c r="A7392" s="3" t="str">
        <f>HYPERLINK("http://mystore1.ru/price_items/search?utf8=%E2%9C%93&amp;oem=7262AGSV1Q","7262AGSV1Q")</f>
        <v>7262AGSV1Q</v>
      </c>
      <c r="B7392" s="1" t="s">
        <v>14079</v>
      </c>
      <c r="C7392" s="9" t="s">
        <v>7906</v>
      </c>
      <c r="D7392" s="14" t="s">
        <v>14078</v>
      </c>
      <c r="E7392" s="9" t="s">
        <v>8</v>
      </c>
    </row>
    <row r="7393" spans="1:5" ht="15" customHeight="1" outlineLevel="2" x14ac:dyDescent="0.25">
      <c r="A7393" s="3" t="str">
        <f>HYPERLINK("http://mystore1.ru/price_items/search?utf8=%E2%9C%93&amp;oem=7262ASMHT","7262ASMHT")</f>
        <v>7262ASMHT</v>
      </c>
      <c r="B7393" s="1" t="s">
        <v>14080</v>
      </c>
      <c r="C7393" s="9" t="s">
        <v>25</v>
      </c>
      <c r="D7393" s="14" t="s">
        <v>14081</v>
      </c>
      <c r="E7393" s="9" t="s">
        <v>27</v>
      </c>
    </row>
    <row r="7394" spans="1:5" ht="15" customHeight="1" outlineLevel="2" x14ac:dyDescent="0.25">
      <c r="A7394" s="3" t="str">
        <f>HYPERLINK("http://mystore1.ru/price_items/search?utf8=%E2%9C%93&amp;oem=7262BGPH","7262BGPH")</f>
        <v>7262BGPH</v>
      </c>
      <c r="B7394" s="1" t="s">
        <v>14082</v>
      </c>
      <c r="C7394" s="9" t="s">
        <v>7906</v>
      </c>
      <c r="D7394" s="14" t="s">
        <v>14083</v>
      </c>
      <c r="E7394" s="9" t="s">
        <v>30</v>
      </c>
    </row>
    <row r="7395" spans="1:5" ht="15" customHeight="1" outlineLevel="2" x14ac:dyDescent="0.25">
      <c r="A7395" s="3" t="str">
        <f>HYPERLINK("http://mystore1.ru/price_items/search?utf8=%E2%9C%93&amp;oem=7262BGSH","7262BGSH")</f>
        <v>7262BGSH</v>
      </c>
      <c r="B7395" s="1" t="s">
        <v>14084</v>
      </c>
      <c r="C7395" s="9" t="s">
        <v>7906</v>
      </c>
      <c r="D7395" s="14" t="s">
        <v>14085</v>
      </c>
      <c r="E7395" s="9" t="s">
        <v>30</v>
      </c>
    </row>
    <row r="7396" spans="1:5" ht="15" customHeight="1" outlineLevel="2" x14ac:dyDescent="0.25">
      <c r="A7396" s="3" t="str">
        <f>HYPERLINK("http://mystore1.ru/price_items/search?utf8=%E2%9C%93&amp;oem=7262LGSH3FD","7262LGSH3FD")</f>
        <v>7262LGSH3FD</v>
      </c>
      <c r="B7396" s="1" t="s">
        <v>14086</v>
      </c>
      <c r="C7396" s="9" t="s">
        <v>7906</v>
      </c>
      <c r="D7396" s="14" t="s">
        <v>14087</v>
      </c>
      <c r="E7396" s="9" t="s">
        <v>11</v>
      </c>
    </row>
    <row r="7397" spans="1:5" ht="15" customHeight="1" outlineLevel="2" x14ac:dyDescent="0.25">
      <c r="A7397" s="3" t="str">
        <f>HYPERLINK("http://mystore1.ru/price_items/search?utf8=%E2%9C%93&amp;oem=7262LGSH3RQ","7262LGSH3RQ")</f>
        <v>7262LGSH3RQ</v>
      </c>
      <c r="B7397" s="1" t="s">
        <v>14088</v>
      </c>
      <c r="C7397" s="9" t="s">
        <v>7906</v>
      </c>
      <c r="D7397" s="14" t="s">
        <v>14089</v>
      </c>
      <c r="E7397" s="9" t="s">
        <v>11</v>
      </c>
    </row>
    <row r="7398" spans="1:5" ht="15" customHeight="1" outlineLevel="2" x14ac:dyDescent="0.25">
      <c r="A7398" s="3" t="str">
        <f>HYPERLINK("http://mystore1.ru/price_items/search?utf8=%E2%9C%93&amp;oem=7262LGSH5FD","7262LGSH5FD")</f>
        <v>7262LGSH5FD</v>
      </c>
      <c r="B7398" s="1" t="s">
        <v>14090</v>
      </c>
      <c r="C7398" s="9" t="s">
        <v>7906</v>
      </c>
      <c r="D7398" s="14" t="s">
        <v>14087</v>
      </c>
      <c r="E7398" s="9" t="s">
        <v>11</v>
      </c>
    </row>
    <row r="7399" spans="1:5" ht="15" customHeight="1" outlineLevel="2" x14ac:dyDescent="0.25">
      <c r="A7399" s="3" t="str">
        <f>HYPERLINK("http://mystore1.ru/price_items/search?utf8=%E2%9C%93&amp;oem=7262LGSH5RD","7262LGSH5RD")</f>
        <v>7262LGSH5RD</v>
      </c>
      <c r="B7399" s="1" t="s">
        <v>14091</v>
      </c>
      <c r="C7399" s="9" t="s">
        <v>7906</v>
      </c>
      <c r="D7399" s="14" t="s">
        <v>14092</v>
      </c>
      <c r="E7399" s="9" t="s">
        <v>11</v>
      </c>
    </row>
    <row r="7400" spans="1:5" ht="15" customHeight="1" outlineLevel="2" x14ac:dyDescent="0.25">
      <c r="A7400" s="3" t="str">
        <f>HYPERLINK("http://mystore1.ru/price_items/search?utf8=%E2%9C%93&amp;oem=7262LGSH5RV","7262LGSH5RV")</f>
        <v>7262LGSH5RV</v>
      </c>
      <c r="B7400" s="1" t="s">
        <v>14093</v>
      </c>
      <c r="C7400" s="9" t="s">
        <v>7906</v>
      </c>
      <c r="D7400" s="14" t="s">
        <v>14094</v>
      </c>
      <c r="E7400" s="9" t="s">
        <v>11</v>
      </c>
    </row>
    <row r="7401" spans="1:5" ht="15" customHeight="1" outlineLevel="2" x14ac:dyDescent="0.25">
      <c r="A7401" s="3" t="str">
        <f>HYPERLINK("http://mystore1.ru/price_items/search?utf8=%E2%9C%93&amp;oem=7262RGSH3FD","7262RGSH3FD")</f>
        <v>7262RGSH3FD</v>
      </c>
      <c r="B7401" s="1" t="s">
        <v>14095</v>
      </c>
      <c r="C7401" s="9" t="s">
        <v>7906</v>
      </c>
      <c r="D7401" s="14" t="s">
        <v>14096</v>
      </c>
      <c r="E7401" s="9" t="s">
        <v>11</v>
      </c>
    </row>
    <row r="7402" spans="1:5" ht="15" customHeight="1" outlineLevel="2" x14ac:dyDescent="0.25">
      <c r="A7402" s="3" t="str">
        <f>HYPERLINK("http://mystore1.ru/price_items/search?utf8=%E2%9C%93&amp;oem=7262RGSH3RQ","7262RGSH3RQ")</f>
        <v>7262RGSH3RQ</v>
      </c>
      <c r="B7402" s="1" t="s">
        <v>14097</v>
      </c>
      <c r="C7402" s="9" t="s">
        <v>7906</v>
      </c>
      <c r="D7402" s="14" t="s">
        <v>14098</v>
      </c>
      <c r="E7402" s="9" t="s">
        <v>11</v>
      </c>
    </row>
    <row r="7403" spans="1:5" ht="15" customHeight="1" outlineLevel="2" x14ac:dyDescent="0.25">
      <c r="A7403" s="3" t="str">
        <f>HYPERLINK("http://mystore1.ru/price_items/search?utf8=%E2%9C%93&amp;oem=7262RGSH5FD","7262RGSH5FD")</f>
        <v>7262RGSH5FD</v>
      </c>
      <c r="B7403" s="1" t="s">
        <v>14099</v>
      </c>
      <c r="C7403" s="9" t="s">
        <v>7906</v>
      </c>
      <c r="D7403" s="14" t="s">
        <v>14096</v>
      </c>
      <c r="E7403" s="9" t="s">
        <v>11</v>
      </c>
    </row>
    <row r="7404" spans="1:5" ht="15" customHeight="1" outlineLevel="2" x14ac:dyDescent="0.25">
      <c r="A7404" s="3" t="str">
        <f>HYPERLINK("http://mystore1.ru/price_items/search?utf8=%E2%9C%93&amp;oem=7262RGSH5RD","7262RGSH5RD")</f>
        <v>7262RGSH5RD</v>
      </c>
      <c r="B7404" s="1" t="s">
        <v>14100</v>
      </c>
      <c r="C7404" s="9" t="s">
        <v>7906</v>
      </c>
      <c r="D7404" s="14" t="s">
        <v>14092</v>
      </c>
      <c r="E7404" s="9" t="s">
        <v>11</v>
      </c>
    </row>
    <row r="7405" spans="1:5" ht="15" customHeight="1" outlineLevel="2" x14ac:dyDescent="0.25">
      <c r="A7405" s="3" t="str">
        <f>HYPERLINK("http://mystore1.ru/price_items/search?utf8=%E2%9C%93&amp;oem=7262RGSH5RV","7262RGSH5RV")</f>
        <v>7262RGSH5RV</v>
      </c>
      <c r="B7405" s="1" t="s">
        <v>14101</v>
      </c>
      <c r="C7405" s="9" t="s">
        <v>7906</v>
      </c>
      <c r="D7405" s="14" t="s">
        <v>14102</v>
      </c>
      <c r="E7405" s="9" t="s">
        <v>11</v>
      </c>
    </row>
    <row r="7406" spans="1:5" outlineLevel="1" x14ac:dyDescent="0.25">
      <c r="A7406" s="2"/>
      <c r="B7406" s="6" t="s">
        <v>14103</v>
      </c>
      <c r="C7406" s="8"/>
      <c r="D7406" s="8"/>
      <c r="E7406" s="8"/>
    </row>
    <row r="7407" spans="1:5" ht="15" customHeight="1" outlineLevel="2" x14ac:dyDescent="0.25">
      <c r="A7407" s="3" t="str">
        <f>HYPERLINK("http://mystore1.ru/price_items/search?utf8=%E2%9C%93&amp;oem=7276AGS","7276AGS")</f>
        <v>7276AGS</v>
      </c>
      <c r="B7407" s="1" t="s">
        <v>14104</v>
      </c>
      <c r="C7407" s="9" t="s">
        <v>14105</v>
      </c>
      <c r="D7407" s="14" t="s">
        <v>14106</v>
      </c>
      <c r="E7407" s="9" t="s">
        <v>8</v>
      </c>
    </row>
    <row r="7408" spans="1:5" ht="15" customHeight="1" outlineLevel="2" x14ac:dyDescent="0.25">
      <c r="A7408" s="3" t="str">
        <f>HYPERLINK("http://mystore1.ru/price_items/search?utf8=%E2%9C%93&amp;oem=7276RGNR5FD","7276RGNR5FD")</f>
        <v>7276RGNR5FD</v>
      </c>
      <c r="B7408" s="1" t="s">
        <v>14107</v>
      </c>
      <c r="C7408" s="9" t="s">
        <v>14105</v>
      </c>
      <c r="D7408" s="14" t="s">
        <v>14108</v>
      </c>
      <c r="E7408" s="9" t="s">
        <v>11</v>
      </c>
    </row>
    <row r="7409" spans="1:5" ht="15" customHeight="1" outlineLevel="2" x14ac:dyDescent="0.25">
      <c r="A7409" s="3" t="str">
        <f>HYPERLINK("http://mystore1.ru/price_items/search?utf8=%E2%9C%93&amp;oem=7276LGNR5FD","7276LGNR5FD")</f>
        <v>7276LGNR5FD</v>
      </c>
      <c r="B7409" s="1" t="s">
        <v>14109</v>
      </c>
      <c r="C7409" s="9" t="s">
        <v>14105</v>
      </c>
      <c r="D7409" s="14" t="s">
        <v>14110</v>
      </c>
      <c r="E7409" s="9" t="s">
        <v>11</v>
      </c>
    </row>
    <row r="7410" spans="1:5" ht="15" customHeight="1" outlineLevel="2" x14ac:dyDescent="0.25">
      <c r="A7410" s="3" t="str">
        <f>HYPERLINK("http://mystore1.ru/price_items/search?utf8=%E2%9C%93&amp;oem=7276RGNR5RD","7276RGNR5RD")</f>
        <v>7276RGNR5RD</v>
      </c>
      <c r="B7410" s="1" t="s">
        <v>14111</v>
      </c>
      <c r="C7410" s="9" t="s">
        <v>601</v>
      </c>
      <c r="D7410" s="14" t="s">
        <v>14112</v>
      </c>
      <c r="E7410" s="9" t="s">
        <v>11</v>
      </c>
    </row>
    <row r="7411" spans="1:5" ht="15" customHeight="1" outlineLevel="2" x14ac:dyDescent="0.25">
      <c r="A7411" s="3" t="str">
        <f>HYPERLINK("http://mystore1.ru/price_items/search?utf8=%E2%9C%93&amp;oem=7276LGNR5RD","7276LGNR5RD")</f>
        <v>7276LGNR5RD</v>
      </c>
      <c r="B7411" s="1" t="s">
        <v>14113</v>
      </c>
      <c r="C7411" s="9" t="s">
        <v>601</v>
      </c>
      <c r="D7411" s="14" t="s">
        <v>14114</v>
      </c>
      <c r="E7411" s="9" t="s">
        <v>11</v>
      </c>
    </row>
    <row r="7412" spans="1:5" ht="15" customHeight="1" outlineLevel="2" x14ac:dyDescent="0.25">
      <c r="A7412" s="3" t="str">
        <f>HYPERLINK("http://mystore1.ru/price_items/search?utf8=%E2%9C%93&amp;oem=7276RGNR5RQ","7276RGNR5RQ")</f>
        <v>7276RGNR5RQ</v>
      </c>
      <c r="B7412" s="1" t="s">
        <v>14115</v>
      </c>
      <c r="C7412" s="9" t="s">
        <v>601</v>
      </c>
      <c r="D7412" s="14" t="s">
        <v>14116</v>
      </c>
      <c r="E7412" s="9" t="s">
        <v>11</v>
      </c>
    </row>
    <row r="7413" spans="1:5" ht="15" customHeight="1" outlineLevel="2" x14ac:dyDescent="0.25">
      <c r="A7413" s="3" t="str">
        <f>HYPERLINK("http://mystore1.ru/price_items/search?utf8=%E2%9C%93&amp;oem=7276LGNR5RQ","7276LGNR5RQ")</f>
        <v>7276LGNR5RQ</v>
      </c>
      <c r="B7413" s="1" t="s">
        <v>14117</v>
      </c>
      <c r="C7413" s="9" t="s">
        <v>601</v>
      </c>
      <c r="D7413" s="14" t="s">
        <v>14118</v>
      </c>
      <c r="E7413" s="9" t="s">
        <v>11</v>
      </c>
    </row>
    <row r="7414" spans="1:5" ht="15" customHeight="1" outlineLevel="2" x14ac:dyDescent="0.25">
      <c r="A7414" s="3" t="str">
        <f>HYPERLINK("http://mystore1.ru/price_items/search?utf8=%E2%9C%93&amp;oem=7276BGSR","7276BGSR")</f>
        <v>7276BGSR</v>
      </c>
      <c r="B7414" s="1" t="s">
        <v>14119</v>
      </c>
      <c r="C7414" s="9" t="s">
        <v>601</v>
      </c>
      <c r="D7414" s="14" t="s">
        <v>14120</v>
      </c>
      <c r="E7414" s="9" t="s">
        <v>30</v>
      </c>
    </row>
    <row r="7415" spans="1:5" outlineLevel="1" x14ac:dyDescent="0.25">
      <c r="A7415" s="2"/>
      <c r="B7415" s="6" t="s">
        <v>14121</v>
      </c>
      <c r="C7415" s="8"/>
      <c r="D7415" s="8"/>
      <c r="E7415" s="8"/>
    </row>
    <row r="7416" spans="1:5" ht="15" customHeight="1" outlineLevel="2" x14ac:dyDescent="0.25">
      <c r="A7416" s="3" t="str">
        <f>HYPERLINK("http://mystore1.ru/price_items/search?utf8=%E2%9C%93&amp;oem=7228ABZ","7228ABZ")</f>
        <v>7228ABZ</v>
      </c>
      <c r="B7416" s="1" t="s">
        <v>14122</v>
      </c>
      <c r="C7416" s="9" t="s">
        <v>14123</v>
      </c>
      <c r="D7416" s="14" t="s">
        <v>14124</v>
      </c>
      <c r="E7416" s="9" t="s">
        <v>8</v>
      </c>
    </row>
    <row r="7417" spans="1:5" ht="15" customHeight="1" outlineLevel="2" x14ac:dyDescent="0.25">
      <c r="A7417" s="3" t="str">
        <f>HYPERLINK("http://mystore1.ru/price_items/search?utf8=%E2%9C%93&amp;oem=7228ACL","7228ACL")</f>
        <v>7228ACL</v>
      </c>
      <c r="B7417" s="1" t="s">
        <v>14125</v>
      </c>
      <c r="C7417" s="9" t="s">
        <v>14123</v>
      </c>
      <c r="D7417" s="14" t="s">
        <v>14126</v>
      </c>
      <c r="E7417" s="9" t="s">
        <v>8</v>
      </c>
    </row>
    <row r="7418" spans="1:5" ht="15" customHeight="1" outlineLevel="2" x14ac:dyDescent="0.25">
      <c r="A7418" s="3" t="str">
        <f>HYPERLINK("http://mystore1.ru/price_items/search?utf8=%E2%9C%93&amp;oem=7228AKMV","7228AKMV")</f>
        <v>7228AKMV</v>
      </c>
      <c r="B7418" s="1" t="s">
        <v>14127</v>
      </c>
      <c r="C7418" s="9" t="s">
        <v>25</v>
      </c>
      <c r="D7418" s="14" t="s">
        <v>14128</v>
      </c>
      <c r="E7418" s="9" t="s">
        <v>27</v>
      </c>
    </row>
    <row r="7419" spans="1:5" ht="15" customHeight="1" outlineLevel="2" x14ac:dyDescent="0.25">
      <c r="A7419" s="3" t="str">
        <f>HYPERLINK("http://mystore1.ru/price_items/search?utf8=%E2%9C%93&amp;oem=7228RBZV5FD","7228RBZV5FD")</f>
        <v>7228RBZV5FD</v>
      </c>
      <c r="B7419" s="1" t="s">
        <v>14129</v>
      </c>
      <c r="C7419" s="9" t="s">
        <v>14123</v>
      </c>
      <c r="D7419" s="14" t="s">
        <v>14130</v>
      </c>
      <c r="E7419" s="9" t="s">
        <v>11</v>
      </c>
    </row>
    <row r="7420" spans="1:5" outlineLevel="1" x14ac:dyDescent="0.25">
      <c r="A7420" s="2"/>
      <c r="B7420" s="6" t="s">
        <v>14131</v>
      </c>
      <c r="C7420" s="8"/>
      <c r="D7420" s="8"/>
      <c r="E7420" s="8"/>
    </row>
    <row r="7421" spans="1:5" ht="15" customHeight="1" outlineLevel="2" x14ac:dyDescent="0.25">
      <c r="A7421" s="3" t="str">
        <f>HYPERLINK("http://mystore1.ru/price_items/search?utf8=%E2%9C%93&amp;oem=7234ACL","7234ACL")</f>
        <v>7234ACL</v>
      </c>
      <c r="B7421" s="1" t="s">
        <v>14132</v>
      </c>
      <c r="C7421" s="9" t="s">
        <v>5911</v>
      </c>
      <c r="D7421" s="14" t="s">
        <v>14133</v>
      </c>
      <c r="E7421" s="9" t="s">
        <v>8</v>
      </c>
    </row>
    <row r="7422" spans="1:5" ht="15" customHeight="1" outlineLevel="2" x14ac:dyDescent="0.25">
      <c r="A7422" s="3" t="str">
        <f>HYPERLINK("http://mystore1.ru/price_items/search?utf8=%E2%9C%93&amp;oem=7234AGN","7234AGN")</f>
        <v>7234AGN</v>
      </c>
      <c r="B7422" s="1" t="s">
        <v>14134</v>
      </c>
      <c r="C7422" s="9" t="s">
        <v>5911</v>
      </c>
      <c r="D7422" s="14" t="s">
        <v>14135</v>
      </c>
      <c r="E7422" s="9" t="s">
        <v>8</v>
      </c>
    </row>
    <row r="7423" spans="1:5" ht="15" customHeight="1" outlineLevel="2" x14ac:dyDescent="0.25">
      <c r="A7423" s="3" t="str">
        <f>HYPERLINK("http://mystore1.ru/price_items/search?utf8=%E2%9C%93&amp;oem=7234AGNGN","7234AGNGN")</f>
        <v>7234AGNGN</v>
      </c>
      <c r="B7423" s="1" t="s">
        <v>14136</v>
      </c>
      <c r="C7423" s="9" t="s">
        <v>5911</v>
      </c>
      <c r="D7423" s="14" t="s">
        <v>14137</v>
      </c>
      <c r="E7423" s="9" t="s">
        <v>8</v>
      </c>
    </row>
    <row r="7424" spans="1:5" ht="15" customHeight="1" outlineLevel="2" x14ac:dyDescent="0.25">
      <c r="A7424" s="3" t="str">
        <f>HYPERLINK("http://mystore1.ru/price_items/search?utf8=%E2%9C%93&amp;oem=7234AKMV","7234AKMV")</f>
        <v>7234AKMV</v>
      </c>
      <c r="B7424" s="1" t="s">
        <v>14138</v>
      </c>
      <c r="C7424" s="9" t="s">
        <v>25</v>
      </c>
      <c r="D7424" s="14" t="s">
        <v>14139</v>
      </c>
      <c r="E7424" s="9" t="s">
        <v>27</v>
      </c>
    </row>
    <row r="7425" spans="1:5" ht="15" customHeight="1" outlineLevel="2" x14ac:dyDescent="0.25">
      <c r="A7425" s="3" t="str">
        <f>HYPERLINK("http://mystore1.ru/price_items/search?utf8=%E2%9C%93&amp;oem=7234BGNV","7234BGNV")</f>
        <v>7234BGNV</v>
      </c>
      <c r="B7425" s="1" t="s">
        <v>14140</v>
      </c>
      <c r="C7425" s="9" t="s">
        <v>880</v>
      </c>
      <c r="D7425" s="14" t="s">
        <v>14141</v>
      </c>
      <c r="E7425" s="9" t="s">
        <v>30</v>
      </c>
    </row>
    <row r="7426" spans="1:5" ht="15" customHeight="1" outlineLevel="2" x14ac:dyDescent="0.25">
      <c r="A7426" s="3" t="str">
        <f>HYPERLINK("http://mystore1.ru/price_items/search?utf8=%E2%9C%93&amp;oem=7234LGNV4FD","7234LGNV4FD")</f>
        <v>7234LGNV4FD</v>
      </c>
      <c r="B7426" s="1" t="s">
        <v>14142</v>
      </c>
      <c r="C7426" s="9" t="s">
        <v>5911</v>
      </c>
      <c r="D7426" s="14" t="s">
        <v>14143</v>
      </c>
      <c r="E7426" s="9" t="s">
        <v>11</v>
      </c>
    </row>
    <row r="7427" spans="1:5" ht="15" customHeight="1" outlineLevel="2" x14ac:dyDescent="0.25">
      <c r="A7427" s="3" t="str">
        <f>HYPERLINK("http://mystore1.ru/price_items/search?utf8=%E2%9C%93&amp;oem=7234LGNV4FQ","7234LGNV4FQ")</f>
        <v>7234LGNV4FQ</v>
      </c>
      <c r="B7427" s="1" t="s">
        <v>14144</v>
      </c>
      <c r="C7427" s="9" t="s">
        <v>5911</v>
      </c>
      <c r="D7427" s="14" t="s">
        <v>14145</v>
      </c>
      <c r="E7427" s="9" t="s">
        <v>11</v>
      </c>
    </row>
    <row r="7428" spans="1:5" ht="15" customHeight="1" outlineLevel="2" x14ac:dyDescent="0.25">
      <c r="A7428" s="3" t="str">
        <f>HYPERLINK("http://mystore1.ru/price_items/search?utf8=%E2%9C%93&amp;oem=7234LGNV4RQO","7234LGNV4RQO")</f>
        <v>7234LGNV4RQO</v>
      </c>
      <c r="B7428" s="1" t="s">
        <v>14146</v>
      </c>
      <c r="C7428" s="9" t="s">
        <v>5911</v>
      </c>
      <c r="D7428" s="14" t="s">
        <v>14147</v>
      </c>
      <c r="E7428" s="9" t="s">
        <v>11</v>
      </c>
    </row>
    <row r="7429" spans="1:5" ht="15" customHeight="1" outlineLevel="2" x14ac:dyDescent="0.25">
      <c r="A7429" s="3" t="str">
        <f>HYPERLINK("http://mystore1.ru/price_items/search?utf8=%E2%9C%93&amp;oem=7234RGNV4FD","7234RGNV4FD")</f>
        <v>7234RGNV4FD</v>
      </c>
      <c r="B7429" s="1" t="s">
        <v>14148</v>
      </c>
      <c r="C7429" s="9" t="s">
        <v>5911</v>
      </c>
      <c r="D7429" s="14" t="s">
        <v>14149</v>
      </c>
      <c r="E7429" s="9" t="s">
        <v>11</v>
      </c>
    </row>
    <row r="7430" spans="1:5" ht="15" customHeight="1" outlineLevel="2" x14ac:dyDescent="0.25">
      <c r="A7430" s="3" t="str">
        <f>HYPERLINK("http://mystore1.ru/price_items/search?utf8=%E2%9C%93&amp;oem=7234RGNV4FQ","7234RGNV4FQ")</f>
        <v>7234RGNV4FQ</v>
      </c>
      <c r="B7430" s="1" t="s">
        <v>14150</v>
      </c>
      <c r="C7430" s="9" t="s">
        <v>5911</v>
      </c>
      <c r="D7430" s="14" t="s">
        <v>14151</v>
      </c>
      <c r="E7430" s="9" t="s">
        <v>11</v>
      </c>
    </row>
    <row r="7431" spans="1:5" ht="15" customHeight="1" outlineLevel="2" x14ac:dyDescent="0.25">
      <c r="A7431" s="3" t="str">
        <f>HYPERLINK("http://mystore1.ru/price_items/search?utf8=%E2%9C%93&amp;oem=7234RGNV4RQO","7234RGNV4RQO")</f>
        <v>7234RGNV4RQO</v>
      </c>
      <c r="B7431" s="1" t="s">
        <v>14152</v>
      </c>
      <c r="C7431" s="9" t="s">
        <v>5911</v>
      </c>
      <c r="D7431" s="14" t="s">
        <v>14153</v>
      </c>
      <c r="E7431" s="9" t="s">
        <v>11</v>
      </c>
    </row>
    <row r="7432" spans="1:5" outlineLevel="1" x14ac:dyDescent="0.25">
      <c r="A7432" s="2"/>
      <c r="B7432" s="6" t="s">
        <v>14154</v>
      </c>
      <c r="C7432" s="8"/>
      <c r="D7432" s="8"/>
      <c r="E7432" s="8"/>
    </row>
    <row r="7433" spans="1:5" ht="15" customHeight="1" outlineLevel="2" x14ac:dyDescent="0.25">
      <c r="A7433" s="3" t="str">
        <f>HYPERLINK("http://mystore1.ru/price_items/search?utf8=%E2%9C%93&amp;oem=7243ACCV","7243ACCV")</f>
        <v>7243ACCV</v>
      </c>
      <c r="B7433" s="1" t="s">
        <v>14155</v>
      </c>
      <c r="C7433" s="9" t="s">
        <v>6954</v>
      </c>
      <c r="D7433" s="14" t="s">
        <v>14156</v>
      </c>
      <c r="E7433" s="9" t="s">
        <v>8</v>
      </c>
    </row>
    <row r="7434" spans="1:5" ht="15" customHeight="1" outlineLevel="2" x14ac:dyDescent="0.25">
      <c r="A7434" s="3" t="str">
        <f>HYPERLINK("http://mystore1.ru/price_items/search?utf8=%E2%9C%93&amp;oem=7243ACCV6A","7243ACCV6A")</f>
        <v>7243ACCV6A</v>
      </c>
      <c r="B7434" s="1" t="s">
        <v>14157</v>
      </c>
      <c r="C7434" s="9" t="s">
        <v>6954</v>
      </c>
      <c r="D7434" s="14" t="s">
        <v>14158</v>
      </c>
      <c r="E7434" s="9" t="s">
        <v>8</v>
      </c>
    </row>
    <row r="7435" spans="1:5" ht="15" customHeight="1" outlineLevel="2" x14ac:dyDescent="0.25">
      <c r="A7435" s="3" t="str">
        <f>HYPERLINK("http://mystore1.ru/price_items/search?utf8=%E2%9C%93&amp;oem=7243AGNV","7243AGNV")</f>
        <v>7243AGNV</v>
      </c>
      <c r="B7435" s="1" t="s">
        <v>14159</v>
      </c>
      <c r="C7435" s="9" t="s">
        <v>6954</v>
      </c>
      <c r="D7435" s="14" t="s">
        <v>14160</v>
      </c>
      <c r="E7435" s="9" t="s">
        <v>8</v>
      </c>
    </row>
    <row r="7436" spans="1:5" ht="15" customHeight="1" outlineLevel="2" x14ac:dyDescent="0.25">
      <c r="A7436" s="3" t="str">
        <f>HYPERLINK("http://mystore1.ru/price_items/search?utf8=%E2%9C%93&amp;oem=7243AKMV","7243AKMV")</f>
        <v>7243AKMV</v>
      </c>
      <c r="B7436" s="1" t="s">
        <v>14161</v>
      </c>
      <c r="C7436" s="9" t="s">
        <v>25</v>
      </c>
      <c r="D7436" s="14" t="s">
        <v>14162</v>
      </c>
      <c r="E7436" s="9" t="s">
        <v>27</v>
      </c>
    </row>
    <row r="7437" spans="1:5" ht="15" customHeight="1" outlineLevel="2" x14ac:dyDescent="0.25">
      <c r="A7437" s="3" t="str">
        <f>HYPERLINK("http://mystore1.ru/price_items/search?utf8=%E2%9C%93&amp;oem=7243BGNV","7243BGNV")</f>
        <v>7243BGNV</v>
      </c>
      <c r="B7437" s="1" t="s">
        <v>14163</v>
      </c>
      <c r="C7437" s="9" t="s">
        <v>6954</v>
      </c>
      <c r="D7437" s="14" t="s">
        <v>14164</v>
      </c>
      <c r="E7437" s="9" t="s">
        <v>30</v>
      </c>
    </row>
    <row r="7438" spans="1:5" ht="15" customHeight="1" outlineLevel="2" x14ac:dyDescent="0.25">
      <c r="A7438" s="3" t="str">
        <f>HYPERLINK("http://mystore1.ru/price_items/search?utf8=%E2%9C%93&amp;oem=7243BGNVOW","7243BGNVOW")</f>
        <v>7243BGNVOW</v>
      </c>
      <c r="B7438" s="1" t="s">
        <v>14165</v>
      </c>
      <c r="C7438" s="9" t="s">
        <v>6954</v>
      </c>
      <c r="D7438" s="14" t="s">
        <v>14166</v>
      </c>
      <c r="E7438" s="9" t="s">
        <v>30</v>
      </c>
    </row>
    <row r="7439" spans="1:5" ht="15" customHeight="1" outlineLevel="2" x14ac:dyDescent="0.25">
      <c r="A7439" s="3" t="str">
        <f>HYPERLINK("http://mystore1.ru/price_items/search?utf8=%E2%9C%93&amp;oem=7243LGNV5FD","7243LGNV5FD")</f>
        <v>7243LGNV5FD</v>
      </c>
      <c r="B7439" s="1" t="s">
        <v>14167</v>
      </c>
      <c r="C7439" s="9" t="s">
        <v>6954</v>
      </c>
      <c r="D7439" s="14" t="s">
        <v>14168</v>
      </c>
      <c r="E7439" s="9" t="s">
        <v>11</v>
      </c>
    </row>
    <row r="7440" spans="1:5" ht="15" customHeight="1" outlineLevel="2" x14ac:dyDescent="0.25">
      <c r="A7440" s="3" t="str">
        <f>HYPERLINK("http://mystore1.ru/price_items/search?utf8=%E2%9C%93&amp;oem=7243LGNV5FQ","7243LGNV5FQ")</f>
        <v>7243LGNV5FQ</v>
      </c>
      <c r="B7440" s="1" t="s">
        <v>14169</v>
      </c>
      <c r="C7440" s="9" t="s">
        <v>6954</v>
      </c>
      <c r="D7440" s="14" t="s">
        <v>14170</v>
      </c>
      <c r="E7440" s="9" t="s">
        <v>11</v>
      </c>
    </row>
    <row r="7441" spans="1:5" ht="15" customHeight="1" outlineLevel="2" x14ac:dyDescent="0.25">
      <c r="A7441" s="3" t="str">
        <f>HYPERLINK("http://mystore1.ru/price_items/search?utf8=%E2%9C%93&amp;oem=7243LGNV5RQO","7243LGNV5RQO")</f>
        <v>7243LGNV5RQO</v>
      </c>
      <c r="B7441" s="1" t="s">
        <v>14171</v>
      </c>
      <c r="C7441" s="9" t="s">
        <v>6954</v>
      </c>
      <c r="D7441" s="14" t="s">
        <v>14172</v>
      </c>
      <c r="E7441" s="9" t="s">
        <v>11</v>
      </c>
    </row>
    <row r="7442" spans="1:5" ht="15" customHeight="1" outlineLevel="2" x14ac:dyDescent="0.25">
      <c r="A7442" s="3" t="str">
        <f>HYPERLINK("http://mystore1.ru/price_items/search?utf8=%E2%9C%93&amp;oem=7243RGNV5FD","7243RGNV5FD")</f>
        <v>7243RGNV5FD</v>
      </c>
      <c r="B7442" s="1" t="s">
        <v>14173</v>
      </c>
      <c r="C7442" s="9" t="s">
        <v>6954</v>
      </c>
      <c r="D7442" s="14" t="s">
        <v>14174</v>
      </c>
      <c r="E7442" s="9" t="s">
        <v>11</v>
      </c>
    </row>
    <row r="7443" spans="1:5" ht="15" customHeight="1" outlineLevel="2" x14ac:dyDescent="0.25">
      <c r="A7443" s="3" t="str">
        <f>HYPERLINK("http://mystore1.ru/price_items/search?utf8=%E2%9C%93&amp;oem=7243RGNV5FQ","7243RGNV5FQ")</f>
        <v>7243RGNV5FQ</v>
      </c>
      <c r="B7443" s="1" t="s">
        <v>14175</v>
      </c>
      <c r="C7443" s="9" t="s">
        <v>6954</v>
      </c>
      <c r="D7443" s="14" t="s">
        <v>14176</v>
      </c>
      <c r="E7443" s="9" t="s">
        <v>11</v>
      </c>
    </row>
    <row r="7444" spans="1:5" ht="15" customHeight="1" outlineLevel="2" x14ac:dyDescent="0.25">
      <c r="A7444" s="3" t="str">
        <f>HYPERLINK("http://mystore1.ru/price_items/search?utf8=%E2%9C%93&amp;oem=7243RGNV5RQO","7243RGNV5RQO")</f>
        <v>7243RGNV5RQO</v>
      </c>
      <c r="B7444" s="1" t="s">
        <v>14177</v>
      </c>
      <c r="C7444" s="9" t="s">
        <v>6954</v>
      </c>
      <c r="D7444" s="14" t="s">
        <v>14178</v>
      </c>
      <c r="E7444" s="9" t="s">
        <v>11</v>
      </c>
    </row>
    <row r="7445" spans="1:5" outlineLevel="1" x14ac:dyDescent="0.25">
      <c r="A7445" s="2"/>
      <c r="B7445" s="6" t="s">
        <v>14179</v>
      </c>
      <c r="C7445" s="7"/>
      <c r="D7445" s="8"/>
      <c r="E7445" s="8"/>
    </row>
    <row r="7446" spans="1:5" ht="15" customHeight="1" outlineLevel="2" x14ac:dyDescent="0.25">
      <c r="A7446" s="3" t="str">
        <f>HYPERLINK("http://mystore1.ru/price_items/search?utf8=%E2%9C%93&amp;oem=7227ACL1C","7227ACL1C")</f>
        <v>7227ACL1C</v>
      </c>
      <c r="B7446" s="1" t="s">
        <v>14180</v>
      </c>
      <c r="C7446" s="9" t="s">
        <v>8711</v>
      </c>
      <c r="D7446" s="14" t="s">
        <v>14181</v>
      </c>
      <c r="E7446" s="9" t="s">
        <v>8</v>
      </c>
    </row>
    <row r="7447" spans="1:5" ht="15" customHeight="1" outlineLevel="2" x14ac:dyDescent="0.25">
      <c r="A7447" s="3" t="str">
        <f>HYPERLINK("http://mystore1.ru/price_items/search?utf8=%E2%9C%93&amp;oem=7227AGN1C","7227AGN1C")</f>
        <v>7227AGN1C</v>
      </c>
      <c r="B7447" s="1" t="s">
        <v>14182</v>
      </c>
      <c r="C7447" s="9" t="s">
        <v>8711</v>
      </c>
      <c r="D7447" s="14" t="s">
        <v>14183</v>
      </c>
      <c r="E7447" s="9" t="s">
        <v>8</v>
      </c>
    </row>
    <row r="7448" spans="1:5" ht="15" customHeight="1" outlineLevel="2" x14ac:dyDescent="0.25">
      <c r="A7448" s="3" t="str">
        <f>HYPERLINK("http://mystore1.ru/price_items/search?utf8=%E2%9C%93&amp;oem=7227AGNGN1C","7227AGNGN1C")</f>
        <v>7227AGNGN1C</v>
      </c>
      <c r="B7448" s="1" t="s">
        <v>14184</v>
      </c>
      <c r="C7448" s="9" t="s">
        <v>8711</v>
      </c>
      <c r="D7448" s="14" t="s">
        <v>14185</v>
      </c>
      <c r="E7448" s="9" t="s">
        <v>8</v>
      </c>
    </row>
    <row r="7449" spans="1:5" ht="15" customHeight="1" outlineLevel="2" x14ac:dyDescent="0.25">
      <c r="A7449" s="3" t="str">
        <f>HYPERLINK("http://mystore1.ru/price_items/search?utf8=%E2%9C%93&amp;oem=7227AKMH","7227AKMH")</f>
        <v>7227AKMH</v>
      </c>
      <c r="B7449" s="1" t="s">
        <v>14186</v>
      </c>
      <c r="C7449" s="9" t="s">
        <v>25</v>
      </c>
      <c r="D7449" s="14" t="s">
        <v>14187</v>
      </c>
      <c r="E7449" s="9" t="s">
        <v>27</v>
      </c>
    </row>
    <row r="7450" spans="1:5" ht="15" customHeight="1" outlineLevel="2" x14ac:dyDescent="0.25">
      <c r="A7450" s="3" t="str">
        <f>HYPERLINK("http://mystore1.ru/price_items/search?utf8=%E2%9C%93&amp;oem=7227ASGH","7227ASGH")</f>
        <v>7227ASGH</v>
      </c>
      <c r="B7450" s="1" t="s">
        <v>14188</v>
      </c>
      <c r="C7450" s="9" t="s">
        <v>25</v>
      </c>
      <c r="D7450" s="14" t="s">
        <v>14189</v>
      </c>
      <c r="E7450" s="9" t="s">
        <v>27</v>
      </c>
    </row>
    <row r="7451" spans="1:5" ht="15" customHeight="1" outlineLevel="2" x14ac:dyDescent="0.25">
      <c r="A7451" s="3" t="str">
        <f>HYPERLINK("http://mystore1.ru/price_items/search?utf8=%E2%9C%93&amp;oem=7227ASMHI","7227ASMHI")</f>
        <v>7227ASMHI</v>
      </c>
      <c r="B7451" s="1" t="s">
        <v>14190</v>
      </c>
      <c r="C7451" s="9" t="s">
        <v>25</v>
      </c>
      <c r="D7451" s="14" t="s">
        <v>14191</v>
      </c>
      <c r="E7451" s="9" t="s">
        <v>27</v>
      </c>
    </row>
    <row r="7452" spans="1:5" ht="15" customHeight="1" outlineLevel="2" x14ac:dyDescent="0.25">
      <c r="A7452" s="3" t="str">
        <f>HYPERLINK("http://mystore1.ru/price_items/search?utf8=%E2%9C%93&amp;oem=7227ASMHO","7227ASMHO")</f>
        <v>7227ASMHO</v>
      </c>
      <c r="B7452" s="1" t="s">
        <v>14192</v>
      </c>
      <c r="C7452" s="9" t="s">
        <v>25</v>
      </c>
      <c r="D7452" s="14" t="s">
        <v>14193</v>
      </c>
      <c r="E7452" s="9" t="s">
        <v>27</v>
      </c>
    </row>
    <row r="7453" spans="1:5" ht="15" customHeight="1" outlineLevel="2" x14ac:dyDescent="0.25">
      <c r="A7453" s="3" t="str">
        <f>HYPERLINK("http://mystore1.ru/price_items/search?utf8=%E2%9C%93&amp;oem=7227BCLH","7227BCLH")</f>
        <v>7227BCLH</v>
      </c>
      <c r="B7453" s="1" t="s">
        <v>14194</v>
      </c>
      <c r="C7453" s="9" t="s">
        <v>8711</v>
      </c>
      <c r="D7453" s="14" t="s">
        <v>14195</v>
      </c>
      <c r="E7453" s="9" t="s">
        <v>30</v>
      </c>
    </row>
    <row r="7454" spans="1:5" ht="15" customHeight="1" outlineLevel="2" x14ac:dyDescent="0.25">
      <c r="A7454" s="3" t="str">
        <f>HYPERLINK("http://mystore1.ru/price_items/search?utf8=%E2%9C%93&amp;oem=7227BCLVL","7227BCLVL")</f>
        <v>7227BCLVL</v>
      </c>
      <c r="B7454" s="1" t="s">
        <v>14196</v>
      </c>
      <c r="C7454" s="9" t="s">
        <v>8711</v>
      </c>
      <c r="D7454" s="14" t="s">
        <v>14197</v>
      </c>
      <c r="E7454" s="9" t="s">
        <v>30</v>
      </c>
    </row>
    <row r="7455" spans="1:5" ht="15" customHeight="1" outlineLevel="2" x14ac:dyDescent="0.25">
      <c r="A7455" s="3" t="str">
        <f>HYPERLINK("http://mystore1.ru/price_items/search?utf8=%E2%9C%93&amp;oem=7227BCLVR","7227BCLVR")</f>
        <v>7227BCLVR</v>
      </c>
      <c r="B7455" s="1" t="s">
        <v>14198</v>
      </c>
      <c r="C7455" s="9" t="s">
        <v>8711</v>
      </c>
      <c r="D7455" s="14" t="s">
        <v>14199</v>
      </c>
      <c r="E7455" s="9" t="s">
        <v>30</v>
      </c>
    </row>
    <row r="7456" spans="1:5" ht="15" customHeight="1" outlineLevel="2" x14ac:dyDescent="0.25">
      <c r="A7456" s="3" t="str">
        <f>HYPERLINK("http://mystore1.ru/price_items/search?utf8=%E2%9C%93&amp;oem=7227BGNH","7227BGNH")</f>
        <v>7227BGNH</v>
      </c>
      <c r="B7456" s="1" t="s">
        <v>14200</v>
      </c>
      <c r="C7456" s="9" t="s">
        <v>8711</v>
      </c>
      <c r="D7456" s="14" t="s">
        <v>14201</v>
      </c>
      <c r="E7456" s="9" t="s">
        <v>30</v>
      </c>
    </row>
    <row r="7457" spans="1:5" ht="15" customHeight="1" outlineLevel="2" x14ac:dyDescent="0.25">
      <c r="A7457" s="3" t="str">
        <f>HYPERLINK("http://mystore1.ru/price_items/search?utf8=%E2%9C%93&amp;oem=7227LCLH3FD","7227LCLH3FD")</f>
        <v>7227LCLH3FD</v>
      </c>
      <c r="B7457" s="1" t="s">
        <v>14202</v>
      </c>
      <c r="C7457" s="9" t="s">
        <v>8711</v>
      </c>
      <c r="D7457" s="14" t="s">
        <v>14203</v>
      </c>
      <c r="E7457" s="9" t="s">
        <v>11</v>
      </c>
    </row>
    <row r="7458" spans="1:5" ht="15" customHeight="1" outlineLevel="2" x14ac:dyDescent="0.25">
      <c r="A7458" s="3" t="str">
        <f>HYPERLINK("http://mystore1.ru/price_items/search?utf8=%E2%9C%93&amp;oem=7227LCLH3RQ","7227LCLH3RQ")</f>
        <v>7227LCLH3RQ</v>
      </c>
      <c r="B7458" s="1" t="s">
        <v>14204</v>
      </c>
      <c r="C7458" s="9" t="s">
        <v>8711</v>
      </c>
      <c r="D7458" s="14" t="s">
        <v>14205</v>
      </c>
      <c r="E7458" s="9" t="s">
        <v>11</v>
      </c>
    </row>
    <row r="7459" spans="1:5" ht="15" customHeight="1" outlineLevel="2" x14ac:dyDescent="0.25">
      <c r="A7459" s="3" t="str">
        <f>HYPERLINK("http://mystore1.ru/price_items/search?utf8=%E2%9C%93&amp;oem=7227LCLH3RQO","7227LCLH3RQO")</f>
        <v>7227LCLH3RQO</v>
      </c>
      <c r="B7459" s="1" t="s">
        <v>14206</v>
      </c>
      <c r="C7459" s="9" t="s">
        <v>8711</v>
      </c>
      <c r="D7459" s="14" t="s">
        <v>14207</v>
      </c>
      <c r="E7459" s="9" t="s">
        <v>11</v>
      </c>
    </row>
    <row r="7460" spans="1:5" ht="15" customHeight="1" outlineLevel="2" x14ac:dyDescent="0.25">
      <c r="A7460" s="3" t="str">
        <f>HYPERLINK("http://mystore1.ru/price_items/search?utf8=%E2%9C%93&amp;oem=7227LCLH5FD","7227LCLH5FD")</f>
        <v>7227LCLH5FD</v>
      </c>
      <c r="B7460" s="1" t="s">
        <v>14208</v>
      </c>
      <c r="C7460" s="9" t="s">
        <v>8711</v>
      </c>
      <c r="D7460" s="14" t="s">
        <v>14209</v>
      </c>
      <c r="E7460" s="9" t="s">
        <v>11</v>
      </c>
    </row>
    <row r="7461" spans="1:5" ht="15" customHeight="1" outlineLevel="2" x14ac:dyDescent="0.25">
      <c r="A7461" s="3" t="str">
        <f>HYPERLINK("http://mystore1.ru/price_items/search?utf8=%E2%9C%93&amp;oem=7227LCLH5RV","7227LCLH5RV")</f>
        <v>7227LCLH5RV</v>
      </c>
      <c r="B7461" s="1" t="s">
        <v>14210</v>
      </c>
      <c r="C7461" s="9" t="s">
        <v>8711</v>
      </c>
      <c r="D7461" s="14" t="s">
        <v>14211</v>
      </c>
      <c r="E7461" s="9" t="s">
        <v>11</v>
      </c>
    </row>
    <row r="7462" spans="1:5" ht="15" customHeight="1" outlineLevel="2" x14ac:dyDescent="0.25">
      <c r="A7462" s="3" t="str">
        <f>HYPERLINK("http://mystore1.ru/price_items/search?utf8=%E2%9C%93&amp;oem=7227LGNH3FD","7227LGNH3FD")</f>
        <v>7227LGNH3FD</v>
      </c>
      <c r="B7462" s="1" t="s">
        <v>14212</v>
      </c>
      <c r="C7462" s="9" t="s">
        <v>8711</v>
      </c>
      <c r="D7462" s="14" t="s">
        <v>14213</v>
      </c>
      <c r="E7462" s="9" t="s">
        <v>11</v>
      </c>
    </row>
    <row r="7463" spans="1:5" ht="15" customHeight="1" outlineLevel="2" x14ac:dyDescent="0.25">
      <c r="A7463" s="3" t="str">
        <f>HYPERLINK("http://mystore1.ru/price_items/search?utf8=%E2%9C%93&amp;oem=7227LGNH5FD","7227LGNH5FD")</f>
        <v>7227LGNH5FD</v>
      </c>
      <c r="B7463" s="1" t="s">
        <v>14214</v>
      </c>
      <c r="C7463" s="9" t="s">
        <v>8711</v>
      </c>
      <c r="D7463" s="14" t="s">
        <v>14215</v>
      </c>
      <c r="E7463" s="9" t="s">
        <v>11</v>
      </c>
    </row>
    <row r="7464" spans="1:5" ht="15" customHeight="1" outlineLevel="2" x14ac:dyDescent="0.25">
      <c r="A7464" s="3" t="str">
        <f>HYPERLINK("http://mystore1.ru/price_items/search?utf8=%E2%9C%93&amp;oem=7227LGNH5RD","7227LGNH5RD")</f>
        <v>7227LGNH5RD</v>
      </c>
      <c r="B7464" s="1" t="s">
        <v>14216</v>
      </c>
      <c r="C7464" s="9" t="s">
        <v>8711</v>
      </c>
      <c r="D7464" s="14" t="s">
        <v>14217</v>
      </c>
      <c r="E7464" s="9" t="s">
        <v>11</v>
      </c>
    </row>
    <row r="7465" spans="1:5" ht="15" customHeight="1" outlineLevel="2" x14ac:dyDescent="0.25">
      <c r="A7465" s="3" t="str">
        <f>HYPERLINK("http://mystore1.ru/price_items/search?utf8=%E2%9C%93&amp;oem=7227LGNH5RV","7227LGNH5RV")</f>
        <v>7227LGNH5RV</v>
      </c>
      <c r="B7465" s="1" t="s">
        <v>14218</v>
      </c>
      <c r="C7465" s="9" t="s">
        <v>8711</v>
      </c>
      <c r="D7465" s="14" t="s">
        <v>14219</v>
      </c>
      <c r="E7465" s="9" t="s">
        <v>11</v>
      </c>
    </row>
    <row r="7466" spans="1:5" ht="15" customHeight="1" outlineLevel="2" x14ac:dyDescent="0.25">
      <c r="A7466" s="3" t="str">
        <f>HYPERLINK("http://mystore1.ru/price_items/search?utf8=%E2%9C%93&amp;oem=7227RCLH3FD","7227RCLH3FD")</f>
        <v>7227RCLH3FD</v>
      </c>
      <c r="B7466" s="1" t="s">
        <v>14220</v>
      </c>
      <c r="C7466" s="9" t="s">
        <v>8711</v>
      </c>
      <c r="D7466" s="14" t="s">
        <v>14221</v>
      </c>
      <c r="E7466" s="9" t="s">
        <v>11</v>
      </c>
    </row>
    <row r="7467" spans="1:5" ht="15" customHeight="1" outlineLevel="2" x14ac:dyDescent="0.25">
      <c r="A7467" s="3" t="str">
        <f>HYPERLINK("http://mystore1.ru/price_items/search?utf8=%E2%9C%93&amp;oem=7227RCLH3RQ","7227RCLH3RQ")</f>
        <v>7227RCLH3RQ</v>
      </c>
      <c r="B7467" s="1" t="s">
        <v>14222</v>
      </c>
      <c r="C7467" s="9" t="s">
        <v>8711</v>
      </c>
      <c r="D7467" s="14" t="s">
        <v>14223</v>
      </c>
      <c r="E7467" s="9" t="s">
        <v>11</v>
      </c>
    </row>
    <row r="7468" spans="1:5" ht="15" customHeight="1" outlineLevel="2" x14ac:dyDescent="0.25">
      <c r="A7468" s="3" t="str">
        <f>HYPERLINK("http://mystore1.ru/price_items/search?utf8=%E2%9C%93&amp;oem=7227RCLH5FD","7227RCLH5FD")</f>
        <v>7227RCLH5FD</v>
      </c>
      <c r="B7468" s="1" t="s">
        <v>14224</v>
      </c>
      <c r="C7468" s="9" t="s">
        <v>8711</v>
      </c>
      <c r="D7468" s="14" t="s">
        <v>14225</v>
      </c>
      <c r="E7468" s="9" t="s">
        <v>11</v>
      </c>
    </row>
    <row r="7469" spans="1:5" ht="15" customHeight="1" outlineLevel="2" x14ac:dyDescent="0.25">
      <c r="A7469" s="3" t="str">
        <f>HYPERLINK("http://mystore1.ru/price_items/search?utf8=%E2%9C%93&amp;oem=7227RCLH5RD","7227RCLH5RD")</f>
        <v>7227RCLH5RD</v>
      </c>
      <c r="B7469" s="1" t="s">
        <v>14226</v>
      </c>
      <c r="C7469" s="9" t="s">
        <v>8711</v>
      </c>
      <c r="D7469" s="14" t="s">
        <v>14227</v>
      </c>
      <c r="E7469" s="9" t="s">
        <v>11</v>
      </c>
    </row>
    <row r="7470" spans="1:5" ht="15" customHeight="1" outlineLevel="2" x14ac:dyDescent="0.25">
      <c r="A7470" s="3" t="str">
        <f>HYPERLINK("http://mystore1.ru/price_items/search?utf8=%E2%9C%93&amp;oem=7227RCLH5RV","7227RCLH5RV")</f>
        <v>7227RCLH5RV</v>
      </c>
      <c r="B7470" s="1" t="s">
        <v>14228</v>
      </c>
      <c r="C7470" s="9" t="s">
        <v>8711</v>
      </c>
      <c r="D7470" s="14" t="s">
        <v>14229</v>
      </c>
      <c r="E7470" s="9" t="s">
        <v>11</v>
      </c>
    </row>
    <row r="7471" spans="1:5" ht="15" customHeight="1" outlineLevel="2" x14ac:dyDescent="0.25">
      <c r="A7471" s="3" t="str">
        <f>HYPERLINK("http://mystore1.ru/price_items/search?utf8=%E2%9C%93&amp;oem=7227RGNH3FD","7227RGNH3FD")</f>
        <v>7227RGNH3FD</v>
      </c>
      <c r="B7471" s="1" t="s">
        <v>14230</v>
      </c>
      <c r="C7471" s="9" t="s">
        <v>8711</v>
      </c>
      <c r="D7471" s="14" t="s">
        <v>14231</v>
      </c>
      <c r="E7471" s="9" t="s">
        <v>11</v>
      </c>
    </row>
    <row r="7472" spans="1:5" ht="15" customHeight="1" outlineLevel="2" x14ac:dyDescent="0.25">
      <c r="A7472" s="3" t="str">
        <f>HYPERLINK("http://mystore1.ru/price_items/search?utf8=%E2%9C%93&amp;oem=7227RGNH3RQO","7227RGNH3RQO")</f>
        <v>7227RGNH3RQO</v>
      </c>
      <c r="B7472" s="1" t="s">
        <v>14232</v>
      </c>
      <c r="C7472" s="9" t="s">
        <v>8711</v>
      </c>
      <c r="D7472" s="14" t="s">
        <v>14233</v>
      </c>
      <c r="E7472" s="9" t="s">
        <v>11</v>
      </c>
    </row>
    <row r="7473" spans="1:5" ht="15" customHeight="1" outlineLevel="2" x14ac:dyDescent="0.25">
      <c r="A7473" s="3" t="str">
        <f>HYPERLINK("http://mystore1.ru/price_items/search?utf8=%E2%9C%93&amp;oem=7227RGNH5FD","7227RGNH5FD")</f>
        <v>7227RGNH5FD</v>
      </c>
      <c r="B7473" s="1" t="s">
        <v>14234</v>
      </c>
      <c r="C7473" s="9" t="s">
        <v>8711</v>
      </c>
      <c r="D7473" s="14" t="s">
        <v>14235</v>
      </c>
      <c r="E7473" s="9" t="s">
        <v>11</v>
      </c>
    </row>
    <row r="7474" spans="1:5" ht="15" customHeight="1" outlineLevel="2" x14ac:dyDescent="0.25">
      <c r="A7474" s="3" t="str">
        <f>HYPERLINK("http://mystore1.ru/price_items/search?utf8=%E2%9C%93&amp;oem=7227RGNH5RD","7227RGNH5RD")</f>
        <v>7227RGNH5RD</v>
      </c>
      <c r="B7474" s="1" t="s">
        <v>14236</v>
      </c>
      <c r="C7474" s="9" t="s">
        <v>8711</v>
      </c>
      <c r="D7474" s="14" t="s">
        <v>14237</v>
      </c>
      <c r="E7474" s="9" t="s">
        <v>11</v>
      </c>
    </row>
    <row r="7475" spans="1:5" ht="15" customHeight="1" outlineLevel="2" x14ac:dyDescent="0.25">
      <c r="A7475" s="3" t="str">
        <f>HYPERLINK("http://mystore1.ru/price_items/search?utf8=%E2%9C%93&amp;oem=7227RGNH5RV","7227RGNH5RV")</f>
        <v>7227RGNH5RV</v>
      </c>
      <c r="B7475" s="1" t="s">
        <v>14238</v>
      </c>
      <c r="C7475" s="9" t="s">
        <v>8711</v>
      </c>
      <c r="D7475" s="14" t="s">
        <v>14239</v>
      </c>
      <c r="E7475" s="9" t="s">
        <v>11</v>
      </c>
    </row>
    <row r="7476" spans="1:5" outlineLevel="1" x14ac:dyDescent="0.25">
      <c r="A7476" s="2"/>
      <c r="B7476" s="6" t="s">
        <v>14240</v>
      </c>
      <c r="C7476" s="7"/>
      <c r="D7476" s="8"/>
      <c r="E7476" s="8"/>
    </row>
    <row r="7477" spans="1:5" ht="15" customHeight="1" outlineLevel="2" x14ac:dyDescent="0.25">
      <c r="A7477" s="3" t="str">
        <f>HYPERLINK("http://mystore1.ru/price_items/search?utf8=%E2%9C%93&amp;oem=7256ACL","7256ACL")</f>
        <v>7256ACL</v>
      </c>
      <c r="B7477" s="1" t="s">
        <v>14241</v>
      </c>
      <c r="C7477" s="9" t="s">
        <v>25</v>
      </c>
      <c r="D7477" s="14" t="s">
        <v>14242</v>
      </c>
      <c r="E7477" s="9" t="s">
        <v>8</v>
      </c>
    </row>
    <row r="7478" spans="1:5" outlineLevel="1" x14ac:dyDescent="0.25">
      <c r="A7478" s="2"/>
      <c r="B7478" s="6" t="s">
        <v>14243</v>
      </c>
      <c r="C7478" s="8"/>
      <c r="D7478" s="8"/>
      <c r="E7478" s="8"/>
    </row>
    <row r="7479" spans="1:5" ht="15" customHeight="1" outlineLevel="2" x14ac:dyDescent="0.25">
      <c r="A7479" s="3" t="str">
        <f>HYPERLINK("http://mystore1.ru/price_items/search?utf8=%E2%9C%93&amp;oem=7274AGSMV1B","7274AGSMV1B")</f>
        <v>7274AGSMV1B</v>
      </c>
      <c r="B7479" s="1" t="s">
        <v>14244</v>
      </c>
      <c r="C7479" s="9" t="s">
        <v>25</v>
      </c>
      <c r="D7479" s="14" t="s">
        <v>14245</v>
      </c>
      <c r="E7479" s="9" t="s">
        <v>8</v>
      </c>
    </row>
    <row r="7480" spans="1:5" ht="15" customHeight="1" outlineLevel="2" x14ac:dyDescent="0.25">
      <c r="A7480" s="3" t="str">
        <f>HYPERLINK("http://mystore1.ru/price_items/search?utf8=%E2%9C%93&amp;oem=7274AGSV1C","7274AGSV1C")</f>
        <v>7274AGSV1C</v>
      </c>
      <c r="B7480" s="1" t="s">
        <v>14246</v>
      </c>
      <c r="C7480" s="9" t="s">
        <v>25</v>
      </c>
      <c r="D7480" s="14" t="s">
        <v>14247</v>
      </c>
      <c r="E7480" s="9" t="s">
        <v>8</v>
      </c>
    </row>
    <row r="7481" spans="1:5" outlineLevel="1" x14ac:dyDescent="0.25">
      <c r="A7481" s="2"/>
      <c r="B7481" s="6" t="s">
        <v>14248</v>
      </c>
      <c r="C7481" s="8"/>
      <c r="D7481" s="8"/>
      <c r="E7481" s="8"/>
    </row>
    <row r="7482" spans="1:5" ht="15" customHeight="1" outlineLevel="2" x14ac:dyDescent="0.25">
      <c r="A7482" s="3" t="str">
        <f>HYPERLINK("http://mystore1.ru/price_items/search?utf8=%E2%9C%93&amp;oem=7246ACC6Z","7246ACC6Z")</f>
        <v>7246ACC6Z</v>
      </c>
      <c r="B7482" s="1" t="s">
        <v>14249</v>
      </c>
      <c r="C7482" s="9" t="s">
        <v>1423</v>
      </c>
      <c r="D7482" s="14" t="s">
        <v>14250</v>
      </c>
      <c r="E7482" s="9" t="s">
        <v>8</v>
      </c>
    </row>
    <row r="7483" spans="1:5" ht="15" customHeight="1" outlineLevel="2" x14ac:dyDescent="0.25">
      <c r="A7483" s="3" t="str">
        <f>HYPERLINK("http://mystore1.ru/price_items/search?utf8=%E2%9C%93&amp;oem=7246AGS","7246AGS")</f>
        <v>7246AGS</v>
      </c>
      <c r="B7483" s="1" t="s">
        <v>14251</v>
      </c>
      <c r="C7483" s="9" t="s">
        <v>3061</v>
      </c>
      <c r="D7483" s="14" t="s">
        <v>14252</v>
      </c>
      <c r="E7483" s="9" t="s">
        <v>8</v>
      </c>
    </row>
    <row r="7484" spans="1:5" ht="15" customHeight="1" outlineLevel="2" x14ac:dyDescent="0.25">
      <c r="A7484" s="3" t="str">
        <f>HYPERLINK("http://mystore1.ru/price_items/search?utf8=%E2%9C%93&amp;oem=7246AGS6Z","7246AGS6Z")</f>
        <v>7246AGS6Z</v>
      </c>
      <c r="B7484" s="1" t="s">
        <v>14253</v>
      </c>
      <c r="C7484" s="9" t="s">
        <v>1423</v>
      </c>
      <c r="D7484" s="14" t="s">
        <v>14254</v>
      </c>
      <c r="E7484" s="9" t="s">
        <v>8</v>
      </c>
    </row>
    <row r="7485" spans="1:5" ht="15" customHeight="1" outlineLevel="2" x14ac:dyDescent="0.25">
      <c r="A7485" s="3" t="str">
        <f>HYPERLINK("http://mystore1.ru/price_items/search?utf8=%E2%9C%93&amp;oem=7246ASCV","7246ASCV")</f>
        <v>7246ASCV</v>
      </c>
      <c r="B7485" s="1" t="s">
        <v>14255</v>
      </c>
      <c r="C7485" s="9" t="s">
        <v>25</v>
      </c>
      <c r="D7485" s="14" t="s">
        <v>14256</v>
      </c>
      <c r="E7485" s="9" t="s">
        <v>27</v>
      </c>
    </row>
    <row r="7486" spans="1:5" ht="15" customHeight="1" outlineLevel="2" x14ac:dyDescent="0.25">
      <c r="A7486" s="3" t="str">
        <f>HYPERLINK("http://mystore1.ru/price_items/search?utf8=%E2%9C%93&amp;oem=7246ASMV","7246ASMV")</f>
        <v>7246ASMV</v>
      </c>
      <c r="B7486" s="1" t="s">
        <v>14257</v>
      </c>
      <c r="C7486" s="9" t="s">
        <v>25</v>
      </c>
      <c r="D7486" s="14" t="s">
        <v>14258</v>
      </c>
      <c r="E7486" s="9" t="s">
        <v>27</v>
      </c>
    </row>
    <row r="7487" spans="1:5" ht="15" customHeight="1" outlineLevel="2" x14ac:dyDescent="0.25">
      <c r="A7487" s="3" t="str">
        <f>HYPERLINK("http://mystore1.ru/price_items/search?utf8=%E2%9C%93&amp;oem=7246ASMV1H","7246ASMV1H")</f>
        <v>7246ASMV1H</v>
      </c>
      <c r="B7487" s="1" t="s">
        <v>14259</v>
      </c>
      <c r="C7487" s="9" t="s">
        <v>25</v>
      </c>
      <c r="D7487" s="14" t="s">
        <v>14260</v>
      </c>
      <c r="E7487" s="9" t="s">
        <v>27</v>
      </c>
    </row>
    <row r="7488" spans="1:5" ht="15" customHeight="1" outlineLevel="2" x14ac:dyDescent="0.25">
      <c r="A7488" s="3" t="str">
        <f>HYPERLINK("http://mystore1.ru/price_items/search?utf8=%E2%9C%93&amp;oem=7246ASMVB","7246ASMVB")</f>
        <v>7246ASMVB</v>
      </c>
      <c r="B7488" s="1" t="s">
        <v>14261</v>
      </c>
      <c r="C7488" s="9" t="s">
        <v>25</v>
      </c>
      <c r="D7488" s="14" t="s">
        <v>14262</v>
      </c>
      <c r="E7488" s="9" t="s">
        <v>27</v>
      </c>
    </row>
    <row r="7489" spans="1:5" ht="15" customHeight="1" outlineLevel="2" x14ac:dyDescent="0.25">
      <c r="A7489" s="3" t="str">
        <f>HYPERLINK("http://mystore1.ru/price_items/search?utf8=%E2%9C%93&amp;oem=7246BGSV","7246BGSV")</f>
        <v>7246BGSV</v>
      </c>
      <c r="B7489" s="1" t="s">
        <v>14263</v>
      </c>
      <c r="C7489" s="9" t="s">
        <v>3061</v>
      </c>
      <c r="D7489" s="14" t="s">
        <v>14264</v>
      </c>
      <c r="E7489" s="9" t="s">
        <v>30</v>
      </c>
    </row>
    <row r="7490" spans="1:5" ht="15" customHeight="1" outlineLevel="2" x14ac:dyDescent="0.25">
      <c r="A7490" s="3" t="str">
        <f>HYPERLINK("http://mystore1.ru/price_items/search?utf8=%E2%9C%93&amp;oem=7246BGSV1J","7246BGSV1J")</f>
        <v>7246BGSV1J</v>
      </c>
      <c r="B7490" s="1" t="s">
        <v>14265</v>
      </c>
      <c r="C7490" s="9" t="s">
        <v>3551</v>
      </c>
      <c r="D7490" s="14" t="s">
        <v>14266</v>
      </c>
      <c r="E7490" s="9" t="s">
        <v>30</v>
      </c>
    </row>
    <row r="7491" spans="1:5" ht="15" customHeight="1" outlineLevel="2" x14ac:dyDescent="0.25">
      <c r="A7491" s="3" t="str">
        <f>HYPERLINK("http://mystore1.ru/price_items/search?utf8=%E2%9C%93&amp;oem=7246BGSVL","7246BGSVL")</f>
        <v>7246BGSVL</v>
      </c>
      <c r="B7491" s="1" t="s">
        <v>14267</v>
      </c>
      <c r="C7491" s="9" t="s">
        <v>3061</v>
      </c>
      <c r="D7491" s="14" t="s">
        <v>14268</v>
      </c>
      <c r="E7491" s="9" t="s">
        <v>30</v>
      </c>
    </row>
    <row r="7492" spans="1:5" ht="15" customHeight="1" outlineLevel="2" x14ac:dyDescent="0.25">
      <c r="A7492" s="3" t="str">
        <f>HYPERLINK("http://mystore1.ru/price_items/search?utf8=%E2%9C%93&amp;oem=7246BGSVRU","7246BGSVRU")</f>
        <v>7246BGSVRU</v>
      </c>
      <c r="B7492" s="1" t="s">
        <v>14269</v>
      </c>
      <c r="C7492" s="9" t="s">
        <v>3061</v>
      </c>
      <c r="D7492" s="14" t="s">
        <v>14270</v>
      </c>
      <c r="E7492" s="9" t="s">
        <v>30</v>
      </c>
    </row>
    <row r="7493" spans="1:5" ht="15" customHeight="1" outlineLevel="2" x14ac:dyDescent="0.25">
      <c r="A7493" s="3" t="str">
        <f>HYPERLINK("http://mystore1.ru/price_items/search?utf8=%E2%9C%93&amp;oem=7246LGSV3FD","7246LGSV3FD")</f>
        <v>7246LGSV3FD</v>
      </c>
      <c r="B7493" s="1" t="s">
        <v>14271</v>
      </c>
      <c r="C7493" s="9" t="s">
        <v>3061</v>
      </c>
      <c r="D7493" s="14" t="s">
        <v>14272</v>
      </c>
      <c r="E7493" s="9" t="s">
        <v>11</v>
      </c>
    </row>
    <row r="7494" spans="1:5" ht="15" customHeight="1" outlineLevel="2" x14ac:dyDescent="0.25">
      <c r="A7494" s="3" t="str">
        <f>HYPERLINK("http://mystore1.ru/price_items/search?utf8=%E2%9C%93&amp;oem=7246RGSV3FD","7246RGSV3FD")</f>
        <v>7246RGSV3FD</v>
      </c>
      <c r="B7494" s="1" t="s">
        <v>14273</v>
      </c>
      <c r="C7494" s="9" t="s">
        <v>3061</v>
      </c>
      <c r="D7494" s="14" t="s">
        <v>14274</v>
      </c>
      <c r="E7494" s="9" t="s">
        <v>11</v>
      </c>
    </row>
    <row r="7495" spans="1:5" ht="15" customHeight="1" outlineLevel="2" x14ac:dyDescent="0.25">
      <c r="A7495" s="3" t="str">
        <f>HYPERLINK("http://mystore1.ru/price_items/search?utf8=%E2%9C%93&amp;oem=7246RGSV3RD","7246RGSV3RD")</f>
        <v>7246RGSV3RD</v>
      </c>
      <c r="B7495" s="1" t="s">
        <v>14275</v>
      </c>
      <c r="C7495" s="9" t="s">
        <v>3061</v>
      </c>
      <c r="D7495" s="14" t="s">
        <v>14276</v>
      </c>
      <c r="E7495" s="9" t="s">
        <v>11</v>
      </c>
    </row>
    <row r="7496" spans="1:5" ht="15" customHeight="1" outlineLevel="2" x14ac:dyDescent="0.25">
      <c r="A7496" s="3" t="str">
        <f>HYPERLINK("http://mystore1.ru/price_items/search?utf8=%E2%9C%93&amp;oem=7246RGSV3RQ","7246RGSV3RQ")</f>
        <v>7246RGSV3RQ</v>
      </c>
      <c r="B7496" s="1" t="s">
        <v>14277</v>
      </c>
      <c r="C7496" s="9" t="s">
        <v>3061</v>
      </c>
      <c r="D7496" s="14" t="s">
        <v>14278</v>
      </c>
      <c r="E7496" s="9" t="s">
        <v>11</v>
      </c>
    </row>
    <row r="7497" spans="1:5" outlineLevel="1" x14ac:dyDescent="0.25">
      <c r="A7497" s="2"/>
      <c r="B7497" s="6" t="s">
        <v>14279</v>
      </c>
      <c r="C7497" s="8"/>
      <c r="D7497" s="8"/>
      <c r="E7497" s="8"/>
    </row>
    <row r="7498" spans="1:5" ht="15" customHeight="1" outlineLevel="2" x14ac:dyDescent="0.25">
      <c r="A7498" s="3" t="str">
        <f>HYPERLINK("http://mystore1.ru/price_items/search?utf8=%E2%9C%93&amp;oem=7277AGSMVW","7277AGSMVW")</f>
        <v>7277AGSMVW</v>
      </c>
      <c r="B7498" s="1" t="s">
        <v>14280</v>
      </c>
      <c r="C7498" s="9" t="s">
        <v>642</v>
      </c>
      <c r="D7498" s="14" t="s">
        <v>14281</v>
      </c>
      <c r="E7498" s="9" t="s">
        <v>8</v>
      </c>
    </row>
    <row r="7499" spans="1:5" ht="15" customHeight="1" outlineLevel="2" x14ac:dyDescent="0.25">
      <c r="A7499" s="3" t="str">
        <f>HYPERLINK("http://mystore1.ru/price_items/search?utf8=%E2%9C%93&amp;oem=7277AGSMV","7277AGSMV")</f>
        <v>7277AGSMV</v>
      </c>
      <c r="B7499" s="1" t="s">
        <v>14282</v>
      </c>
      <c r="C7499" s="9" t="s">
        <v>642</v>
      </c>
      <c r="D7499" s="14" t="s">
        <v>14283</v>
      </c>
      <c r="E7499" s="9" t="s">
        <v>8</v>
      </c>
    </row>
    <row r="7500" spans="1:5" outlineLevel="1" x14ac:dyDescent="0.25">
      <c r="A7500" s="2"/>
      <c r="B7500" s="6" t="s">
        <v>14284</v>
      </c>
      <c r="C7500" s="8"/>
      <c r="D7500" s="8"/>
      <c r="E7500" s="8"/>
    </row>
    <row r="7501" spans="1:5" ht="15" customHeight="1" outlineLevel="2" x14ac:dyDescent="0.25">
      <c r="A7501" s="3" t="str">
        <f>HYPERLINK("http://mystore1.ru/price_items/search?utf8=%E2%9C%93&amp;oem=7237ACC1B","7237ACC1B")</f>
        <v>7237ACC1B</v>
      </c>
      <c r="B7501" s="1" t="s">
        <v>14285</v>
      </c>
      <c r="C7501" s="9" t="s">
        <v>47</v>
      </c>
      <c r="D7501" s="14" t="s">
        <v>14286</v>
      </c>
      <c r="E7501" s="9" t="s">
        <v>8</v>
      </c>
    </row>
    <row r="7502" spans="1:5" ht="15" customHeight="1" outlineLevel="2" x14ac:dyDescent="0.25">
      <c r="A7502" s="3" t="str">
        <f>HYPERLINK("http://mystore1.ru/price_items/search?utf8=%E2%9C%93&amp;oem=7237ACCG1B","7237ACCG1B")</f>
        <v>7237ACCG1B</v>
      </c>
      <c r="B7502" s="1" t="s">
        <v>14287</v>
      </c>
      <c r="C7502" s="9" t="s">
        <v>47</v>
      </c>
      <c r="D7502" s="14" t="s">
        <v>14288</v>
      </c>
      <c r="E7502" s="9" t="s">
        <v>8</v>
      </c>
    </row>
    <row r="7503" spans="1:5" ht="15" customHeight="1" outlineLevel="2" x14ac:dyDescent="0.25">
      <c r="A7503" s="3" t="str">
        <f>HYPERLINK("http://mystore1.ru/price_items/search?utf8=%E2%9C%93&amp;oem=7237ACL","7237ACL")</f>
        <v>7237ACL</v>
      </c>
      <c r="B7503" s="1" t="s">
        <v>14289</v>
      </c>
      <c r="C7503" s="9" t="s">
        <v>47</v>
      </c>
      <c r="D7503" s="14" t="s">
        <v>14290</v>
      </c>
      <c r="E7503" s="9" t="s">
        <v>8</v>
      </c>
    </row>
    <row r="7504" spans="1:5" ht="15" customHeight="1" outlineLevel="2" x14ac:dyDescent="0.25">
      <c r="A7504" s="3" t="str">
        <f>HYPERLINK("http://mystore1.ru/price_items/search?utf8=%E2%9C%93&amp;oem=7237AGS","7237AGS")</f>
        <v>7237AGS</v>
      </c>
      <c r="B7504" s="1" t="s">
        <v>14291</v>
      </c>
      <c r="C7504" s="9" t="s">
        <v>47</v>
      </c>
      <c r="D7504" s="14" t="s">
        <v>14292</v>
      </c>
      <c r="E7504" s="9" t="s">
        <v>8</v>
      </c>
    </row>
    <row r="7505" spans="1:5" ht="15" customHeight="1" outlineLevel="2" x14ac:dyDescent="0.25">
      <c r="A7505" s="3" t="str">
        <f>HYPERLINK("http://mystore1.ru/price_items/search?utf8=%E2%9C%93&amp;oem=7237AGSGN","7237AGSGN")</f>
        <v>7237AGSGN</v>
      </c>
      <c r="B7505" s="1" t="s">
        <v>14293</v>
      </c>
      <c r="C7505" s="9" t="s">
        <v>47</v>
      </c>
      <c r="D7505" s="14" t="s">
        <v>14294</v>
      </c>
      <c r="E7505" s="9" t="s">
        <v>8</v>
      </c>
    </row>
    <row r="7506" spans="1:5" ht="15" customHeight="1" outlineLevel="2" x14ac:dyDescent="0.25">
      <c r="A7506" s="3" t="str">
        <f>HYPERLINK("http://mystore1.ru/price_items/search?utf8=%E2%9C%93&amp;oem=7237AKCHT","7237AKCHT")</f>
        <v>7237AKCHT</v>
      </c>
      <c r="B7506" s="1" t="s">
        <v>14295</v>
      </c>
      <c r="C7506" s="9" t="s">
        <v>25</v>
      </c>
      <c r="D7506" s="14" t="s">
        <v>14296</v>
      </c>
      <c r="E7506" s="9" t="s">
        <v>27</v>
      </c>
    </row>
    <row r="7507" spans="1:5" ht="15" customHeight="1" outlineLevel="2" x14ac:dyDescent="0.25">
      <c r="A7507" s="3" t="str">
        <f>HYPERLINK("http://mystore1.ru/price_items/search?utf8=%E2%9C%93&amp;oem=7237ASMHT","7237ASMHT")</f>
        <v>7237ASMHT</v>
      </c>
      <c r="B7507" s="1" t="s">
        <v>14297</v>
      </c>
      <c r="C7507" s="9" t="s">
        <v>25</v>
      </c>
      <c r="D7507" s="14" t="s">
        <v>14298</v>
      </c>
      <c r="E7507" s="9" t="s">
        <v>27</v>
      </c>
    </row>
    <row r="7508" spans="1:5" ht="15" customHeight="1" outlineLevel="2" x14ac:dyDescent="0.25">
      <c r="A7508" s="3" t="str">
        <f>HYPERLINK("http://mystore1.ru/price_items/search?utf8=%E2%9C%93&amp;oem=7237BGDHABZ1X","7237BGDHABZ1X")</f>
        <v>7237BGDHABZ1X</v>
      </c>
      <c r="B7508" s="1" t="s">
        <v>14299</v>
      </c>
      <c r="C7508" s="9" t="s">
        <v>1144</v>
      </c>
      <c r="D7508" s="14" t="s">
        <v>14300</v>
      </c>
      <c r="E7508" s="9" t="s">
        <v>30</v>
      </c>
    </row>
    <row r="7509" spans="1:5" ht="15" customHeight="1" outlineLevel="2" x14ac:dyDescent="0.25">
      <c r="A7509" s="3" t="str">
        <f>HYPERLINK("http://mystore1.ru/price_items/search?utf8=%E2%9C%93&amp;oem=7237BGDHBZ1X","7237BGDHBZ1X")</f>
        <v>7237BGDHBZ1X</v>
      </c>
      <c r="B7509" s="1" t="s">
        <v>14301</v>
      </c>
      <c r="C7509" s="9" t="s">
        <v>2863</v>
      </c>
      <c r="D7509" s="14" t="s">
        <v>14302</v>
      </c>
      <c r="E7509" s="9" t="s">
        <v>30</v>
      </c>
    </row>
    <row r="7510" spans="1:5" ht="15" customHeight="1" outlineLevel="2" x14ac:dyDescent="0.25">
      <c r="A7510" s="3" t="str">
        <f>HYPERLINK("http://mystore1.ru/price_items/search?utf8=%E2%9C%93&amp;oem=7237BGSEOW","7237BGSEOW")</f>
        <v>7237BGSEOW</v>
      </c>
      <c r="B7510" s="1" t="s">
        <v>14303</v>
      </c>
      <c r="C7510" s="9" t="s">
        <v>52</v>
      </c>
      <c r="D7510" s="14" t="s">
        <v>14304</v>
      </c>
      <c r="E7510" s="9" t="s">
        <v>30</v>
      </c>
    </row>
    <row r="7511" spans="1:5" ht="15" customHeight="1" outlineLevel="2" x14ac:dyDescent="0.25">
      <c r="A7511" s="3" t="str">
        <f>HYPERLINK("http://mystore1.ru/price_items/search?utf8=%E2%9C%93&amp;oem=7237BGSHBZ","7237BGSHBZ")</f>
        <v>7237BGSHBZ</v>
      </c>
      <c r="B7511" s="1" t="s">
        <v>14305</v>
      </c>
      <c r="C7511" s="9" t="s">
        <v>47</v>
      </c>
      <c r="D7511" s="14" t="s">
        <v>14306</v>
      </c>
      <c r="E7511" s="9" t="s">
        <v>30</v>
      </c>
    </row>
    <row r="7512" spans="1:5" ht="15" customHeight="1" outlineLevel="2" x14ac:dyDescent="0.25">
      <c r="A7512" s="3" t="str">
        <f>HYPERLINK("http://mystore1.ru/price_items/search?utf8=%E2%9C%93&amp;oem=7237BGSHBZ1X","7237BGSHBZ1X")</f>
        <v>7237BGSHBZ1X</v>
      </c>
      <c r="B7512" s="1" t="s">
        <v>14307</v>
      </c>
      <c r="C7512" s="9" t="s">
        <v>2863</v>
      </c>
      <c r="D7512" s="14" t="s">
        <v>14308</v>
      </c>
      <c r="E7512" s="9" t="s">
        <v>30</v>
      </c>
    </row>
    <row r="7513" spans="1:5" ht="15" customHeight="1" outlineLevel="2" x14ac:dyDescent="0.25">
      <c r="A7513" s="3" t="str">
        <f>HYPERLINK("http://mystore1.ru/price_items/search?utf8=%E2%9C%93&amp;oem=7237BGSHZ","7237BGSHZ")</f>
        <v>7237BGSHZ</v>
      </c>
      <c r="B7513" s="1" t="s">
        <v>14309</v>
      </c>
      <c r="C7513" s="9" t="s">
        <v>47</v>
      </c>
      <c r="D7513" s="14" t="s">
        <v>14310</v>
      </c>
      <c r="E7513" s="9" t="s">
        <v>30</v>
      </c>
    </row>
    <row r="7514" spans="1:5" ht="15" customHeight="1" outlineLevel="2" x14ac:dyDescent="0.25">
      <c r="A7514" s="3" t="str">
        <f>HYPERLINK("http://mystore1.ru/price_items/search?utf8=%E2%9C%93&amp;oem=7237LGSH5FD","7237LGSH5FD")</f>
        <v>7237LGSH5FD</v>
      </c>
      <c r="B7514" s="1" t="s">
        <v>14311</v>
      </c>
      <c r="C7514" s="9" t="s">
        <v>47</v>
      </c>
      <c r="D7514" s="14" t="s">
        <v>14312</v>
      </c>
      <c r="E7514" s="9" t="s">
        <v>11</v>
      </c>
    </row>
    <row r="7515" spans="1:5" ht="15" customHeight="1" outlineLevel="2" x14ac:dyDescent="0.25">
      <c r="A7515" s="3" t="str">
        <f>HYPERLINK("http://mystore1.ru/price_items/search?utf8=%E2%9C%93&amp;oem=7237LGSH5RD","7237LGSH5RD")</f>
        <v>7237LGSH5RD</v>
      </c>
      <c r="B7515" s="1" t="s">
        <v>14313</v>
      </c>
      <c r="C7515" s="9" t="s">
        <v>47</v>
      </c>
      <c r="D7515" s="14" t="s">
        <v>14314</v>
      </c>
      <c r="E7515" s="9" t="s">
        <v>11</v>
      </c>
    </row>
    <row r="7516" spans="1:5" ht="15" customHeight="1" outlineLevel="2" x14ac:dyDescent="0.25">
      <c r="A7516" s="3" t="str">
        <f>HYPERLINK("http://mystore1.ru/price_items/search?utf8=%E2%9C%93&amp;oem=7237LGSH5RD1H","7237LGSH5RD1H")</f>
        <v>7237LGSH5RD1H</v>
      </c>
      <c r="B7516" s="1" t="s">
        <v>14315</v>
      </c>
      <c r="C7516" s="9" t="s">
        <v>1144</v>
      </c>
      <c r="D7516" s="14" t="s">
        <v>14316</v>
      </c>
      <c r="E7516" s="9" t="s">
        <v>11</v>
      </c>
    </row>
    <row r="7517" spans="1:5" ht="15" customHeight="1" outlineLevel="2" x14ac:dyDescent="0.25">
      <c r="A7517" s="3" t="str">
        <f>HYPERLINK("http://mystore1.ru/price_items/search?utf8=%E2%9C%93&amp;oem=7237LGSH5RQ","7237LGSH5RQ")</f>
        <v>7237LGSH5RQ</v>
      </c>
      <c r="B7517" s="1" t="s">
        <v>14317</v>
      </c>
      <c r="C7517" s="9" t="s">
        <v>47</v>
      </c>
      <c r="D7517" s="14" t="s">
        <v>14318</v>
      </c>
      <c r="E7517" s="9" t="s">
        <v>11</v>
      </c>
    </row>
    <row r="7518" spans="1:5" ht="15" customHeight="1" outlineLevel="2" x14ac:dyDescent="0.25">
      <c r="A7518" s="3" t="str">
        <f>HYPERLINK("http://mystore1.ru/price_items/search?utf8=%E2%9C%93&amp;oem=7237RCLH5RD","7237RCLH5RD")</f>
        <v>7237RCLH5RD</v>
      </c>
      <c r="B7518" s="1" t="s">
        <v>14319</v>
      </c>
      <c r="C7518" s="9" t="s">
        <v>47</v>
      </c>
      <c r="D7518" s="14" t="s">
        <v>14320</v>
      </c>
      <c r="E7518" s="9" t="s">
        <v>11</v>
      </c>
    </row>
    <row r="7519" spans="1:5" ht="15" customHeight="1" outlineLevel="2" x14ac:dyDescent="0.25">
      <c r="A7519" s="3" t="str">
        <f>HYPERLINK("http://mystore1.ru/price_items/search?utf8=%E2%9C%93&amp;oem=7237RCLH5RQ","7237RCLH5RQ")</f>
        <v>7237RCLH5RQ</v>
      </c>
      <c r="B7519" s="1" t="s">
        <v>14321</v>
      </c>
      <c r="C7519" s="9" t="s">
        <v>47</v>
      </c>
      <c r="D7519" s="14" t="s">
        <v>14322</v>
      </c>
      <c r="E7519" s="9" t="s">
        <v>11</v>
      </c>
    </row>
    <row r="7520" spans="1:5" ht="15" customHeight="1" outlineLevel="2" x14ac:dyDescent="0.25">
      <c r="A7520" s="3" t="str">
        <f>HYPERLINK("http://mystore1.ru/price_items/search?utf8=%E2%9C%93&amp;oem=7237RGSH5FD","7237RGSH5FD")</f>
        <v>7237RGSH5FD</v>
      </c>
      <c r="B7520" s="1" t="s">
        <v>14323</v>
      </c>
      <c r="C7520" s="9" t="s">
        <v>47</v>
      </c>
      <c r="D7520" s="14" t="s">
        <v>14324</v>
      </c>
      <c r="E7520" s="9" t="s">
        <v>11</v>
      </c>
    </row>
    <row r="7521" spans="1:5" ht="15" customHeight="1" outlineLevel="2" x14ac:dyDescent="0.25">
      <c r="A7521" s="3" t="str">
        <f>HYPERLINK("http://mystore1.ru/price_items/search?utf8=%E2%9C%93&amp;oem=7237RGSH5RD","7237RGSH5RD")</f>
        <v>7237RGSH5RD</v>
      </c>
      <c r="B7521" s="1" t="s">
        <v>14325</v>
      </c>
      <c r="C7521" s="9" t="s">
        <v>47</v>
      </c>
      <c r="D7521" s="14" t="s">
        <v>14326</v>
      </c>
      <c r="E7521" s="9" t="s">
        <v>11</v>
      </c>
    </row>
    <row r="7522" spans="1:5" ht="15" customHeight="1" outlineLevel="2" x14ac:dyDescent="0.25">
      <c r="A7522" s="3" t="str">
        <f>HYPERLINK("http://mystore1.ru/price_items/search?utf8=%E2%9C%93&amp;oem=7237RGSH5RD1H","7237RGSH5RD1H")</f>
        <v>7237RGSH5RD1H</v>
      </c>
      <c r="B7522" s="1" t="s">
        <v>14327</v>
      </c>
      <c r="C7522" s="9" t="s">
        <v>1144</v>
      </c>
      <c r="D7522" s="14" t="s">
        <v>14328</v>
      </c>
      <c r="E7522" s="9" t="s">
        <v>11</v>
      </c>
    </row>
    <row r="7523" spans="1:5" ht="15" customHeight="1" outlineLevel="2" x14ac:dyDescent="0.25">
      <c r="A7523" s="3" t="str">
        <f>HYPERLINK("http://mystore1.ru/price_items/search?utf8=%E2%9C%93&amp;oem=7237RGSH5RQ","7237RGSH5RQ")</f>
        <v>7237RGSH5RQ</v>
      </c>
      <c r="B7523" s="1" t="s">
        <v>14329</v>
      </c>
      <c r="C7523" s="9" t="s">
        <v>47</v>
      </c>
      <c r="D7523" s="14" t="s">
        <v>14330</v>
      </c>
      <c r="E7523" s="9" t="s">
        <v>11</v>
      </c>
    </row>
    <row r="7524" spans="1:5" outlineLevel="1" x14ac:dyDescent="0.25">
      <c r="A7524" s="2"/>
      <c r="B7524" s="6" t="s">
        <v>14331</v>
      </c>
      <c r="C7524" s="8"/>
      <c r="D7524" s="8"/>
      <c r="E7524" s="8"/>
    </row>
    <row r="7525" spans="1:5" ht="15" customHeight="1" outlineLevel="2" x14ac:dyDescent="0.25">
      <c r="A7525" s="3" t="str">
        <f>HYPERLINK("http://mystore1.ru/price_items/search?utf8=%E2%9C%93&amp;oem=7249ACCMV1M","7249ACCMV1M")</f>
        <v>7249ACCMV1M</v>
      </c>
      <c r="B7525" s="1" t="s">
        <v>14332</v>
      </c>
      <c r="C7525" s="9" t="s">
        <v>377</v>
      </c>
      <c r="D7525" s="14" t="s">
        <v>14333</v>
      </c>
      <c r="E7525" s="9" t="s">
        <v>8</v>
      </c>
    </row>
    <row r="7526" spans="1:5" ht="15" customHeight="1" outlineLevel="2" x14ac:dyDescent="0.25">
      <c r="A7526" s="3" t="str">
        <f>HYPERLINK("http://mystore1.ru/price_items/search?utf8=%E2%9C%93&amp;oem=7249ACCMV6X","7249ACCMV6X")</f>
        <v>7249ACCMV6X</v>
      </c>
      <c r="B7526" s="1" t="s">
        <v>14334</v>
      </c>
      <c r="C7526" s="9" t="s">
        <v>1617</v>
      </c>
      <c r="D7526" s="14" t="s">
        <v>14335</v>
      </c>
      <c r="E7526" s="9" t="s">
        <v>8</v>
      </c>
    </row>
    <row r="7527" spans="1:5" ht="15" customHeight="1" outlineLevel="2" x14ac:dyDescent="0.25">
      <c r="A7527" s="3" t="str">
        <f>HYPERLINK("http://mystore1.ru/price_items/search?utf8=%E2%9C%93&amp;oem=7249ACCV1R","7249ACCV1R")</f>
        <v>7249ACCV1R</v>
      </c>
      <c r="B7527" s="1" t="s">
        <v>14336</v>
      </c>
      <c r="C7527" s="9" t="s">
        <v>377</v>
      </c>
      <c r="D7527" s="14" t="s">
        <v>14337</v>
      </c>
      <c r="E7527" s="9" t="s">
        <v>8</v>
      </c>
    </row>
    <row r="7528" spans="1:5" ht="15" customHeight="1" outlineLevel="2" x14ac:dyDescent="0.25">
      <c r="A7528" s="3" t="str">
        <f>HYPERLINK("http://mystore1.ru/price_items/search?utf8=%E2%9C%93&amp;oem=7249AGSMV1R","7249AGSMV1R")</f>
        <v>7249AGSMV1R</v>
      </c>
      <c r="B7528" s="1" t="s">
        <v>14338</v>
      </c>
      <c r="C7528" s="9" t="s">
        <v>377</v>
      </c>
      <c r="D7528" s="14" t="s">
        <v>14339</v>
      </c>
      <c r="E7528" s="9" t="s">
        <v>8</v>
      </c>
    </row>
    <row r="7529" spans="1:5" ht="15" customHeight="1" outlineLevel="2" x14ac:dyDescent="0.25">
      <c r="A7529" s="3" t="str">
        <f>HYPERLINK("http://mystore1.ru/price_items/search?utf8=%E2%9C%93&amp;oem=7249AGSV1R","7249AGSV1R")</f>
        <v>7249AGSV1R</v>
      </c>
      <c r="B7529" s="1" t="s">
        <v>14340</v>
      </c>
      <c r="C7529" s="9" t="s">
        <v>377</v>
      </c>
      <c r="D7529" s="14" t="s">
        <v>14341</v>
      </c>
      <c r="E7529" s="9" t="s">
        <v>8</v>
      </c>
    </row>
    <row r="7530" spans="1:5" ht="15" customHeight="1" outlineLevel="2" x14ac:dyDescent="0.25">
      <c r="A7530" s="3" t="str">
        <f>HYPERLINK("http://mystore1.ru/price_items/search?utf8=%E2%9C%93&amp;oem=7249AGSV2R","7249AGSV2R")</f>
        <v>7249AGSV2R</v>
      </c>
      <c r="B7530" s="1" t="s">
        <v>14342</v>
      </c>
      <c r="C7530" s="9" t="s">
        <v>377</v>
      </c>
      <c r="D7530" s="14" t="s">
        <v>14343</v>
      </c>
      <c r="E7530" s="9" t="s">
        <v>8</v>
      </c>
    </row>
    <row r="7531" spans="1:5" ht="15" customHeight="1" outlineLevel="2" x14ac:dyDescent="0.25">
      <c r="A7531" s="3" t="str">
        <f>HYPERLINK("http://mystore1.ru/price_items/search?utf8=%E2%9C%93&amp;oem=7249AKMH","7249AKMH")</f>
        <v>7249AKMH</v>
      </c>
      <c r="B7531" s="1" t="s">
        <v>14344</v>
      </c>
      <c r="C7531" s="9" t="s">
        <v>25</v>
      </c>
      <c r="D7531" s="14" t="s">
        <v>14345</v>
      </c>
      <c r="E7531" s="9" t="s">
        <v>27</v>
      </c>
    </row>
    <row r="7532" spans="1:5" ht="15" customHeight="1" outlineLevel="2" x14ac:dyDescent="0.25">
      <c r="A7532" s="3" t="str">
        <f>HYPERLINK("http://mystore1.ru/price_items/search?utf8=%E2%9C%93&amp;oem=7249ASMHT","7249ASMHT")</f>
        <v>7249ASMHT</v>
      </c>
      <c r="B7532" s="1" t="s">
        <v>14346</v>
      </c>
      <c r="C7532" s="9" t="s">
        <v>25</v>
      </c>
      <c r="D7532" s="14" t="s">
        <v>14347</v>
      </c>
      <c r="E7532" s="9" t="s">
        <v>27</v>
      </c>
    </row>
    <row r="7533" spans="1:5" ht="15" customHeight="1" outlineLevel="2" x14ac:dyDescent="0.25">
      <c r="A7533" s="3" t="str">
        <f>HYPERLINK("http://mystore1.ru/price_items/search?utf8=%E2%9C%93&amp;oem=7249BGPE","7249BGPE")</f>
        <v>7249BGPE</v>
      </c>
      <c r="B7533" s="1" t="s">
        <v>14348</v>
      </c>
      <c r="C7533" s="9" t="s">
        <v>457</v>
      </c>
      <c r="D7533" s="14" t="s">
        <v>14349</v>
      </c>
      <c r="E7533" s="9" t="s">
        <v>30</v>
      </c>
    </row>
    <row r="7534" spans="1:5" ht="15" customHeight="1" outlineLevel="2" x14ac:dyDescent="0.25">
      <c r="A7534" s="3" t="str">
        <f>HYPERLINK("http://mystore1.ru/price_items/search?utf8=%E2%9C%93&amp;oem=7249BGPEOW","7249BGPEOW")</f>
        <v>7249BGPEOW</v>
      </c>
      <c r="B7534" s="1" t="s">
        <v>14350</v>
      </c>
      <c r="C7534" s="9" t="s">
        <v>457</v>
      </c>
      <c r="D7534" s="14" t="s">
        <v>14351</v>
      </c>
      <c r="E7534" s="9" t="s">
        <v>30</v>
      </c>
    </row>
    <row r="7535" spans="1:5" ht="15" customHeight="1" outlineLevel="2" x14ac:dyDescent="0.25">
      <c r="A7535" s="3" t="str">
        <f>HYPERLINK("http://mystore1.ru/price_items/search?utf8=%E2%9C%93&amp;oem=7249BGSE","7249BGSE")</f>
        <v>7249BGSE</v>
      </c>
      <c r="B7535" s="1" t="s">
        <v>14352</v>
      </c>
      <c r="C7535" s="9" t="s">
        <v>457</v>
      </c>
      <c r="D7535" s="14" t="s">
        <v>14353</v>
      </c>
      <c r="E7535" s="9" t="s">
        <v>30</v>
      </c>
    </row>
    <row r="7536" spans="1:5" ht="15" customHeight="1" outlineLevel="2" x14ac:dyDescent="0.25">
      <c r="A7536" s="3" t="str">
        <f>HYPERLINK("http://mystore1.ru/price_items/search?utf8=%E2%9C%93&amp;oem=7249BGSEOW","7249BGSEOW")</f>
        <v>7249BGSEOW</v>
      </c>
      <c r="B7536" s="1" t="s">
        <v>14354</v>
      </c>
      <c r="C7536" s="9" t="s">
        <v>457</v>
      </c>
      <c r="D7536" s="14" t="s">
        <v>14355</v>
      </c>
      <c r="E7536" s="9" t="s">
        <v>30</v>
      </c>
    </row>
    <row r="7537" spans="1:5" ht="15" customHeight="1" outlineLevel="2" x14ac:dyDescent="0.25">
      <c r="A7537" s="3" t="str">
        <f>HYPERLINK("http://mystore1.ru/price_items/search?utf8=%E2%9C%93&amp;oem=7249LGPE5RD","7249LGPE5RD")</f>
        <v>7249LGPE5RD</v>
      </c>
      <c r="B7537" s="1" t="s">
        <v>14356</v>
      </c>
      <c r="C7537" s="9" t="s">
        <v>457</v>
      </c>
      <c r="D7537" s="14" t="s">
        <v>14357</v>
      </c>
      <c r="E7537" s="9" t="s">
        <v>11</v>
      </c>
    </row>
    <row r="7538" spans="1:5" ht="15" customHeight="1" outlineLevel="2" x14ac:dyDescent="0.25">
      <c r="A7538" s="3" t="str">
        <f>HYPERLINK("http://mystore1.ru/price_items/search?utf8=%E2%9C%93&amp;oem=7249LGPE5RQZ","7249LGPE5RQZ")</f>
        <v>7249LGPE5RQZ</v>
      </c>
      <c r="B7538" s="1" t="s">
        <v>14358</v>
      </c>
      <c r="C7538" s="9" t="s">
        <v>457</v>
      </c>
      <c r="D7538" s="14" t="s">
        <v>14359</v>
      </c>
      <c r="E7538" s="9" t="s">
        <v>11</v>
      </c>
    </row>
    <row r="7539" spans="1:5" ht="15" customHeight="1" outlineLevel="2" x14ac:dyDescent="0.25">
      <c r="A7539" s="3" t="str">
        <f>HYPERLINK("http://mystore1.ru/price_items/search?utf8=%E2%9C%93&amp;oem=7249LGPE5RV","7249LGPE5RV")</f>
        <v>7249LGPE5RV</v>
      </c>
      <c r="B7539" s="1" t="s">
        <v>14360</v>
      </c>
      <c r="C7539" s="9" t="s">
        <v>457</v>
      </c>
      <c r="D7539" s="14" t="s">
        <v>14361</v>
      </c>
      <c r="E7539" s="9" t="s">
        <v>11</v>
      </c>
    </row>
    <row r="7540" spans="1:5" ht="15" customHeight="1" outlineLevel="2" x14ac:dyDescent="0.25">
      <c r="A7540" s="3" t="str">
        <f>HYPERLINK("http://mystore1.ru/price_items/search?utf8=%E2%9C%93&amp;oem=7249LGSE5RD","7249LGSE5RD")</f>
        <v>7249LGSE5RD</v>
      </c>
      <c r="B7540" s="1" t="s">
        <v>14362</v>
      </c>
      <c r="C7540" s="9" t="s">
        <v>457</v>
      </c>
      <c r="D7540" s="14" t="s">
        <v>14363</v>
      </c>
      <c r="E7540" s="9" t="s">
        <v>11</v>
      </c>
    </row>
    <row r="7541" spans="1:5" ht="15" customHeight="1" outlineLevel="2" x14ac:dyDescent="0.25">
      <c r="A7541" s="3" t="str">
        <f>HYPERLINK("http://mystore1.ru/price_items/search?utf8=%E2%9C%93&amp;oem=7249LGSE5RQZ","7249LGSE5RQZ")</f>
        <v>7249LGSE5RQZ</v>
      </c>
      <c r="B7541" s="1" t="s">
        <v>14364</v>
      </c>
      <c r="C7541" s="9" t="s">
        <v>457</v>
      </c>
      <c r="D7541" s="14" t="s">
        <v>14365</v>
      </c>
      <c r="E7541" s="9" t="s">
        <v>11</v>
      </c>
    </row>
    <row r="7542" spans="1:5" ht="15" customHeight="1" outlineLevel="2" x14ac:dyDescent="0.25">
      <c r="A7542" s="3" t="str">
        <f>HYPERLINK("http://mystore1.ru/price_items/search?utf8=%E2%9C%93&amp;oem=7249LGSE5RV","7249LGSE5RV")</f>
        <v>7249LGSE5RV</v>
      </c>
      <c r="B7542" s="1" t="s">
        <v>14366</v>
      </c>
      <c r="C7542" s="9" t="s">
        <v>457</v>
      </c>
      <c r="D7542" s="14" t="s">
        <v>14367</v>
      </c>
      <c r="E7542" s="9" t="s">
        <v>11</v>
      </c>
    </row>
    <row r="7543" spans="1:5" ht="15" customHeight="1" outlineLevel="2" x14ac:dyDescent="0.25">
      <c r="A7543" s="3" t="str">
        <f>HYPERLINK("http://mystore1.ru/price_items/search?utf8=%E2%9C%93&amp;oem=7249LGSH5FD","7249LGSH5FD")</f>
        <v>7249LGSH5FD</v>
      </c>
      <c r="B7543" s="1" t="s">
        <v>14368</v>
      </c>
      <c r="C7543" s="9" t="s">
        <v>377</v>
      </c>
      <c r="D7543" s="14" t="s">
        <v>14369</v>
      </c>
      <c r="E7543" s="9" t="s">
        <v>11</v>
      </c>
    </row>
    <row r="7544" spans="1:5" ht="15" customHeight="1" outlineLevel="2" x14ac:dyDescent="0.25">
      <c r="A7544" s="3" t="str">
        <f>HYPERLINK("http://mystore1.ru/price_items/search?utf8=%E2%9C%93&amp;oem=7249LGSH5RD","7249LGSH5RD")</f>
        <v>7249LGSH5RD</v>
      </c>
      <c r="B7544" s="1" t="s">
        <v>14370</v>
      </c>
      <c r="C7544" s="9" t="s">
        <v>377</v>
      </c>
      <c r="D7544" s="14" t="s">
        <v>14371</v>
      </c>
      <c r="E7544" s="9" t="s">
        <v>11</v>
      </c>
    </row>
    <row r="7545" spans="1:5" ht="15" customHeight="1" outlineLevel="2" x14ac:dyDescent="0.25">
      <c r="A7545" s="3" t="str">
        <f>HYPERLINK("http://mystore1.ru/price_items/search?utf8=%E2%9C%93&amp;oem=7249LGSH5RV","7249LGSH5RV")</f>
        <v>7249LGSH5RV</v>
      </c>
      <c r="B7545" s="1" t="s">
        <v>14372</v>
      </c>
      <c r="C7545" s="9" t="s">
        <v>377</v>
      </c>
      <c r="D7545" s="14" t="s">
        <v>14373</v>
      </c>
      <c r="E7545" s="9" t="s">
        <v>11</v>
      </c>
    </row>
    <row r="7546" spans="1:5" ht="15" customHeight="1" outlineLevel="2" x14ac:dyDescent="0.25">
      <c r="A7546" s="3" t="str">
        <f>HYPERLINK("http://mystore1.ru/price_items/search?utf8=%E2%9C%93&amp;oem=7249RGPE5RD","7249RGPE5RD")</f>
        <v>7249RGPE5RD</v>
      </c>
      <c r="B7546" s="1" t="s">
        <v>14374</v>
      </c>
      <c r="C7546" s="9" t="s">
        <v>457</v>
      </c>
      <c r="D7546" s="14" t="s">
        <v>14375</v>
      </c>
      <c r="E7546" s="9" t="s">
        <v>11</v>
      </c>
    </row>
    <row r="7547" spans="1:5" ht="15" customHeight="1" outlineLevel="2" x14ac:dyDescent="0.25">
      <c r="A7547" s="3" t="str">
        <f>HYPERLINK("http://mystore1.ru/price_items/search?utf8=%E2%9C%93&amp;oem=7249RGPE5RQAZ","7249RGPE5RQAZ")</f>
        <v>7249RGPE5RQAZ</v>
      </c>
      <c r="B7547" s="1" t="s">
        <v>14376</v>
      </c>
      <c r="C7547" s="9" t="s">
        <v>457</v>
      </c>
      <c r="D7547" s="14" t="s">
        <v>14377</v>
      </c>
      <c r="E7547" s="9" t="s">
        <v>11</v>
      </c>
    </row>
    <row r="7548" spans="1:5" ht="15" customHeight="1" outlineLevel="2" x14ac:dyDescent="0.25">
      <c r="A7548" s="3" t="str">
        <f>HYPERLINK("http://mystore1.ru/price_items/search?utf8=%E2%9C%93&amp;oem=7249RGPE5RV","7249RGPE5RV")</f>
        <v>7249RGPE5RV</v>
      </c>
      <c r="B7548" s="1" t="s">
        <v>14378</v>
      </c>
      <c r="C7548" s="9" t="s">
        <v>457</v>
      </c>
      <c r="D7548" s="14" t="s">
        <v>14379</v>
      </c>
      <c r="E7548" s="9" t="s">
        <v>11</v>
      </c>
    </row>
    <row r="7549" spans="1:5" ht="15" customHeight="1" outlineLevel="2" x14ac:dyDescent="0.25">
      <c r="A7549" s="3" t="str">
        <f>HYPERLINK("http://mystore1.ru/price_items/search?utf8=%E2%9C%93&amp;oem=7249RGSE5RD","7249RGSE5RD")</f>
        <v>7249RGSE5RD</v>
      </c>
      <c r="B7549" s="1" t="s">
        <v>14380</v>
      </c>
      <c r="C7549" s="9" t="s">
        <v>457</v>
      </c>
      <c r="D7549" s="14" t="s">
        <v>14381</v>
      </c>
      <c r="E7549" s="9" t="s">
        <v>11</v>
      </c>
    </row>
    <row r="7550" spans="1:5" ht="15" customHeight="1" outlineLevel="2" x14ac:dyDescent="0.25">
      <c r="A7550" s="3" t="str">
        <f>HYPERLINK("http://mystore1.ru/price_items/search?utf8=%E2%9C%93&amp;oem=7249RGSE5RQAZ","7249RGSE5RQAZ")</f>
        <v>7249RGSE5RQAZ</v>
      </c>
      <c r="B7550" s="1" t="s">
        <v>14382</v>
      </c>
      <c r="C7550" s="9" t="s">
        <v>457</v>
      </c>
      <c r="D7550" s="14" t="s">
        <v>14383</v>
      </c>
      <c r="E7550" s="9" t="s">
        <v>11</v>
      </c>
    </row>
    <row r="7551" spans="1:5" ht="15" customHeight="1" outlineLevel="2" x14ac:dyDescent="0.25">
      <c r="A7551" s="3" t="str">
        <f>HYPERLINK("http://mystore1.ru/price_items/search?utf8=%E2%9C%93&amp;oem=7249RGSE5RV","7249RGSE5RV")</f>
        <v>7249RGSE5RV</v>
      </c>
      <c r="B7551" s="1" t="s">
        <v>14384</v>
      </c>
      <c r="C7551" s="9" t="s">
        <v>457</v>
      </c>
      <c r="D7551" s="14" t="s">
        <v>14385</v>
      </c>
      <c r="E7551" s="9" t="s">
        <v>11</v>
      </c>
    </row>
    <row r="7552" spans="1:5" ht="15" customHeight="1" outlineLevel="2" x14ac:dyDescent="0.25">
      <c r="A7552" s="3" t="str">
        <f>HYPERLINK("http://mystore1.ru/price_items/search?utf8=%E2%9C%93&amp;oem=7249RGSH5FD","7249RGSH5FD")</f>
        <v>7249RGSH5FD</v>
      </c>
      <c r="B7552" s="1" t="s">
        <v>14386</v>
      </c>
      <c r="C7552" s="9" t="s">
        <v>377</v>
      </c>
      <c r="D7552" s="14" t="s">
        <v>14387</v>
      </c>
      <c r="E7552" s="9" t="s">
        <v>11</v>
      </c>
    </row>
    <row r="7553" spans="1:5" ht="15" customHeight="1" outlineLevel="2" x14ac:dyDescent="0.25">
      <c r="A7553" s="3" t="str">
        <f>HYPERLINK("http://mystore1.ru/price_items/search?utf8=%E2%9C%93&amp;oem=7249RGSH5RD","7249RGSH5RD")</f>
        <v>7249RGSH5RD</v>
      </c>
      <c r="B7553" s="1" t="s">
        <v>14388</v>
      </c>
      <c r="C7553" s="9" t="s">
        <v>377</v>
      </c>
      <c r="D7553" s="14" t="s">
        <v>14389</v>
      </c>
      <c r="E7553" s="9" t="s">
        <v>11</v>
      </c>
    </row>
    <row r="7554" spans="1:5" ht="15" customHeight="1" outlineLevel="2" x14ac:dyDescent="0.25">
      <c r="A7554" s="3" t="str">
        <f>HYPERLINK("http://mystore1.ru/price_items/search?utf8=%E2%9C%93&amp;oem=7249RGSH5RV","7249RGSH5RV")</f>
        <v>7249RGSH5RV</v>
      </c>
      <c r="B7554" s="1" t="s">
        <v>14390</v>
      </c>
      <c r="C7554" s="9" t="s">
        <v>377</v>
      </c>
      <c r="D7554" s="14" t="s">
        <v>14391</v>
      </c>
      <c r="E7554" s="9" t="s">
        <v>11</v>
      </c>
    </row>
    <row r="7555" spans="1:5" outlineLevel="1" x14ac:dyDescent="0.25">
      <c r="A7555" s="2"/>
      <c r="B7555" s="6" t="s">
        <v>14392</v>
      </c>
      <c r="C7555" s="8"/>
      <c r="D7555" s="8"/>
      <c r="E7555" s="8"/>
    </row>
    <row r="7556" spans="1:5" ht="15" customHeight="1" outlineLevel="2" x14ac:dyDescent="0.25">
      <c r="A7556" s="3" t="str">
        <f>HYPERLINK("http://mystore1.ru/price_items/search?utf8=%E2%9C%93&amp;oem=7273ACDMVZ1R","7273ACDMVZ1R")</f>
        <v>7273ACDMVZ1R</v>
      </c>
      <c r="B7556" s="1" t="s">
        <v>14393</v>
      </c>
      <c r="C7556" s="9" t="s">
        <v>511</v>
      </c>
      <c r="D7556" s="14" t="s">
        <v>14394</v>
      </c>
      <c r="E7556" s="9" t="s">
        <v>8</v>
      </c>
    </row>
    <row r="7557" spans="1:5" ht="15" customHeight="1" outlineLevel="2" x14ac:dyDescent="0.25">
      <c r="A7557" s="3" t="str">
        <f>HYPERLINK("http://mystore1.ru/price_items/search?utf8=%E2%9C%93&amp;oem=7273AGAMVZ1R","7273AGAMVZ1R")</f>
        <v>7273AGAMVZ1R</v>
      </c>
      <c r="B7557" s="1" t="s">
        <v>14395</v>
      </c>
      <c r="C7557" s="9" t="s">
        <v>511</v>
      </c>
      <c r="D7557" s="14" t="s">
        <v>14396</v>
      </c>
      <c r="E7557" s="9" t="s">
        <v>8</v>
      </c>
    </row>
    <row r="7558" spans="1:5" ht="15" customHeight="1" outlineLevel="2" x14ac:dyDescent="0.25">
      <c r="A7558" s="3" t="str">
        <f>HYPERLINK("http://mystore1.ru/price_items/search?utf8=%E2%9C%93&amp;oem=7273AGSMVZ1R","7273AGSMVZ1R")</f>
        <v>7273AGSMVZ1R</v>
      </c>
      <c r="B7558" s="1" t="s">
        <v>14397</v>
      </c>
      <c r="C7558" s="9" t="s">
        <v>511</v>
      </c>
      <c r="D7558" s="14" t="s">
        <v>14398</v>
      </c>
      <c r="E7558" s="9" t="s">
        <v>8</v>
      </c>
    </row>
    <row r="7559" spans="1:5" ht="15" customHeight="1" outlineLevel="2" x14ac:dyDescent="0.25">
      <c r="A7559" s="3" t="str">
        <f>HYPERLINK("http://mystore1.ru/price_items/search?utf8=%E2%9C%93&amp;oem=7273AGSVZ1M","7273AGSVZ1M")</f>
        <v>7273AGSVZ1M</v>
      </c>
      <c r="B7559" s="1" t="s">
        <v>14399</v>
      </c>
      <c r="C7559" s="9" t="s">
        <v>511</v>
      </c>
      <c r="D7559" s="14" t="s">
        <v>14400</v>
      </c>
      <c r="E7559" s="9" t="s">
        <v>8</v>
      </c>
    </row>
    <row r="7560" spans="1:5" ht="15" customHeight="1" outlineLevel="2" x14ac:dyDescent="0.25">
      <c r="A7560" s="3" t="str">
        <f>HYPERLINK("http://mystore1.ru/price_items/search?utf8=%E2%9C%93&amp;oem=7273LGSH5FD","7273LGSH5FD")</f>
        <v>7273LGSH5FD</v>
      </c>
      <c r="B7560" s="1" t="s">
        <v>14401</v>
      </c>
      <c r="C7560" s="9" t="s">
        <v>511</v>
      </c>
      <c r="D7560" s="14" t="s">
        <v>14402</v>
      </c>
      <c r="E7560" s="9" t="s">
        <v>11</v>
      </c>
    </row>
    <row r="7561" spans="1:5" ht="15" customHeight="1" outlineLevel="2" x14ac:dyDescent="0.25">
      <c r="A7561" s="3" t="str">
        <f>HYPERLINK("http://mystore1.ru/price_items/search?utf8=%E2%9C%93&amp;oem=7273RGSH5FD","7273RGSH5FD")</f>
        <v>7273RGSH5FD</v>
      </c>
      <c r="B7561" s="1" t="s">
        <v>14403</v>
      </c>
      <c r="C7561" s="9" t="s">
        <v>511</v>
      </c>
      <c r="D7561" s="14" t="s">
        <v>14404</v>
      </c>
      <c r="E7561" s="9" t="s">
        <v>11</v>
      </c>
    </row>
    <row r="7562" spans="1:5" outlineLevel="1" x14ac:dyDescent="0.25">
      <c r="A7562" s="2"/>
      <c r="B7562" s="6" t="s">
        <v>14405</v>
      </c>
      <c r="C7562" s="8"/>
      <c r="D7562" s="8"/>
      <c r="E7562" s="8"/>
    </row>
    <row r="7563" spans="1:5" ht="15" customHeight="1" outlineLevel="2" x14ac:dyDescent="0.25">
      <c r="A7563" s="3" t="str">
        <f>HYPERLINK("http://mystore1.ru/price_items/search?utf8=%E2%9C%93&amp;oem=7286AGNMVZ1M","7286AGNMVZ1M")</f>
        <v>7286AGNMVZ1M</v>
      </c>
      <c r="B7563" s="1" t="s">
        <v>14406</v>
      </c>
      <c r="C7563" s="9" t="s">
        <v>1738</v>
      </c>
      <c r="D7563" s="14" t="s">
        <v>14407</v>
      </c>
      <c r="E7563" s="9" t="s">
        <v>8</v>
      </c>
    </row>
    <row r="7564" spans="1:5" outlineLevel="1" x14ac:dyDescent="0.25">
      <c r="A7564" s="2"/>
      <c r="B7564" s="6" t="s">
        <v>14408</v>
      </c>
      <c r="C7564" s="8"/>
      <c r="D7564" s="8"/>
      <c r="E7564" s="8"/>
    </row>
    <row r="7565" spans="1:5" ht="15" customHeight="1" outlineLevel="2" x14ac:dyDescent="0.25">
      <c r="A7565" s="3" t="str">
        <f>HYPERLINK("http://mystore1.ru/price_items/search?utf8=%E2%9C%93&amp;oem=7264ACL","7264ACL")</f>
        <v>7264ACL</v>
      </c>
      <c r="B7565" s="1" t="s">
        <v>14409</v>
      </c>
      <c r="C7565" s="9" t="s">
        <v>7906</v>
      </c>
      <c r="D7565" s="14" t="s">
        <v>14410</v>
      </c>
      <c r="E7565" s="9" t="s">
        <v>8</v>
      </c>
    </row>
    <row r="7566" spans="1:5" ht="15" customHeight="1" outlineLevel="2" x14ac:dyDescent="0.25">
      <c r="A7566" s="3" t="str">
        <f>HYPERLINK("http://mystore1.ru/price_items/search?utf8=%E2%9C%93&amp;oem=7264AGN","7264AGN")</f>
        <v>7264AGN</v>
      </c>
      <c r="B7566" s="1" t="s">
        <v>14411</v>
      </c>
      <c r="C7566" s="9" t="s">
        <v>7906</v>
      </c>
      <c r="D7566" s="14" t="s">
        <v>14412</v>
      </c>
      <c r="E7566" s="9" t="s">
        <v>8</v>
      </c>
    </row>
    <row r="7567" spans="1:5" ht="15" customHeight="1" outlineLevel="2" x14ac:dyDescent="0.25">
      <c r="A7567" s="3" t="str">
        <f>HYPERLINK("http://mystore1.ru/price_items/search?utf8=%E2%9C%93&amp;oem=7264AGNBL","7264AGNBL")</f>
        <v>7264AGNBL</v>
      </c>
      <c r="B7567" s="1" t="s">
        <v>14413</v>
      </c>
      <c r="C7567" s="9" t="s">
        <v>7906</v>
      </c>
      <c r="D7567" s="14" t="s">
        <v>14414</v>
      </c>
      <c r="E7567" s="9" t="s">
        <v>8</v>
      </c>
    </row>
    <row r="7568" spans="1:5" ht="15" customHeight="1" outlineLevel="2" x14ac:dyDescent="0.25">
      <c r="A7568" s="3" t="str">
        <f>HYPERLINK("http://mystore1.ru/price_items/search?utf8=%E2%9C%93&amp;oem=7264ASMST","7264ASMST")</f>
        <v>7264ASMST</v>
      </c>
      <c r="B7568" s="1" t="s">
        <v>14415</v>
      </c>
      <c r="C7568" s="9" t="s">
        <v>25</v>
      </c>
      <c r="D7568" s="14" t="s">
        <v>14416</v>
      </c>
      <c r="E7568" s="9" t="s">
        <v>27</v>
      </c>
    </row>
    <row r="7569" spans="1:5" ht="15" customHeight="1" outlineLevel="2" x14ac:dyDescent="0.25">
      <c r="A7569" s="3" t="str">
        <f>HYPERLINK("http://mystore1.ru/price_items/search?utf8=%E2%9C%93&amp;oem=7264ASMSB","7264ASMSB")</f>
        <v>7264ASMSB</v>
      </c>
      <c r="B7569" s="1" t="s">
        <v>14417</v>
      </c>
      <c r="C7569" s="9" t="s">
        <v>25</v>
      </c>
      <c r="D7569" s="14" t="s">
        <v>14418</v>
      </c>
      <c r="E7569" s="9" t="s">
        <v>27</v>
      </c>
    </row>
    <row r="7570" spans="1:5" ht="15" customHeight="1" outlineLevel="2" x14ac:dyDescent="0.25">
      <c r="A7570" s="3" t="str">
        <f>HYPERLINK("http://mystore1.ru/price_items/search?utf8=%E2%9C%93&amp;oem=7264BGNSB","7264BGNSB")</f>
        <v>7264BGNSB</v>
      </c>
      <c r="B7570" s="1" t="s">
        <v>14419</v>
      </c>
      <c r="C7570" s="9" t="s">
        <v>7906</v>
      </c>
      <c r="D7570" s="14" t="s">
        <v>14420</v>
      </c>
      <c r="E7570" s="9" t="s">
        <v>30</v>
      </c>
    </row>
    <row r="7571" spans="1:5" ht="15" customHeight="1" outlineLevel="2" x14ac:dyDescent="0.25">
      <c r="A7571" s="3" t="str">
        <f>HYPERLINK("http://mystore1.ru/price_items/search?utf8=%E2%9C%93&amp;oem=7264BCLSB","7264BCLSB")</f>
        <v>7264BCLSB</v>
      </c>
      <c r="B7571" s="1" t="s">
        <v>14421</v>
      </c>
      <c r="C7571" s="9" t="s">
        <v>7906</v>
      </c>
      <c r="D7571" s="14" t="s">
        <v>14422</v>
      </c>
      <c r="E7571" s="9" t="s">
        <v>30</v>
      </c>
    </row>
    <row r="7572" spans="1:5" ht="15" customHeight="1" outlineLevel="2" x14ac:dyDescent="0.25">
      <c r="A7572" s="3" t="str">
        <f>HYPERLINK("http://mystore1.ru/price_items/search?utf8=%E2%9C%93&amp;oem=7264LCLS4FD","7264LCLS4FD")</f>
        <v>7264LCLS4FD</v>
      </c>
      <c r="B7572" s="1" t="s">
        <v>14423</v>
      </c>
      <c r="C7572" s="9" t="s">
        <v>7906</v>
      </c>
      <c r="D7572" s="14" t="s">
        <v>14424</v>
      </c>
      <c r="E7572" s="9" t="s">
        <v>11</v>
      </c>
    </row>
    <row r="7573" spans="1:5" ht="15" customHeight="1" outlineLevel="2" x14ac:dyDescent="0.25">
      <c r="A7573" s="3" t="str">
        <f>HYPERLINK("http://mystore1.ru/price_items/search?utf8=%E2%9C%93&amp;oem=7264LCLS4RD","7264LCLS4RD")</f>
        <v>7264LCLS4RD</v>
      </c>
      <c r="B7573" s="1" t="s">
        <v>14425</v>
      </c>
      <c r="C7573" s="9" t="s">
        <v>7906</v>
      </c>
      <c r="D7573" s="14" t="s">
        <v>14426</v>
      </c>
      <c r="E7573" s="9" t="s">
        <v>11</v>
      </c>
    </row>
    <row r="7574" spans="1:5" ht="15" customHeight="1" outlineLevel="2" x14ac:dyDescent="0.25">
      <c r="A7574" s="3" t="str">
        <f>HYPERLINK("http://mystore1.ru/price_items/search?utf8=%E2%9C%93&amp;oem=7264LGNS4FD","7264LGNS4FD")</f>
        <v>7264LGNS4FD</v>
      </c>
      <c r="B7574" s="1" t="s">
        <v>14427</v>
      </c>
      <c r="C7574" s="9" t="s">
        <v>7906</v>
      </c>
      <c r="D7574" s="14" t="s">
        <v>14428</v>
      </c>
      <c r="E7574" s="9" t="s">
        <v>11</v>
      </c>
    </row>
    <row r="7575" spans="1:5" ht="15" customHeight="1" outlineLevel="2" x14ac:dyDescent="0.25">
      <c r="A7575" s="3" t="str">
        <f>HYPERLINK("http://mystore1.ru/price_items/search?utf8=%E2%9C%93&amp;oem=7264LGNS4RD","7264LGNS4RD")</f>
        <v>7264LGNS4RD</v>
      </c>
      <c r="B7575" s="1" t="s">
        <v>14429</v>
      </c>
      <c r="C7575" s="9" t="s">
        <v>7906</v>
      </c>
      <c r="D7575" s="14" t="s">
        <v>14430</v>
      </c>
      <c r="E7575" s="9" t="s">
        <v>11</v>
      </c>
    </row>
    <row r="7576" spans="1:5" ht="15" customHeight="1" outlineLevel="2" x14ac:dyDescent="0.25">
      <c r="A7576" s="3" t="str">
        <f>HYPERLINK("http://mystore1.ru/price_items/search?utf8=%E2%9C%93&amp;oem=7264RCLS4FD","7264RCLS4FD")</f>
        <v>7264RCLS4FD</v>
      </c>
      <c r="B7576" s="1" t="s">
        <v>14431</v>
      </c>
      <c r="C7576" s="9" t="s">
        <v>7906</v>
      </c>
      <c r="D7576" s="14" t="s">
        <v>14432</v>
      </c>
      <c r="E7576" s="9" t="s">
        <v>11</v>
      </c>
    </row>
    <row r="7577" spans="1:5" ht="15" customHeight="1" outlineLevel="2" x14ac:dyDescent="0.25">
      <c r="A7577" s="3" t="str">
        <f>HYPERLINK("http://mystore1.ru/price_items/search?utf8=%E2%9C%93&amp;oem=7264RCLS4RD","7264RCLS4RD")</f>
        <v>7264RCLS4RD</v>
      </c>
      <c r="B7577" s="1" t="s">
        <v>14433</v>
      </c>
      <c r="C7577" s="9" t="s">
        <v>7906</v>
      </c>
      <c r="D7577" s="14" t="s">
        <v>14434</v>
      </c>
      <c r="E7577" s="9" t="s">
        <v>11</v>
      </c>
    </row>
    <row r="7578" spans="1:5" ht="15" customHeight="1" outlineLevel="2" x14ac:dyDescent="0.25">
      <c r="A7578" s="3" t="str">
        <f>HYPERLINK("http://mystore1.ru/price_items/search?utf8=%E2%9C%93&amp;oem=7264RGNS4FD","7264RGNS4FD")</f>
        <v>7264RGNS4FD</v>
      </c>
      <c r="B7578" s="1" t="s">
        <v>14435</v>
      </c>
      <c r="C7578" s="9" t="s">
        <v>7906</v>
      </c>
      <c r="D7578" s="14" t="s">
        <v>14436</v>
      </c>
      <c r="E7578" s="9" t="s">
        <v>11</v>
      </c>
    </row>
    <row r="7579" spans="1:5" ht="15" customHeight="1" outlineLevel="2" x14ac:dyDescent="0.25">
      <c r="A7579" s="3" t="str">
        <f>HYPERLINK("http://mystore1.ru/price_items/search?utf8=%E2%9C%93&amp;oem=7264RGNS4RD","7264RGNS4RD")</f>
        <v>7264RGNS4RD</v>
      </c>
      <c r="B7579" s="1" t="s">
        <v>14437</v>
      </c>
      <c r="C7579" s="9" t="s">
        <v>7906</v>
      </c>
      <c r="D7579" s="14" t="s">
        <v>14438</v>
      </c>
      <c r="E7579" s="9" t="s">
        <v>11</v>
      </c>
    </row>
    <row r="7580" spans="1:5" outlineLevel="1" x14ac:dyDescent="0.25">
      <c r="A7580" s="2"/>
      <c r="B7580" s="6" t="s">
        <v>14439</v>
      </c>
      <c r="C7580" s="8"/>
      <c r="D7580" s="8"/>
      <c r="E7580" s="8"/>
    </row>
    <row r="7581" spans="1:5" ht="15" customHeight="1" outlineLevel="2" x14ac:dyDescent="0.25">
      <c r="A7581" s="3" t="str">
        <f>HYPERLINK("http://mystore1.ru/price_items/search?utf8=%E2%9C%93&amp;oem=7272AGS","7272AGS")</f>
        <v>7272AGS</v>
      </c>
      <c r="B7581" s="1" t="s">
        <v>14440</v>
      </c>
      <c r="C7581" s="9" t="s">
        <v>25</v>
      </c>
      <c r="D7581" s="14" t="s">
        <v>14441</v>
      </c>
      <c r="E7581" s="9" t="s">
        <v>8</v>
      </c>
    </row>
    <row r="7582" spans="1:5" outlineLevel="1" x14ac:dyDescent="0.25">
      <c r="A7582" s="2"/>
      <c r="B7582" s="6" t="s">
        <v>14442</v>
      </c>
      <c r="C7582" s="8"/>
      <c r="D7582" s="8"/>
      <c r="E7582" s="8"/>
    </row>
    <row r="7583" spans="1:5" ht="15" customHeight="1" outlineLevel="2" x14ac:dyDescent="0.25">
      <c r="A7583" s="3" t="str">
        <f>HYPERLINK("http://mystore1.ru/price_items/search?utf8=%E2%9C%93&amp;oem=7239ACC1B","7239ACC1B")</f>
        <v>7239ACC1B</v>
      </c>
      <c r="B7583" s="1" t="s">
        <v>14443</v>
      </c>
      <c r="C7583" s="9" t="s">
        <v>1625</v>
      </c>
      <c r="D7583" s="14" t="s">
        <v>14444</v>
      </c>
      <c r="E7583" s="9" t="s">
        <v>8</v>
      </c>
    </row>
    <row r="7584" spans="1:5" ht="15" customHeight="1" outlineLevel="2" x14ac:dyDescent="0.25">
      <c r="A7584" s="3" t="str">
        <f>HYPERLINK("http://mystore1.ru/price_items/search?utf8=%E2%9C%93&amp;oem=7239ACL","7239ACL")</f>
        <v>7239ACL</v>
      </c>
      <c r="B7584" s="1" t="s">
        <v>14445</v>
      </c>
      <c r="C7584" s="9" t="s">
        <v>1625</v>
      </c>
      <c r="D7584" s="14" t="s">
        <v>14446</v>
      </c>
      <c r="E7584" s="9" t="s">
        <v>8</v>
      </c>
    </row>
    <row r="7585" spans="1:5" ht="15" customHeight="1" outlineLevel="2" x14ac:dyDescent="0.25">
      <c r="A7585" s="3" t="str">
        <f>HYPERLINK("http://mystore1.ru/price_items/search?utf8=%E2%9C%93&amp;oem=7239AGNBL","7239AGNBL")</f>
        <v>7239AGNBL</v>
      </c>
      <c r="B7585" s="1" t="s">
        <v>14447</v>
      </c>
      <c r="C7585" s="9" t="s">
        <v>1625</v>
      </c>
      <c r="D7585" s="14" t="s">
        <v>14448</v>
      </c>
      <c r="E7585" s="9" t="s">
        <v>8</v>
      </c>
    </row>
    <row r="7586" spans="1:5" ht="15" customHeight="1" outlineLevel="2" x14ac:dyDescent="0.25">
      <c r="A7586" s="3" t="str">
        <f>HYPERLINK("http://mystore1.ru/price_items/search?utf8=%E2%9C%93&amp;oem=7239AGNGN","7239AGNGN")</f>
        <v>7239AGNGN</v>
      </c>
      <c r="B7586" s="1" t="s">
        <v>14449</v>
      </c>
      <c r="C7586" s="9" t="s">
        <v>1625</v>
      </c>
      <c r="D7586" s="14" t="s">
        <v>14450</v>
      </c>
      <c r="E7586" s="9" t="s">
        <v>8</v>
      </c>
    </row>
    <row r="7587" spans="1:5" ht="15" customHeight="1" outlineLevel="2" x14ac:dyDescent="0.25">
      <c r="A7587" s="3" t="str">
        <f>HYPERLINK("http://mystore1.ru/price_items/search?utf8=%E2%9C%93&amp;oem=7239AGNH","7239AGNH")</f>
        <v>7239AGNH</v>
      </c>
      <c r="B7587" s="1" t="s">
        <v>14451</v>
      </c>
      <c r="C7587" s="9" t="s">
        <v>1625</v>
      </c>
      <c r="D7587" s="14" t="s">
        <v>14452</v>
      </c>
      <c r="E7587" s="9" t="s">
        <v>8</v>
      </c>
    </row>
    <row r="7588" spans="1:5" ht="15" customHeight="1" outlineLevel="2" x14ac:dyDescent="0.25">
      <c r="A7588" s="3" t="str">
        <f>HYPERLINK("http://mystore1.ru/price_items/search?utf8=%E2%9C%93&amp;oem=7239AGS","7239AGS")</f>
        <v>7239AGS</v>
      </c>
      <c r="B7588" s="1" t="s">
        <v>14453</v>
      </c>
      <c r="C7588" s="9" t="s">
        <v>1625</v>
      </c>
      <c r="D7588" s="14" t="s">
        <v>14454</v>
      </c>
      <c r="E7588" s="9" t="s">
        <v>8</v>
      </c>
    </row>
    <row r="7589" spans="1:5" ht="15" customHeight="1" outlineLevel="2" x14ac:dyDescent="0.25">
      <c r="A7589" s="3" t="str">
        <f>HYPERLINK("http://mystore1.ru/price_items/search?utf8=%E2%9C%93&amp;oem=7239AKMH","7239AKMH")</f>
        <v>7239AKMH</v>
      </c>
      <c r="B7589" s="1" t="s">
        <v>14455</v>
      </c>
      <c r="C7589" s="9" t="s">
        <v>25</v>
      </c>
      <c r="D7589" s="14" t="s">
        <v>14456</v>
      </c>
      <c r="E7589" s="9" t="s">
        <v>27</v>
      </c>
    </row>
    <row r="7590" spans="1:5" ht="15" customHeight="1" outlineLevel="2" x14ac:dyDescent="0.25">
      <c r="A7590" s="3" t="str">
        <f>HYPERLINK("http://mystore1.ru/price_items/search?utf8=%E2%9C%93&amp;oem=7239BCLHB","7239BCLHB")</f>
        <v>7239BCLHB</v>
      </c>
      <c r="B7590" s="1" t="s">
        <v>14457</v>
      </c>
      <c r="C7590" s="9" t="s">
        <v>1625</v>
      </c>
      <c r="D7590" s="14" t="s">
        <v>14458</v>
      </c>
      <c r="E7590" s="9" t="s">
        <v>30</v>
      </c>
    </row>
    <row r="7591" spans="1:5" ht="15" customHeight="1" outlineLevel="2" x14ac:dyDescent="0.25">
      <c r="A7591" s="3" t="str">
        <f>HYPERLINK("http://mystore1.ru/price_items/search?utf8=%E2%9C%93&amp;oem=7239BGNSB","7239BGNSB")</f>
        <v>7239BGNSB</v>
      </c>
      <c r="B7591" s="1" t="s">
        <v>14459</v>
      </c>
      <c r="C7591" s="9" t="s">
        <v>1625</v>
      </c>
      <c r="D7591" s="14" t="s">
        <v>14460</v>
      </c>
      <c r="E7591" s="9" t="s">
        <v>30</v>
      </c>
    </row>
    <row r="7592" spans="1:5" ht="15" customHeight="1" outlineLevel="2" x14ac:dyDescent="0.25">
      <c r="A7592" s="3" t="str">
        <f>HYPERLINK("http://mystore1.ru/price_items/search?utf8=%E2%9C%93&amp;oem=7239BGPHB","7239BGPHB")</f>
        <v>7239BGPHB</v>
      </c>
      <c r="B7592" s="1" t="s">
        <v>14461</v>
      </c>
      <c r="C7592" s="9" t="s">
        <v>14462</v>
      </c>
      <c r="D7592" s="14" t="s">
        <v>14463</v>
      </c>
      <c r="E7592" s="9" t="s">
        <v>30</v>
      </c>
    </row>
    <row r="7593" spans="1:5" ht="15" customHeight="1" outlineLevel="2" x14ac:dyDescent="0.25">
      <c r="A7593" s="3" t="str">
        <f>HYPERLINK("http://mystore1.ru/price_items/search?utf8=%E2%9C%93&amp;oem=7239BGPSB","7239BGPSB")</f>
        <v>7239BGPSB</v>
      </c>
      <c r="B7593" s="1" t="s">
        <v>14464</v>
      </c>
      <c r="C7593" s="9" t="s">
        <v>14462</v>
      </c>
      <c r="D7593" s="14" t="s">
        <v>14465</v>
      </c>
      <c r="E7593" s="9" t="s">
        <v>30</v>
      </c>
    </row>
    <row r="7594" spans="1:5" ht="15" customHeight="1" outlineLevel="2" x14ac:dyDescent="0.25">
      <c r="A7594" s="3" t="str">
        <f>HYPERLINK("http://mystore1.ru/price_items/search?utf8=%E2%9C%93&amp;oem=7239BGSEW","7239BGSEW")</f>
        <v>7239BGSEW</v>
      </c>
      <c r="B7594" s="1" t="s">
        <v>14466</v>
      </c>
      <c r="C7594" s="9" t="s">
        <v>7022</v>
      </c>
      <c r="D7594" s="14" t="s">
        <v>14467</v>
      </c>
      <c r="E7594" s="9" t="s">
        <v>30</v>
      </c>
    </row>
    <row r="7595" spans="1:5" ht="15" customHeight="1" outlineLevel="2" x14ac:dyDescent="0.25">
      <c r="A7595" s="3" t="str">
        <f>HYPERLINK("http://mystore1.ru/price_items/search?utf8=%E2%9C%93&amp;oem=7239BGSHB","7239BGSHB")</f>
        <v>7239BGSHB</v>
      </c>
      <c r="B7595" s="1" t="s">
        <v>14468</v>
      </c>
      <c r="C7595" s="9" t="s">
        <v>1625</v>
      </c>
      <c r="D7595" s="14" t="s">
        <v>14469</v>
      </c>
      <c r="E7595" s="9" t="s">
        <v>30</v>
      </c>
    </row>
    <row r="7596" spans="1:5" ht="15" customHeight="1" outlineLevel="2" x14ac:dyDescent="0.25">
      <c r="A7596" s="3" t="str">
        <f>HYPERLINK("http://mystore1.ru/price_items/search?utf8=%E2%9C%93&amp;oem=7239BSMH","7239BSMH")</f>
        <v>7239BSMH</v>
      </c>
      <c r="B7596" s="1" t="s">
        <v>14470</v>
      </c>
      <c r="C7596" s="9" t="s">
        <v>25</v>
      </c>
      <c r="D7596" s="14" t="s">
        <v>14471</v>
      </c>
      <c r="E7596" s="9" t="s">
        <v>27</v>
      </c>
    </row>
    <row r="7597" spans="1:5" ht="15" customHeight="1" outlineLevel="2" x14ac:dyDescent="0.25">
      <c r="A7597" s="3" t="str">
        <f>HYPERLINK("http://mystore1.ru/price_items/search?utf8=%E2%9C%93&amp;oem=7239LCLH5FD","7239LCLH5FD")</f>
        <v>7239LCLH5FD</v>
      </c>
      <c r="B7597" s="1" t="s">
        <v>14472</v>
      </c>
      <c r="C7597" s="9" t="s">
        <v>1625</v>
      </c>
      <c r="D7597" s="14" t="s">
        <v>14473</v>
      </c>
      <c r="E7597" s="9" t="s">
        <v>11</v>
      </c>
    </row>
    <row r="7598" spans="1:5" ht="15" customHeight="1" outlineLevel="2" x14ac:dyDescent="0.25">
      <c r="A7598" s="3" t="str">
        <f>HYPERLINK("http://mystore1.ru/price_items/search?utf8=%E2%9C%93&amp;oem=7239LGNH5FD","7239LGNH5FD")</f>
        <v>7239LGNH5FD</v>
      </c>
      <c r="B7598" s="1" t="s">
        <v>14474</v>
      </c>
      <c r="C7598" s="9" t="s">
        <v>1625</v>
      </c>
      <c r="D7598" s="14" t="s">
        <v>14475</v>
      </c>
      <c r="E7598" s="9" t="s">
        <v>11</v>
      </c>
    </row>
    <row r="7599" spans="1:5" ht="15" customHeight="1" outlineLevel="2" x14ac:dyDescent="0.25">
      <c r="A7599" s="3" t="str">
        <f>HYPERLINK("http://mystore1.ru/price_items/search?utf8=%E2%9C%93&amp;oem=7239LGNH5RD","7239LGNH5RD")</f>
        <v>7239LGNH5RD</v>
      </c>
      <c r="B7599" s="1" t="s">
        <v>14476</v>
      </c>
      <c r="C7599" s="9" t="s">
        <v>1625</v>
      </c>
      <c r="D7599" s="14" t="s">
        <v>14477</v>
      </c>
      <c r="E7599" s="9" t="s">
        <v>11</v>
      </c>
    </row>
    <row r="7600" spans="1:5" ht="15" customHeight="1" outlineLevel="2" x14ac:dyDescent="0.25">
      <c r="A7600" s="3" t="str">
        <f>HYPERLINK("http://mystore1.ru/price_items/search?utf8=%E2%9C%93&amp;oem=7239LGNH5RV","7239LGNH5RV")</f>
        <v>7239LGNH5RV</v>
      </c>
      <c r="B7600" s="1" t="s">
        <v>14478</v>
      </c>
      <c r="C7600" s="9" t="s">
        <v>1625</v>
      </c>
      <c r="D7600" s="14" t="s">
        <v>14479</v>
      </c>
      <c r="E7600" s="9" t="s">
        <v>11</v>
      </c>
    </row>
    <row r="7601" spans="1:5" ht="15" customHeight="1" outlineLevel="2" x14ac:dyDescent="0.25">
      <c r="A7601" s="3" t="str">
        <f>HYPERLINK("http://mystore1.ru/price_items/search?utf8=%E2%9C%93&amp;oem=7239RCLH5FD","7239RCLH5FD")</f>
        <v>7239RCLH5FD</v>
      </c>
      <c r="B7601" s="1" t="s">
        <v>14480</v>
      </c>
      <c r="C7601" s="9" t="s">
        <v>1625</v>
      </c>
      <c r="D7601" s="14" t="s">
        <v>14481</v>
      </c>
      <c r="E7601" s="9" t="s">
        <v>11</v>
      </c>
    </row>
    <row r="7602" spans="1:5" ht="15" customHeight="1" outlineLevel="2" x14ac:dyDescent="0.25">
      <c r="A7602" s="3" t="str">
        <f>HYPERLINK("http://mystore1.ru/price_items/search?utf8=%E2%9C%93&amp;oem=7239RCLH5RV","7239RCLH5RV")</f>
        <v>7239RCLH5RV</v>
      </c>
      <c r="B7602" s="1" t="s">
        <v>14482</v>
      </c>
      <c r="C7602" s="9" t="s">
        <v>1625</v>
      </c>
      <c r="D7602" s="14" t="s">
        <v>14483</v>
      </c>
      <c r="E7602" s="9" t="s">
        <v>11</v>
      </c>
    </row>
    <row r="7603" spans="1:5" ht="15" customHeight="1" outlineLevel="2" x14ac:dyDescent="0.25">
      <c r="A7603" s="3" t="str">
        <f>HYPERLINK("http://mystore1.ru/price_items/search?utf8=%E2%9C%93&amp;oem=7239RGNH5FD","7239RGNH5FD")</f>
        <v>7239RGNH5FD</v>
      </c>
      <c r="B7603" s="1" t="s">
        <v>14484</v>
      </c>
      <c r="C7603" s="9" t="s">
        <v>1625</v>
      </c>
      <c r="D7603" s="14" t="s">
        <v>14485</v>
      </c>
      <c r="E7603" s="9" t="s">
        <v>11</v>
      </c>
    </row>
    <row r="7604" spans="1:5" ht="15" customHeight="1" outlineLevel="2" x14ac:dyDescent="0.25">
      <c r="A7604" s="3" t="str">
        <f>HYPERLINK("http://mystore1.ru/price_items/search?utf8=%E2%9C%93&amp;oem=7239RGNH5RD","7239RGNH5RD")</f>
        <v>7239RGNH5RD</v>
      </c>
      <c r="B7604" s="1" t="s">
        <v>14486</v>
      </c>
      <c r="C7604" s="9" t="s">
        <v>1625</v>
      </c>
      <c r="D7604" s="14" t="s">
        <v>14487</v>
      </c>
      <c r="E7604" s="9" t="s">
        <v>11</v>
      </c>
    </row>
    <row r="7605" spans="1:5" ht="15" customHeight="1" outlineLevel="2" x14ac:dyDescent="0.25">
      <c r="A7605" s="3" t="str">
        <f>HYPERLINK("http://mystore1.ru/price_items/search?utf8=%E2%9C%93&amp;oem=7239RGNH5RV","7239RGNH5RV")</f>
        <v>7239RGNH5RV</v>
      </c>
      <c r="B7605" s="1" t="s">
        <v>14488</v>
      </c>
      <c r="C7605" s="9" t="s">
        <v>1625</v>
      </c>
      <c r="D7605" s="14" t="s">
        <v>14489</v>
      </c>
      <c r="E7605" s="9" t="s">
        <v>11</v>
      </c>
    </row>
    <row r="7606" spans="1:5" ht="15" customHeight="1" outlineLevel="2" x14ac:dyDescent="0.25">
      <c r="A7606" s="3" t="str">
        <f>HYPERLINK("http://mystore1.ru/price_items/search?utf8=%E2%9C%93&amp;oem=7239RGSE5RD","7239RGSE5RD")</f>
        <v>7239RGSE5RD</v>
      </c>
      <c r="B7606" s="1" t="s">
        <v>14490</v>
      </c>
      <c r="C7606" s="9" t="s">
        <v>7022</v>
      </c>
      <c r="D7606" s="14" t="s">
        <v>14491</v>
      </c>
      <c r="E7606" s="9" t="s">
        <v>11</v>
      </c>
    </row>
    <row r="7607" spans="1:5" outlineLevel="1" x14ac:dyDescent="0.25">
      <c r="A7607" s="2"/>
      <c r="B7607" s="6" t="s">
        <v>14492</v>
      </c>
      <c r="C7607" s="7"/>
      <c r="D7607" s="8"/>
      <c r="E7607" s="8"/>
    </row>
    <row r="7608" spans="1:5" ht="15" customHeight="1" outlineLevel="2" x14ac:dyDescent="0.25">
      <c r="A7608" s="3" t="str">
        <f>HYPERLINK("http://mystore1.ru/price_items/search?utf8=%E2%9C%93&amp;oem=7240ACC","7240ACC")</f>
        <v>7240ACC</v>
      </c>
      <c r="B7608" s="1" t="s">
        <v>14493</v>
      </c>
      <c r="C7608" s="9" t="s">
        <v>1625</v>
      </c>
      <c r="D7608" s="14" t="s">
        <v>14494</v>
      </c>
      <c r="E7608" s="9" t="s">
        <v>8</v>
      </c>
    </row>
    <row r="7609" spans="1:5" ht="15" customHeight="1" outlineLevel="2" x14ac:dyDescent="0.25">
      <c r="A7609" s="3" t="str">
        <f>HYPERLINK("http://mystore1.ru/price_items/search?utf8=%E2%9C%93&amp;oem=7240AGN","7240AGN")</f>
        <v>7240AGN</v>
      </c>
      <c r="B7609" s="1" t="s">
        <v>14495</v>
      </c>
      <c r="C7609" s="9" t="s">
        <v>1625</v>
      </c>
      <c r="D7609" s="14" t="s">
        <v>14496</v>
      </c>
      <c r="E7609" s="9" t="s">
        <v>8</v>
      </c>
    </row>
    <row r="7610" spans="1:5" ht="15" customHeight="1" outlineLevel="2" x14ac:dyDescent="0.25">
      <c r="A7610" s="3" t="str">
        <f>HYPERLINK("http://mystore1.ru/price_items/search?utf8=%E2%9C%93&amp;oem=7240AGNGN","7240AGNGN")</f>
        <v>7240AGNGN</v>
      </c>
      <c r="B7610" s="1" t="s">
        <v>14497</v>
      </c>
      <c r="C7610" s="9" t="s">
        <v>1625</v>
      </c>
      <c r="D7610" s="14" t="s">
        <v>14498</v>
      </c>
      <c r="E7610" s="9" t="s">
        <v>8</v>
      </c>
    </row>
    <row r="7611" spans="1:5" ht="15" customHeight="1" outlineLevel="2" x14ac:dyDescent="0.25">
      <c r="A7611" s="3" t="str">
        <f>HYPERLINK("http://mystore1.ru/price_items/search?utf8=%E2%9C%93&amp;oem=7240BGNC","7240BGNC")</f>
        <v>7240BGNC</v>
      </c>
      <c r="B7611" s="1" t="s">
        <v>14499</v>
      </c>
      <c r="C7611" s="9" t="s">
        <v>1625</v>
      </c>
      <c r="D7611" s="14" t="s">
        <v>14500</v>
      </c>
      <c r="E7611" s="9" t="s">
        <v>30</v>
      </c>
    </row>
    <row r="7612" spans="1:5" ht="15" customHeight="1" outlineLevel="2" x14ac:dyDescent="0.25">
      <c r="A7612" s="3" t="str">
        <f>HYPERLINK("http://mystore1.ru/price_items/search?utf8=%E2%9C%93&amp;oem=7240BGPC","7240BGPC")</f>
        <v>7240BGPC</v>
      </c>
      <c r="B7612" s="1" t="s">
        <v>14501</v>
      </c>
      <c r="C7612" s="9" t="s">
        <v>1625</v>
      </c>
      <c r="D7612" s="14" t="s">
        <v>14502</v>
      </c>
      <c r="E7612" s="9" t="s">
        <v>30</v>
      </c>
    </row>
    <row r="7613" spans="1:5" ht="15" customHeight="1" outlineLevel="2" x14ac:dyDescent="0.25">
      <c r="A7613" s="3" t="str">
        <f>HYPERLINK("http://mystore1.ru/price_items/search?utf8=%E2%9C%93&amp;oem=7240BSMC","7240BSMC")</f>
        <v>7240BSMC</v>
      </c>
      <c r="B7613" s="1" t="s">
        <v>14503</v>
      </c>
      <c r="C7613" s="9" t="s">
        <v>25</v>
      </c>
      <c r="D7613" s="14" t="s">
        <v>14504</v>
      </c>
      <c r="E7613" s="9" t="s">
        <v>27</v>
      </c>
    </row>
    <row r="7614" spans="1:5" ht="15" customHeight="1" outlineLevel="2" x14ac:dyDescent="0.25">
      <c r="A7614" s="3" t="str">
        <f>HYPERLINK("http://mystore1.ru/price_items/search?utf8=%E2%9C%93&amp;oem=7240LGNC2FD","7240LGNC2FD")</f>
        <v>7240LGNC2FD</v>
      </c>
      <c r="B7614" s="1" t="s">
        <v>14505</v>
      </c>
      <c r="C7614" s="9" t="s">
        <v>1625</v>
      </c>
      <c r="D7614" s="14" t="s">
        <v>14506</v>
      </c>
      <c r="E7614" s="9" t="s">
        <v>11</v>
      </c>
    </row>
    <row r="7615" spans="1:5" ht="15" customHeight="1" outlineLevel="2" x14ac:dyDescent="0.25">
      <c r="A7615" s="3" t="str">
        <f>HYPERLINK("http://mystore1.ru/price_items/search?utf8=%E2%9C%93&amp;oem=7240LGNC2RQ","7240LGNC2RQ")</f>
        <v>7240LGNC2RQ</v>
      </c>
      <c r="B7615" s="1" t="s">
        <v>14507</v>
      </c>
      <c r="C7615" s="9" t="s">
        <v>1625</v>
      </c>
      <c r="D7615" s="14" t="s">
        <v>14508</v>
      </c>
      <c r="E7615" s="9" t="s">
        <v>11</v>
      </c>
    </row>
    <row r="7616" spans="1:5" ht="15" customHeight="1" outlineLevel="2" x14ac:dyDescent="0.25">
      <c r="A7616" s="3" t="str">
        <f>HYPERLINK("http://mystore1.ru/price_items/search?utf8=%E2%9C%93&amp;oem=7240LGNC2RQO","7240LGNC2RQO")</f>
        <v>7240LGNC2RQO</v>
      </c>
      <c r="B7616" s="1" t="s">
        <v>14509</v>
      </c>
      <c r="C7616" s="9" t="s">
        <v>1625</v>
      </c>
      <c r="D7616" s="14" t="s">
        <v>14510</v>
      </c>
      <c r="E7616" s="9" t="s">
        <v>11</v>
      </c>
    </row>
    <row r="7617" spans="1:5" ht="15" customHeight="1" outlineLevel="2" x14ac:dyDescent="0.25">
      <c r="A7617" s="3" t="str">
        <f>HYPERLINK("http://mystore1.ru/price_items/search?utf8=%E2%9C%93&amp;oem=7240LGPC2RQO","7240LGPC2RQO")</f>
        <v>7240LGPC2RQO</v>
      </c>
      <c r="B7617" s="1" t="s">
        <v>14511</v>
      </c>
      <c r="C7617" s="9" t="s">
        <v>1625</v>
      </c>
      <c r="D7617" s="14" t="s">
        <v>14512</v>
      </c>
      <c r="E7617" s="9" t="s">
        <v>11</v>
      </c>
    </row>
    <row r="7618" spans="1:5" ht="15" customHeight="1" outlineLevel="2" x14ac:dyDescent="0.25">
      <c r="A7618" s="3" t="str">
        <f>HYPERLINK("http://mystore1.ru/price_items/search?utf8=%E2%9C%93&amp;oem=7240RGNC2FD","7240RGNC2FD")</f>
        <v>7240RGNC2FD</v>
      </c>
      <c r="B7618" s="1" t="s">
        <v>14513</v>
      </c>
      <c r="C7618" s="9" t="s">
        <v>1625</v>
      </c>
      <c r="D7618" s="14" t="s">
        <v>14514</v>
      </c>
      <c r="E7618" s="9" t="s">
        <v>11</v>
      </c>
    </row>
    <row r="7619" spans="1:5" ht="15" customHeight="1" outlineLevel="2" x14ac:dyDescent="0.25">
      <c r="A7619" s="3" t="str">
        <f>HYPERLINK("http://mystore1.ru/price_items/search?utf8=%E2%9C%93&amp;oem=7240RGNC2RQO","7240RGNC2RQO")</f>
        <v>7240RGNC2RQO</v>
      </c>
      <c r="B7619" s="1" t="s">
        <v>14515</v>
      </c>
      <c r="C7619" s="9" t="s">
        <v>1625</v>
      </c>
      <c r="D7619" s="14" t="s">
        <v>14516</v>
      </c>
      <c r="E7619" s="9" t="s">
        <v>11</v>
      </c>
    </row>
    <row r="7620" spans="1:5" ht="15" customHeight="1" outlineLevel="2" x14ac:dyDescent="0.25">
      <c r="A7620" s="3" t="str">
        <f>HYPERLINK("http://mystore1.ru/price_items/search?utf8=%E2%9C%93&amp;oem=7240RGNT2RQOW","7240RGNT2RQOW")</f>
        <v>7240RGNT2RQOW</v>
      </c>
      <c r="B7620" s="1" t="s">
        <v>14517</v>
      </c>
      <c r="C7620" s="9" t="s">
        <v>1625</v>
      </c>
      <c r="D7620" s="14" t="s">
        <v>14518</v>
      </c>
      <c r="E7620" s="9" t="s">
        <v>11</v>
      </c>
    </row>
    <row r="7621" spans="1:5" ht="15" customHeight="1" outlineLevel="2" x14ac:dyDescent="0.25">
      <c r="A7621" s="3" t="str">
        <f>HYPERLINK("http://mystore1.ru/price_items/search?utf8=%E2%9C%93&amp;oem=7240RGPC2RQO","7240RGPC2RQO")</f>
        <v>7240RGPC2RQO</v>
      </c>
      <c r="B7621" s="1" t="s">
        <v>14519</v>
      </c>
      <c r="C7621" s="9" t="s">
        <v>1625</v>
      </c>
      <c r="D7621" s="14" t="s">
        <v>14520</v>
      </c>
      <c r="E7621" s="9" t="s">
        <v>11</v>
      </c>
    </row>
    <row r="7622" spans="1:5" outlineLevel="1" x14ac:dyDescent="0.25">
      <c r="A7622" s="2"/>
      <c r="B7622" s="6" t="s">
        <v>14521</v>
      </c>
      <c r="C7622" s="8"/>
      <c r="D7622" s="8"/>
      <c r="E7622" s="8"/>
    </row>
    <row r="7623" spans="1:5" ht="15" customHeight="1" outlineLevel="2" x14ac:dyDescent="0.25">
      <c r="A7623" s="3" t="str">
        <f>HYPERLINK("http://mystore1.ru/price_items/search?utf8=%E2%9C%93&amp;oem=7260AGAMV1R","7260AGAMV1R")</f>
        <v>7260AGAMV1R</v>
      </c>
      <c r="B7623" s="1" t="s">
        <v>14522</v>
      </c>
      <c r="C7623" s="9" t="s">
        <v>4782</v>
      </c>
      <c r="D7623" s="14" t="s">
        <v>14523</v>
      </c>
      <c r="E7623" s="9" t="s">
        <v>8</v>
      </c>
    </row>
    <row r="7624" spans="1:5" ht="15" customHeight="1" outlineLevel="2" x14ac:dyDescent="0.25">
      <c r="A7624" s="3" t="str">
        <f>HYPERLINK("http://mystore1.ru/price_items/search?utf8=%E2%9C%93&amp;oem=7260AGAV1M","7260AGAV1M")</f>
        <v>7260AGAV1M</v>
      </c>
      <c r="B7624" s="1" t="s">
        <v>14524</v>
      </c>
      <c r="C7624" s="9" t="s">
        <v>4782</v>
      </c>
      <c r="D7624" s="14" t="s">
        <v>14525</v>
      </c>
      <c r="E7624" s="9" t="s">
        <v>8</v>
      </c>
    </row>
    <row r="7625" spans="1:5" ht="15" customHeight="1" outlineLevel="2" x14ac:dyDescent="0.25">
      <c r="A7625" s="3" t="str">
        <f>HYPERLINK("http://mystore1.ru/price_items/search?utf8=%E2%9C%93&amp;oem=7260AGSMV1R","7260AGSMV1R")</f>
        <v>7260AGSMV1R</v>
      </c>
      <c r="B7625" s="1" t="s">
        <v>14526</v>
      </c>
      <c r="C7625" s="9" t="s">
        <v>4782</v>
      </c>
      <c r="D7625" s="14" t="s">
        <v>14523</v>
      </c>
      <c r="E7625" s="9" t="s">
        <v>8</v>
      </c>
    </row>
    <row r="7626" spans="1:5" ht="15" customHeight="1" outlineLevel="2" x14ac:dyDescent="0.25">
      <c r="A7626" s="3" t="str">
        <f>HYPERLINK("http://mystore1.ru/price_items/search?utf8=%E2%9C%93&amp;oem=7260AGSV1M","7260AGSV1M")</f>
        <v>7260AGSV1M</v>
      </c>
      <c r="B7626" s="1" t="s">
        <v>14527</v>
      </c>
      <c r="C7626" s="9" t="s">
        <v>4782</v>
      </c>
      <c r="D7626" s="14" t="s">
        <v>14528</v>
      </c>
      <c r="E7626" s="9" t="s">
        <v>8</v>
      </c>
    </row>
    <row r="7627" spans="1:5" ht="15" customHeight="1" outlineLevel="2" x14ac:dyDescent="0.25">
      <c r="A7627" s="3" t="str">
        <f>HYPERLINK("http://mystore1.ru/price_items/search?utf8=%E2%9C%93&amp;oem=7260ASMH","7260ASMH")</f>
        <v>7260ASMH</v>
      </c>
      <c r="B7627" s="1" t="s">
        <v>14529</v>
      </c>
      <c r="C7627" s="9" t="s">
        <v>25</v>
      </c>
      <c r="D7627" s="14" t="s">
        <v>14530</v>
      </c>
      <c r="E7627" s="9" t="s">
        <v>27</v>
      </c>
    </row>
    <row r="7628" spans="1:5" ht="15" customHeight="1" outlineLevel="2" x14ac:dyDescent="0.25">
      <c r="A7628" s="3" t="str">
        <f>HYPERLINK("http://mystore1.ru/price_items/search?utf8=%E2%9C%93&amp;oem=7260BGSE","7260BGSE")</f>
        <v>7260BGSE</v>
      </c>
      <c r="B7628" s="1" t="s">
        <v>14531</v>
      </c>
      <c r="C7628" s="9" t="s">
        <v>1362</v>
      </c>
      <c r="D7628" s="14" t="s">
        <v>14532</v>
      </c>
      <c r="E7628" s="9" t="s">
        <v>30</v>
      </c>
    </row>
    <row r="7629" spans="1:5" ht="15" customHeight="1" outlineLevel="2" x14ac:dyDescent="0.25">
      <c r="A7629" s="3" t="str">
        <f>HYPERLINK("http://mystore1.ru/price_items/search?utf8=%E2%9C%93&amp;oem=7260BGSEOW","7260BGSEOW")</f>
        <v>7260BGSEOW</v>
      </c>
      <c r="B7629" s="1" t="s">
        <v>14533</v>
      </c>
      <c r="C7629" s="9" t="s">
        <v>1362</v>
      </c>
      <c r="D7629" s="14" t="s">
        <v>14534</v>
      </c>
      <c r="E7629" s="9" t="s">
        <v>30</v>
      </c>
    </row>
    <row r="7630" spans="1:5" ht="15" customHeight="1" outlineLevel="2" x14ac:dyDescent="0.25">
      <c r="A7630" s="3" t="str">
        <f>HYPERLINK("http://mystore1.ru/price_items/search?utf8=%E2%9C%93&amp;oem=7260BGSH","7260BGSH")</f>
        <v>7260BGSH</v>
      </c>
      <c r="B7630" s="1" t="s">
        <v>14535</v>
      </c>
      <c r="C7630" s="9" t="s">
        <v>4782</v>
      </c>
      <c r="D7630" s="14" t="s">
        <v>14536</v>
      </c>
      <c r="E7630" s="9" t="s">
        <v>30</v>
      </c>
    </row>
    <row r="7631" spans="1:5" ht="15" customHeight="1" outlineLevel="2" x14ac:dyDescent="0.25">
      <c r="A7631" s="3" t="str">
        <f>HYPERLINK("http://mystore1.ru/price_items/search?utf8=%E2%9C%93&amp;oem=7260BGSSB","7260BGSSB")</f>
        <v>7260BGSSB</v>
      </c>
      <c r="B7631" s="1" t="s">
        <v>14537</v>
      </c>
      <c r="C7631" s="9" t="s">
        <v>1362</v>
      </c>
      <c r="D7631" s="14" t="s">
        <v>14538</v>
      </c>
      <c r="E7631" s="9" t="s">
        <v>30</v>
      </c>
    </row>
    <row r="7632" spans="1:5" ht="15" customHeight="1" outlineLevel="2" x14ac:dyDescent="0.25">
      <c r="A7632" s="3" t="str">
        <f>HYPERLINK("http://mystore1.ru/price_items/search?utf8=%E2%9C%93&amp;oem=7260LGSE5RD","7260LGSE5RD")</f>
        <v>7260LGSE5RD</v>
      </c>
      <c r="B7632" s="1" t="s">
        <v>14539</v>
      </c>
      <c r="C7632" s="9" t="s">
        <v>1362</v>
      </c>
      <c r="D7632" s="14" t="s">
        <v>14540</v>
      </c>
      <c r="E7632" s="9" t="s">
        <v>11</v>
      </c>
    </row>
    <row r="7633" spans="1:5" ht="15" customHeight="1" outlineLevel="2" x14ac:dyDescent="0.25">
      <c r="A7633" s="3" t="str">
        <f>HYPERLINK("http://mystore1.ru/price_items/search?utf8=%E2%9C%93&amp;oem=7260LGSH3FD","7260LGSH3FD")</f>
        <v>7260LGSH3FD</v>
      </c>
      <c r="B7633" s="1" t="s">
        <v>14541</v>
      </c>
      <c r="C7633" s="9" t="s">
        <v>4782</v>
      </c>
      <c r="D7633" s="14" t="s">
        <v>14542</v>
      </c>
      <c r="E7633" s="9" t="s">
        <v>11</v>
      </c>
    </row>
    <row r="7634" spans="1:5" ht="15" customHeight="1" outlineLevel="2" x14ac:dyDescent="0.25">
      <c r="A7634" s="3" t="str">
        <f>HYPERLINK("http://mystore1.ru/price_items/search?utf8=%E2%9C%93&amp;oem=7260LGSH5FD","7260LGSH5FD")</f>
        <v>7260LGSH5FD</v>
      </c>
      <c r="B7634" s="1" t="s">
        <v>14543</v>
      </c>
      <c r="C7634" s="9" t="s">
        <v>4782</v>
      </c>
      <c r="D7634" s="14" t="s">
        <v>14542</v>
      </c>
      <c r="E7634" s="9" t="s">
        <v>11</v>
      </c>
    </row>
    <row r="7635" spans="1:5" ht="15" customHeight="1" outlineLevel="2" x14ac:dyDescent="0.25">
      <c r="A7635" s="3" t="str">
        <f>HYPERLINK("http://mystore1.ru/price_items/search?utf8=%E2%9C%93&amp;oem=7260LGSH5RD","7260LGSH5RD")</f>
        <v>7260LGSH5RD</v>
      </c>
      <c r="B7635" s="1" t="s">
        <v>14544</v>
      </c>
      <c r="C7635" s="9" t="s">
        <v>4782</v>
      </c>
      <c r="D7635" s="14" t="s">
        <v>14545</v>
      </c>
      <c r="E7635" s="9" t="s">
        <v>11</v>
      </c>
    </row>
    <row r="7636" spans="1:5" ht="15" customHeight="1" outlineLevel="2" x14ac:dyDescent="0.25">
      <c r="A7636" s="3" t="str">
        <f>HYPERLINK("http://mystore1.ru/price_items/search?utf8=%E2%9C%93&amp;oem=7260LGSH5RV","7260LGSH5RV")</f>
        <v>7260LGSH5RV</v>
      </c>
      <c r="B7636" s="1" t="s">
        <v>14546</v>
      </c>
      <c r="C7636" s="9" t="s">
        <v>4782</v>
      </c>
      <c r="D7636" s="14" t="s">
        <v>14547</v>
      </c>
      <c r="E7636" s="9" t="s">
        <v>11</v>
      </c>
    </row>
    <row r="7637" spans="1:5" ht="15" customHeight="1" outlineLevel="2" x14ac:dyDescent="0.25">
      <c r="A7637" s="3" t="str">
        <f>HYPERLINK("http://mystore1.ru/price_items/search?utf8=%E2%9C%93&amp;oem=7260LGSS4RD","7260LGSS4RD")</f>
        <v>7260LGSS4RD</v>
      </c>
      <c r="B7637" s="1" t="s">
        <v>14548</v>
      </c>
      <c r="C7637" s="9" t="s">
        <v>1362</v>
      </c>
      <c r="D7637" s="14" t="s">
        <v>14549</v>
      </c>
      <c r="E7637" s="9" t="s">
        <v>11</v>
      </c>
    </row>
    <row r="7638" spans="1:5" ht="15" customHeight="1" outlineLevel="2" x14ac:dyDescent="0.25">
      <c r="A7638" s="3" t="str">
        <f>HYPERLINK("http://mystore1.ru/price_items/search?utf8=%E2%9C%93&amp;oem=7260LGSS4RV","7260LGSS4RV")</f>
        <v>7260LGSS4RV</v>
      </c>
      <c r="B7638" s="1" t="s">
        <v>14550</v>
      </c>
      <c r="C7638" s="9" t="s">
        <v>1362</v>
      </c>
      <c r="D7638" s="14" t="s">
        <v>14551</v>
      </c>
      <c r="E7638" s="9" t="s">
        <v>11</v>
      </c>
    </row>
    <row r="7639" spans="1:5" ht="15" customHeight="1" outlineLevel="2" x14ac:dyDescent="0.25">
      <c r="A7639" s="3" t="str">
        <f>HYPERLINK("http://mystore1.ru/price_items/search?utf8=%E2%9C%93&amp;oem=7260RGSE5RD","7260RGSE5RD")</f>
        <v>7260RGSE5RD</v>
      </c>
      <c r="B7639" s="1" t="s">
        <v>14552</v>
      </c>
      <c r="C7639" s="9" t="s">
        <v>1362</v>
      </c>
      <c r="D7639" s="14" t="s">
        <v>14553</v>
      </c>
      <c r="E7639" s="9" t="s">
        <v>11</v>
      </c>
    </row>
    <row r="7640" spans="1:5" ht="15" customHeight="1" outlineLevel="2" x14ac:dyDescent="0.25">
      <c r="A7640" s="3" t="str">
        <f>HYPERLINK("http://mystore1.ru/price_items/search?utf8=%E2%9C%93&amp;oem=7260RGSH3FD","7260RGSH3FD")</f>
        <v>7260RGSH3FD</v>
      </c>
      <c r="B7640" s="1" t="s">
        <v>14554</v>
      </c>
      <c r="C7640" s="9" t="s">
        <v>4782</v>
      </c>
      <c r="D7640" s="14" t="s">
        <v>14555</v>
      </c>
      <c r="E7640" s="9" t="s">
        <v>11</v>
      </c>
    </row>
    <row r="7641" spans="1:5" ht="15" customHeight="1" outlineLevel="2" x14ac:dyDescent="0.25">
      <c r="A7641" s="3" t="str">
        <f>HYPERLINK("http://mystore1.ru/price_items/search?utf8=%E2%9C%93&amp;oem=7260RGSH5FD","7260RGSH5FD")</f>
        <v>7260RGSH5FD</v>
      </c>
      <c r="B7641" s="1" t="s">
        <v>14556</v>
      </c>
      <c r="C7641" s="9" t="s">
        <v>4782</v>
      </c>
      <c r="D7641" s="14" t="s">
        <v>14555</v>
      </c>
      <c r="E7641" s="9" t="s">
        <v>11</v>
      </c>
    </row>
    <row r="7642" spans="1:5" ht="15" customHeight="1" outlineLevel="2" x14ac:dyDescent="0.25">
      <c r="A7642" s="3" t="str">
        <f>HYPERLINK("http://mystore1.ru/price_items/search?utf8=%E2%9C%93&amp;oem=7260RGSH5RD","7260RGSH5RD")</f>
        <v>7260RGSH5RD</v>
      </c>
      <c r="B7642" s="1" t="s">
        <v>14557</v>
      </c>
      <c r="C7642" s="9" t="s">
        <v>4782</v>
      </c>
      <c r="D7642" s="14" t="s">
        <v>14558</v>
      </c>
      <c r="E7642" s="9" t="s">
        <v>11</v>
      </c>
    </row>
    <row r="7643" spans="1:5" ht="15" customHeight="1" outlineLevel="2" x14ac:dyDescent="0.25">
      <c r="A7643" s="3" t="str">
        <f>HYPERLINK("http://mystore1.ru/price_items/search?utf8=%E2%9C%93&amp;oem=7260RGSH5RV","7260RGSH5RV")</f>
        <v>7260RGSH5RV</v>
      </c>
      <c r="B7643" s="1" t="s">
        <v>14559</v>
      </c>
      <c r="C7643" s="9" t="s">
        <v>4782</v>
      </c>
      <c r="D7643" s="14" t="s">
        <v>14560</v>
      </c>
      <c r="E7643" s="9" t="s">
        <v>11</v>
      </c>
    </row>
    <row r="7644" spans="1:5" ht="15" customHeight="1" outlineLevel="2" x14ac:dyDescent="0.25">
      <c r="A7644" s="3" t="str">
        <f>HYPERLINK("http://mystore1.ru/price_items/search?utf8=%E2%9C%93&amp;oem=7260RGSS4RD","7260RGSS4RD")</f>
        <v>7260RGSS4RD</v>
      </c>
      <c r="B7644" s="1" t="s">
        <v>14561</v>
      </c>
      <c r="C7644" s="9" t="s">
        <v>1362</v>
      </c>
      <c r="D7644" s="14" t="s">
        <v>14562</v>
      </c>
      <c r="E7644" s="9" t="s">
        <v>11</v>
      </c>
    </row>
    <row r="7645" spans="1:5" ht="15" customHeight="1" outlineLevel="2" x14ac:dyDescent="0.25">
      <c r="A7645" s="3" t="str">
        <f>HYPERLINK("http://mystore1.ru/price_items/search?utf8=%E2%9C%93&amp;oem=7260RGSS4RV","7260RGSS4RV")</f>
        <v>7260RGSS4RV</v>
      </c>
      <c r="B7645" s="1" t="s">
        <v>14563</v>
      </c>
      <c r="C7645" s="9" t="s">
        <v>1362</v>
      </c>
      <c r="D7645" s="14" t="s">
        <v>14564</v>
      </c>
      <c r="E7645" s="9" t="s">
        <v>11</v>
      </c>
    </row>
    <row r="7646" spans="1:5" outlineLevel="1" x14ac:dyDescent="0.25">
      <c r="A7646" s="2"/>
      <c r="B7646" s="6" t="s">
        <v>14565</v>
      </c>
      <c r="C7646" s="8"/>
      <c r="D7646" s="8"/>
      <c r="E7646" s="8"/>
    </row>
    <row r="7647" spans="1:5" ht="15" customHeight="1" outlineLevel="2" x14ac:dyDescent="0.25">
      <c r="A7647" s="3" t="str">
        <f>HYPERLINK("http://mystore1.ru/price_items/search?utf8=%E2%9C%93&amp;oem=7275BGNC","7275BGNC")</f>
        <v>7275BGNC</v>
      </c>
      <c r="B7647" s="1" t="s">
        <v>14566</v>
      </c>
      <c r="C7647" s="9" t="s">
        <v>642</v>
      </c>
      <c r="D7647" s="14" t="s">
        <v>14567</v>
      </c>
      <c r="E7647" s="9" t="s">
        <v>11</v>
      </c>
    </row>
    <row r="7648" spans="1:5" ht="15" customHeight="1" outlineLevel="2" x14ac:dyDescent="0.25">
      <c r="A7648" s="3" t="str">
        <f>HYPERLINK("http://mystore1.ru/price_items/search?utf8=%E2%9C%93&amp;oem=7275BGNCA","7275BGNCA")</f>
        <v>7275BGNCA</v>
      </c>
      <c r="B7648" s="1" t="s">
        <v>14568</v>
      </c>
      <c r="C7648" s="9" t="s">
        <v>642</v>
      </c>
      <c r="D7648" s="14" t="s">
        <v>14569</v>
      </c>
      <c r="E7648" s="9" t="s">
        <v>11</v>
      </c>
    </row>
    <row r="7649" spans="1:5" ht="15" customHeight="1" outlineLevel="2" x14ac:dyDescent="0.25">
      <c r="A7649" s="3" t="str">
        <f>HYPERLINK("http://mystore1.ru/price_items/search?utf8=%E2%9C%93&amp;oem=7275LGNC2FDW","7275LGNC2FDW")</f>
        <v>7275LGNC2FDW</v>
      </c>
      <c r="B7649" s="1" t="s">
        <v>14570</v>
      </c>
      <c r="C7649" s="9" t="s">
        <v>642</v>
      </c>
      <c r="D7649" s="14" t="s">
        <v>14571</v>
      </c>
      <c r="E7649" s="9" t="s">
        <v>11</v>
      </c>
    </row>
    <row r="7650" spans="1:5" ht="15" customHeight="1" outlineLevel="2" x14ac:dyDescent="0.25">
      <c r="A7650" s="3" t="str">
        <f>HYPERLINK("http://mystore1.ru/price_items/search?utf8=%E2%9C%93&amp;oem=7275RGNC2FDW","7275RGNC2FDW")</f>
        <v>7275RGNC2FDW</v>
      </c>
      <c r="B7650" s="1" t="s">
        <v>14572</v>
      </c>
      <c r="C7650" s="9" t="s">
        <v>642</v>
      </c>
      <c r="D7650" s="14" t="s">
        <v>14573</v>
      </c>
      <c r="E7650" s="9" t="s">
        <v>11</v>
      </c>
    </row>
    <row r="7651" spans="1:5" outlineLevel="1" x14ac:dyDescent="0.25">
      <c r="A7651" s="2"/>
      <c r="B7651" s="6" t="s">
        <v>14574</v>
      </c>
      <c r="C7651" s="8"/>
      <c r="D7651" s="8"/>
      <c r="E7651" s="8"/>
    </row>
    <row r="7652" spans="1:5" ht="15" customHeight="1" outlineLevel="2" x14ac:dyDescent="0.25">
      <c r="A7652" s="3" t="str">
        <f>HYPERLINK("http://mystore1.ru/price_items/search?utf8=%E2%9C%93&amp;oem=7279AGNMV1P","7279AGNMV1P")</f>
        <v>7279AGNMV1P</v>
      </c>
      <c r="B7652" s="1" t="s">
        <v>14575</v>
      </c>
      <c r="C7652" s="9" t="s">
        <v>642</v>
      </c>
      <c r="D7652" s="14" t="s">
        <v>14576</v>
      </c>
      <c r="E7652" s="9" t="s">
        <v>8</v>
      </c>
    </row>
    <row r="7653" spans="1:5" ht="15" customHeight="1" outlineLevel="2" x14ac:dyDescent="0.25">
      <c r="A7653" s="3" t="str">
        <f>HYPERLINK("http://mystore1.ru/price_items/search?utf8=%E2%9C%93&amp;oem=7279AGNV1M","7279AGNV1M")</f>
        <v>7279AGNV1M</v>
      </c>
      <c r="B7653" s="1" t="s">
        <v>14577</v>
      </c>
      <c r="C7653" s="9" t="s">
        <v>642</v>
      </c>
      <c r="D7653" s="14" t="s">
        <v>14578</v>
      </c>
      <c r="E7653" s="9" t="s">
        <v>8</v>
      </c>
    </row>
    <row r="7654" spans="1:5" ht="15" customHeight="1" outlineLevel="2" x14ac:dyDescent="0.25">
      <c r="A7654" s="3" t="str">
        <f>HYPERLINK("http://mystore1.ru/price_items/search?utf8=%E2%9C%93&amp;oem=7279AGAMV1P","7279AGAMV1P")</f>
        <v>7279AGAMV1P</v>
      </c>
      <c r="B7654" s="1" t="s">
        <v>14579</v>
      </c>
      <c r="C7654" s="9" t="s">
        <v>642</v>
      </c>
      <c r="D7654" s="14" t="s">
        <v>14580</v>
      </c>
      <c r="E7654" s="9" t="s">
        <v>8</v>
      </c>
    </row>
    <row r="7655" spans="1:5" ht="15" customHeight="1" outlineLevel="2" x14ac:dyDescent="0.25">
      <c r="A7655" s="3" t="str">
        <f>HYPERLINK("http://mystore1.ru/price_items/search?utf8=%E2%9C%93&amp;oem=7279AGAV1M","7279AGAV1M")</f>
        <v>7279AGAV1M</v>
      </c>
      <c r="B7655" s="1" t="s">
        <v>14581</v>
      </c>
      <c r="C7655" s="9" t="s">
        <v>642</v>
      </c>
      <c r="D7655" s="14" t="s">
        <v>14582</v>
      </c>
      <c r="E7655" s="9" t="s">
        <v>8</v>
      </c>
    </row>
    <row r="7656" spans="1:5" ht="15" customHeight="1" outlineLevel="2" x14ac:dyDescent="0.25">
      <c r="A7656" s="3" t="str">
        <f>HYPERLINK("http://mystore1.ru/price_items/search?utf8=%E2%9C%93&amp;oem=7279AGNMV7I","7279AGNMV7I")</f>
        <v>7279AGNMV7I</v>
      </c>
      <c r="B7656" s="1" t="s">
        <v>14583</v>
      </c>
      <c r="C7656" s="9" t="s">
        <v>601</v>
      </c>
      <c r="D7656" s="14" t="s">
        <v>14584</v>
      </c>
      <c r="E7656" s="9" t="s">
        <v>8</v>
      </c>
    </row>
    <row r="7657" spans="1:5" ht="15" customHeight="1" outlineLevel="2" x14ac:dyDescent="0.25">
      <c r="A7657" s="3" t="str">
        <f>HYPERLINK("http://mystore1.ru/price_items/search?utf8=%E2%9C%93&amp;oem=7279AGNV6I","7279AGNV6I")</f>
        <v>7279AGNV6I</v>
      </c>
      <c r="B7657" s="1" t="s">
        <v>14585</v>
      </c>
      <c r="C7657" s="9" t="s">
        <v>601</v>
      </c>
      <c r="D7657" s="14" t="s">
        <v>14586</v>
      </c>
      <c r="E7657" s="9" t="s">
        <v>8</v>
      </c>
    </row>
    <row r="7658" spans="1:5" ht="15" customHeight="1" outlineLevel="2" x14ac:dyDescent="0.25">
      <c r="A7658" s="3" t="str">
        <f>HYPERLINK("http://mystore1.ru/price_items/search?utf8=%E2%9C%93&amp;oem=7279BGNH","7279BGNH")</f>
        <v>7279BGNH</v>
      </c>
      <c r="B7658" s="1" t="s">
        <v>14587</v>
      </c>
      <c r="C7658" s="9" t="s">
        <v>642</v>
      </c>
      <c r="D7658" s="14" t="s">
        <v>14588</v>
      </c>
      <c r="E7658" s="9" t="s">
        <v>11</v>
      </c>
    </row>
    <row r="7659" spans="1:5" ht="15" customHeight="1" outlineLevel="2" x14ac:dyDescent="0.25">
      <c r="A7659" s="3" t="str">
        <f>HYPERLINK("http://mystore1.ru/price_items/search?utf8=%E2%9C%93&amp;oem=7279BGNHA","7279BGNHA")</f>
        <v>7279BGNHA</v>
      </c>
      <c r="B7659" s="1" t="s">
        <v>14589</v>
      </c>
      <c r="C7659" s="9" t="s">
        <v>642</v>
      </c>
      <c r="D7659" s="14" t="s">
        <v>14590</v>
      </c>
      <c r="E7659" s="9" t="s">
        <v>11</v>
      </c>
    </row>
    <row r="7660" spans="1:5" ht="15" customHeight="1" outlineLevel="2" x14ac:dyDescent="0.25">
      <c r="A7660" s="3" t="str">
        <f>HYPERLINK("http://mystore1.ru/price_items/search?utf8=%E2%9C%93&amp;oem=7279LGNE5RDW","7279LGNE5RDW")</f>
        <v>7279LGNE5RDW</v>
      </c>
      <c r="B7660" s="1" t="s">
        <v>14591</v>
      </c>
      <c r="C7660" s="9" t="s">
        <v>642</v>
      </c>
      <c r="D7660" s="14" t="s">
        <v>14592</v>
      </c>
      <c r="E7660" s="9" t="s">
        <v>11</v>
      </c>
    </row>
    <row r="7661" spans="1:5" ht="15" customHeight="1" outlineLevel="2" x14ac:dyDescent="0.25">
      <c r="A7661" s="3" t="str">
        <f>HYPERLINK("http://mystore1.ru/price_items/search?utf8=%E2%9C%93&amp;oem=7279RGNE5RDW","7279RGNE5RDW")</f>
        <v>7279RGNE5RDW</v>
      </c>
      <c r="B7661" s="1" t="s">
        <v>14593</v>
      </c>
      <c r="C7661" s="9" t="s">
        <v>642</v>
      </c>
      <c r="D7661" s="14" t="s">
        <v>14594</v>
      </c>
      <c r="E7661" s="9" t="s">
        <v>11</v>
      </c>
    </row>
    <row r="7662" spans="1:5" outlineLevel="1" x14ac:dyDescent="0.25">
      <c r="A7662" s="2"/>
      <c r="B7662" s="6" t="s">
        <v>14595</v>
      </c>
      <c r="C7662" s="8"/>
      <c r="D7662" s="8"/>
      <c r="E7662" s="8"/>
    </row>
    <row r="7663" spans="1:5" ht="15" customHeight="1" outlineLevel="2" x14ac:dyDescent="0.25">
      <c r="A7663" s="3" t="str">
        <f>HYPERLINK("http://mystore1.ru/price_items/search?utf8=%E2%9C%93&amp;oem=7245ACC1B","7245ACC1B")</f>
        <v>7245ACC1B</v>
      </c>
      <c r="B7663" s="1" t="s">
        <v>14596</v>
      </c>
      <c r="C7663" s="9" t="s">
        <v>420</v>
      </c>
      <c r="D7663" s="14" t="s">
        <v>14597</v>
      </c>
      <c r="E7663" s="9" t="s">
        <v>8</v>
      </c>
    </row>
    <row r="7664" spans="1:5" ht="15" customHeight="1" outlineLevel="2" x14ac:dyDescent="0.25">
      <c r="A7664" s="3" t="str">
        <f>HYPERLINK("http://mystore1.ru/price_items/search?utf8=%E2%9C%93&amp;oem=7245ACC1R","7245ACC1R")</f>
        <v>7245ACC1R</v>
      </c>
      <c r="B7664" s="1" t="s">
        <v>14598</v>
      </c>
      <c r="C7664" s="9" t="s">
        <v>420</v>
      </c>
      <c r="D7664" s="14" t="s">
        <v>14599</v>
      </c>
      <c r="E7664" s="9" t="s">
        <v>8</v>
      </c>
    </row>
    <row r="7665" spans="1:5" ht="15" customHeight="1" outlineLevel="2" x14ac:dyDescent="0.25">
      <c r="A7665" s="3" t="str">
        <f>HYPERLINK("http://mystore1.ru/price_items/search?utf8=%E2%9C%93&amp;oem=7245AGN","7245AGN")</f>
        <v>7245AGN</v>
      </c>
      <c r="B7665" s="1" t="s">
        <v>14600</v>
      </c>
      <c r="C7665" s="9" t="s">
        <v>420</v>
      </c>
      <c r="D7665" s="14" t="s">
        <v>14601</v>
      </c>
      <c r="E7665" s="9" t="s">
        <v>8</v>
      </c>
    </row>
    <row r="7666" spans="1:5" ht="15" customHeight="1" outlineLevel="2" x14ac:dyDescent="0.25">
      <c r="A7666" s="3" t="str">
        <f>HYPERLINK("http://mystore1.ru/price_items/search?utf8=%E2%9C%93&amp;oem=7245AGN1R","7245AGN1R")</f>
        <v>7245AGN1R</v>
      </c>
      <c r="B7666" s="1" t="s">
        <v>14602</v>
      </c>
      <c r="C7666" s="9" t="s">
        <v>10118</v>
      </c>
      <c r="D7666" s="14" t="s">
        <v>14603</v>
      </c>
      <c r="E7666" s="9" t="s">
        <v>8</v>
      </c>
    </row>
    <row r="7667" spans="1:5" ht="15" customHeight="1" outlineLevel="2" x14ac:dyDescent="0.25">
      <c r="A7667" s="3" t="str">
        <f>HYPERLINK("http://mystore1.ru/price_items/search?utf8=%E2%9C%93&amp;oem=7245AGNGN","7245AGNGN")</f>
        <v>7245AGNGN</v>
      </c>
      <c r="B7667" s="1" t="s">
        <v>14604</v>
      </c>
      <c r="C7667" s="9" t="s">
        <v>420</v>
      </c>
      <c r="D7667" s="14" t="s">
        <v>14605</v>
      </c>
      <c r="E7667" s="9" t="s">
        <v>8</v>
      </c>
    </row>
    <row r="7668" spans="1:5" ht="15" customHeight="1" outlineLevel="2" x14ac:dyDescent="0.25">
      <c r="A7668" s="3" t="str">
        <f>HYPERLINK("http://mystore1.ru/price_items/search?utf8=%E2%9C%93&amp;oem=7245AGNH","7245AGNH")</f>
        <v>7245AGNH</v>
      </c>
      <c r="B7668" s="1" t="s">
        <v>14606</v>
      </c>
      <c r="C7668" s="9" t="s">
        <v>420</v>
      </c>
      <c r="D7668" s="14" t="s">
        <v>14607</v>
      </c>
      <c r="E7668" s="9" t="s">
        <v>8</v>
      </c>
    </row>
    <row r="7669" spans="1:5" ht="15" customHeight="1" outlineLevel="2" x14ac:dyDescent="0.25">
      <c r="A7669" s="3" t="str">
        <f>HYPERLINK("http://mystore1.ru/price_items/search?utf8=%E2%9C%93&amp;oem=7245AGNH1R","7245AGNH1R")</f>
        <v>7245AGNH1R</v>
      </c>
      <c r="B7669" s="1" t="s">
        <v>14608</v>
      </c>
      <c r="C7669" s="9" t="s">
        <v>420</v>
      </c>
      <c r="D7669" s="14" t="s">
        <v>14609</v>
      </c>
      <c r="E7669" s="9" t="s">
        <v>8</v>
      </c>
    </row>
    <row r="7670" spans="1:5" ht="15" customHeight="1" outlineLevel="2" x14ac:dyDescent="0.25">
      <c r="A7670" s="3" t="str">
        <f>HYPERLINK("http://mystore1.ru/price_items/search?utf8=%E2%9C%93&amp;oem=7245AKMV","7245AKMV")</f>
        <v>7245AKMV</v>
      </c>
      <c r="B7670" s="1" t="s">
        <v>14610</v>
      </c>
      <c r="C7670" s="9" t="s">
        <v>25</v>
      </c>
      <c r="D7670" s="14" t="s">
        <v>14611</v>
      </c>
      <c r="E7670" s="9" t="s">
        <v>27</v>
      </c>
    </row>
    <row r="7671" spans="1:5" ht="15" customHeight="1" outlineLevel="2" x14ac:dyDescent="0.25">
      <c r="A7671" s="3" t="str">
        <f>HYPERLINK("http://mystore1.ru/price_items/search?utf8=%E2%9C%93&amp;oem=7245BGNV","7245BGNV")</f>
        <v>7245BGNV</v>
      </c>
      <c r="B7671" s="1" t="s">
        <v>14612</v>
      </c>
      <c r="C7671" s="9" t="s">
        <v>420</v>
      </c>
      <c r="D7671" s="14" t="s">
        <v>14613</v>
      </c>
      <c r="E7671" s="9" t="s">
        <v>30</v>
      </c>
    </row>
    <row r="7672" spans="1:5" ht="15" customHeight="1" outlineLevel="2" x14ac:dyDescent="0.25">
      <c r="A7672" s="3" t="str">
        <f>HYPERLINK("http://mystore1.ru/price_items/search?utf8=%E2%9C%93&amp;oem=7245BGPV","7245BGPV")</f>
        <v>7245BGPV</v>
      </c>
      <c r="B7672" s="1" t="s">
        <v>14614</v>
      </c>
      <c r="C7672" s="9" t="s">
        <v>1147</v>
      </c>
      <c r="D7672" s="14" t="s">
        <v>14615</v>
      </c>
      <c r="E7672" s="9" t="s">
        <v>30</v>
      </c>
    </row>
    <row r="7673" spans="1:5" ht="15" customHeight="1" outlineLevel="2" x14ac:dyDescent="0.25">
      <c r="A7673" s="3" t="str">
        <f>HYPERLINK("http://mystore1.ru/price_items/search?utf8=%E2%9C%93&amp;oem=7245BGPVO","7245BGPVO")</f>
        <v>7245BGPVO</v>
      </c>
      <c r="B7673" s="1" t="s">
        <v>14616</v>
      </c>
      <c r="C7673" s="9" t="s">
        <v>1147</v>
      </c>
      <c r="D7673" s="14" t="s">
        <v>14617</v>
      </c>
      <c r="E7673" s="9" t="s">
        <v>30</v>
      </c>
    </row>
    <row r="7674" spans="1:5" ht="15" customHeight="1" outlineLevel="2" x14ac:dyDescent="0.25">
      <c r="A7674" s="3" t="str">
        <f>HYPERLINK("http://mystore1.ru/price_items/search?utf8=%E2%9C%93&amp;oem=7245BGSVO","7245BGSVO")</f>
        <v>7245BGSVO</v>
      </c>
      <c r="B7674" s="1" t="s">
        <v>14618</v>
      </c>
      <c r="C7674" s="9" t="s">
        <v>1147</v>
      </c>
      <c r="D7674" s="14" t="s">
        <v>14619</v>
      </c>
      <c r="E7674" s="9" t="s">
        <v>30</v>
      </c>
    </row>
    <row r="7675" spans="1:5" ht="15" customHeight="1" outlineLevel="2" x14ac:dyDescent="0.25">
      <c r="A7675" s="3" t="str">
        <f>HYPERLINK("http://mystore1.ru/price_items/search?utf8=%E2%9C%93&amp;oem=7245BGSVOW1J","7245BGSVOW1J")</f>
        <v>7245BGSVOW1J</v>
      </c>
      <c r="B7675" s="1" t="s">
        <v>14620</v>
      </c>
      <c r="C7675" s="9" t="s">
        <v>1154</v>
      </c>
      <c r="D7675" s="14" t="s">
        <v>14621</v>
      </c>
      <c r="E7675" s="9" t="s">
        <v>30</v>
      </c>
    </row>
    <row r="7676" spans="1:5" ht="15" customHeight="1" outlineLevel="2" x14ac:dyDescent="0.25">
      <c r="A7676" s="3" t="str">
        <f>HYPERLINK("http://mystore1.ru/price_items/search?utf8=%E2%9C%93&amp;oem=7245LGNV5FD","7245LGNV5FD")</f>
        <v>7245LGNV5FD</v>
      </c>
      <c r="B7676" s="1" t="s">
        <v>14622</v>
      </c>
      <c r="C7676" s="9" t="s">
        <v>420</v>
      </c>
      <c r="D7676" s="14" t="s">
        <v>14623</v>
      </c>
      <c r="E7676" s="9" t="s">
        <v>11</v>
      </c>
    </row>
    <row r="7677" spans="1:5" ht="15" customHeight="1" outlineLevel="2" x14ac:dyDescent="0.25">
      <c r="A7677" s="3" t="str">
        <f>HYPERLINK("http://mystore1.ru/price_items/search?utf8=%E2%9C%93&amp;oem=7245LGNV5FV","7245LGNV5FV")</f>
        <v>7245LGNV5FV</v>
      </c>
      <c r="B7677" s="1" t="s">
        <v>14624</v>
      </c>
      <c r="C7677" s="9" t="s">
        <v>420</v>
      </c>
      <c r="D7677" s="14" t="s">
        <v>14625</v>
      </c>
      <c r="E7677" s="9" t="s">
        <v>11</v>
      </c>
    </row>
    <row r="7678" spans="1:5" ht="15" customHeight="1" outlineLevel="2" x14ac:dyDescent="0.25">
      <c r="A7678" s="3" t="str">
        <f>HYPERLINK("http://mystore1.ru/price_items/search?utf8=%E2%9C%93&amp;oem=7245LGNV5RD","7245LGNV5RD")</f>
        <v>7245LGNV5RD</v>
      </c>
      <c r="B7678" s="1" t="s">
        <v>14626</v>
      </c>
      <c r="C7678" s="9" t="s">
        <v>420</v>
      </c>
      <c r="D7678" s="14" t="s">
        <v>14627</v>
      </c>
      <c r="E7678" s="9" t="s">
        <v>11</v>
      </c>
    </row>
    <row r="7679" spans="1:5" ht="15" customHeight="1" outlineLevel="2" x14ac:dyDescent="0.25">
      <c r="A7679" s="3" t="str">
        <f>HYPERLINK("http://mystore1.ru/price_items/search?utf8=%E2%9C%93&amp;oem=7245LGNV5RQZ","7245LGNV5RQZ")</f>
        <v>7245LGNV5RQZ</v>
      </c>
      <c r="B7679" s="1" t="s">
        <v>14628</v>
      </c>
      <c r="C7679" s="9" t="s">
        <v>1154</v>
      </c>
      <c r="D7679" s="14" t="s">
        <v>14629</v>
      </c>
      <c r="E7679" s="9" t="s">
        <v>11</v>
      </c>
    </row>
    <row r="7680" spans="1:5" ht="15" customHeight="1" outlineLevel="2" x14ac:dyDescent="0.25">
      <c r="A7680" s="3" t="str">
        <f>HYPERLINK("http://mystore1.ru/price_items/search?utf8=%E2%9C%93&amp;oem=7245LGPV5RD","7245LGPV5RD")</f>
        <v>7245LGPV5RD</v>
      </c>
      <c r="B7680" s="1" t="s">
        <v>14630</v>
      </c>
      <c r="C7680" s="9" t="s">
        <v>1147</v>
      </c>
      <c r="D7680" s="14" t="s">
        <v>14631</v>
      </c>
      <c r="E7680" s="9" t="s">
        <v>11</v>
      </c>
    </row>
    <row r="7681" spans="1:5" ht="15" customHeight="1" outlineLevel="2" x14ac:dyDescent="0.25">
      <c r="A7681" s="3" t="str">
        <f>HYPERLINK("http://mystore1.ru/price_items/search?utf8=%E2%9C%93&amp;oem=7245LGPV5RQZ","7245LGPV5RQZ")</f>
        <v>7245LGPV5RQZ</v>
      </c>
      <c r="B7681" s="1" t="s">
        <v>14632</v>
      </c>
      <c r="C7681" s="9" t="s">
        <v>1147</v>
      </c>
      <c r="D7681" s="14" t="s">
        <v>14633</v>
      </c>
      <c r="E7681" s="9" t="s">
        <v>11</v>
      </c>
    </row>
    <row r="7682" spans="1:5" ht="15" customHeight="1" outlineLevel="2" x14ac:dyDescent="0.25">
      <c r="A7682" s="3" t="str">
        <f>HYPERLINK("http://mystore1.ru/price_items/search?utf8=%E2%9C%93&amp;oem=7245LGSV5FD1H","7245LGSV5FD1H")</f>
        <v>7245LGSV5FD1H</v>
      </c>
      <c r="B7682" s="1" t="s">
        <v>14634</v>
      </c>
      <c r="C7682" s="9" t="s">
        <v>420</v>
      </c>
      <c r="D7682" s="14" t="s">
        <v>14623</v>
      </c>
      <c r="E7682" s="9" t="s">
        <v>11</v>
      </c>
    </row>
    <row r="7683" spans="1:5" ht="15" customHeight="1" outlineLevel="2" x14ac:dyDescent="0.25">
      <c r="A7683" s="3" t="str">
        <f>HYPERLINK("http://mystore1.ru/price_items/search?utf8=%E2%9C%93&amp;oem=7245RGNV5FD","7245RGNV5FD")</f>
        <v>7245RGNV5FD</v>
      </c>
      <c r="B7683" s="1" t="s">
        <v>14635</v>
      </c>
      <c r="C7683" s="9" t="s">
        <v>420</v>
      </c>
      <c r="D7683" s="14" t="s">
        <v>14636</v>
      </c>
      <c r="E7683" s="9" t="s">
        <v>11</v>
      </c>
    </row>
    <row r="7684" spans="1:5" ht="15" customHeight="1" outlineLevel="2" x14ac:dyDescent="0.25">
      <c r="A7684" s="3" t="str">
        <f>HYPERLINK("http://mystore1.ru/price_items/search?utf8=%E2%9C%93&amp;oem=7245RGNV5FV","7245RGNV5FV")</f>
        <v>7245RGNV5FV</v>
      </c>
      <c r="B7684" s="1" t="s">
        <v>14637</v>
      </c>
      <c r="C7684" s="9" t="s">
        <v>420</v>
      </c>
      <c r="D7684" s="14" t="s">
        <v>14638</v>
      </c>
      <c r="E7684" s="9" t="s">
        <v>11</v>
      </c>
    </row>
    <row r="7685" spans="1:5" ht="15" customHeight="1" outlineLevel="2" x14ac:dyDescent="0.25">
      <c r="A7685" s="3" t="str">
        <f>HYPERLINK("http://mystore1.ru/price_items/search?utf8=%E2%9C%93&amp;oem=7245RGNV5RD","7245RGNV5RD")</f>
        <v>7245RGNV5RD</v>
      </c>
      <c r="B7685" s="1" t="s">
        <v>14639</v>
      </c>
      <c r="C7685" s="9" t="s">
        <v>420</v>
      </c>
      <c r="D7685" s="14" t="s">
        <v>14640</v>
      </c>
      <c r="E7685" s="9" t="s">
        <v>11</v>
      </c>
    </row>
    <row r="7686" spans="1:5" ht="15" customHeight="1" outlineLevel="2" x14ac:dyDescent="0.25">
      <c r="A7686" s="3" t="str">
        <f>HYPERLINK("http://mystore1.ru/price_items/search?utf8=%E2%9C%93&amp;oem=7245RGNV5RQ","7245RGNV5RQ")</f>
        <v>7245RGNV5RQ</v>
      </c>
      <c r="B7686" s="1" t="s">
        <v>14641</v>
      </c>
      <c r="C7686" s="9" t="s">
        <v>420</v>
      </c>
      <c r="D7686" s="14" t="s">
        <v>14642</v>
      </c>
      <c r="E7686" s="9" t="s">
        <v>11</v>
      </c>
    </row>
    <row r="7687" spans="1:5" ht="15" customHeight="1" outlineLevel="2" x14ac:dyDescent="0.25">
      <c r="A7687" s="3" t="str">
        <f>HYPERLINK("http://mystore1.ru/price_items/search?utf8=%E2%9C%93&amp;oem=7245RGNV5RQZ","7245RGNV5RQZ")</f>
        <v>7245RGNV5RQZ</v>
      </c>
      <c r="B7687" s="1" t="s">
        <v>14643</v>
      </c>
      <c r="C7687" s="9" t="s">
        <v>1154</v>
      </c>
      <c r="D7687" s="14" t="s">
        <v>14644</v>
      </c>
      <c r="E7687" s="9" t="s">
        <v>11</v>
      </c>
    </row>
    <row r="7688" spans="1:5" ht="15" customHeight="1" outlineLevel="2" x14ac:dyDescent="0.25">
      <c r="A7688" s="3" t="str">
        <f>HYPERLINK("http://mystore1.ru/price_items/search?utf8=%E2%9C%93&amp;oem=7245RGPV5RD","7245RGPV5RD")</f>
        <v>7245RGPV5RD</v>
      </c>
      <c r="B7688" s="1" t="s">
        <v>14645</v>
      </c>
      <c r="C7688" s="9" t="s">
        <v>1147</v>
      </c>
      <c r="D7688" s="14" t="s">
        <v>14646</v>
      </c>
      <c r="E7688" s="9" t="s">
        <v>11</v>
      </c>
    </row>
    <row r="7689" spans="1:5" ht="15" customHeight="1" outlineLevel="2" x14ac:dyDescent="0.25">
      <c r="A7689" s="3" t="str">
        <f>HYPERLINK("http://mystore1.ru/price_items/search?utf8=%E2%9C%93&amp;oem=7245RGPV5RQZ","7245RGPV5RQZ")</f>
        <v>7245RGPV5RQZ</v>
      </c>
      <c r="B7689" s="1" t="s">
        <v>14647</v>
      </c>
      <c r="C7689" s="9" t="s">
        <v>1147</v>
      </c>
      <c r="D7689" s="14" t="s">
        <v>14648</v>
      </c>
      <c r="E7689" s="9" t="s">
        <v>11</v>
      </c>
    </row>
    <row r="7690" spans="1:5" ht="15" customHeight="1" outlineLevel="2" x14ac:dyDescent="0.25">
      <c r="A7690" s="3" t="str">
        <f>HYPERLINK("http://mystore1.ru/price_items/search?utf8=%E2%9C%93&amp;oem=7245RGSV5FD1H","7245RGSV5FD1H")</f>
        <v>7245RGSV5FD1H</v>
      </c>
      <c r="B7690" s="1" t="s">
        <v>14649</v>
      </c>
      <c r="C7690" s="9" t="s">
        <v>420</v>
      </c>
      <c r="D7690" s="14" t="s">
        <v>14650</v>
      </c>
      <c r="E7690" s="9" t="s">
        <v>11</v>
      </c>
    </row>
    <row r="7691" spans="1:5" outlineLevel="1" x14ac:dyDescent="0.25">
      <c r="A7691" s="2"/>
      <c r="B7691" s="6" t="s">
        <v>14651</v>
      </c>
      <c r="C7691" s="8"/>
      <c r="D7691" s="8"/>
      <c r="E7691" s="8"/>
    </row>
    <row r="7692" spans="1:5" ht="15" customHeight="1" outlineLevel="2" x14ac:dyDescent="0.25">
      <c r="A7692" s="3" t="str">
        <f>HYPERLINK("http://mystore1.ru/price_items/search?utf8=%E2%9C%93&amp;oem=7257AGSMV1R","7257AGSMV1R")</f>
        <v>7257AGSMV1R</v>
      </c>
      <c r="B7692" s="1" t="s">
        <v>14652</v>
      </c>
      <c r="C7692" s="9" t="s">
        <v>1362</v>
      </c>
      <c r="D7692" s="14" t="s">
        <v>14653</v>
      </c>
      <c r="E7692" s="9" t="s">
        <v>8</v>
      </c>
    </row>
    <row r="7693" spans="1:5" ht="15" customHeight="1" outlineLevel="2" x14ac:dyDescent="0.25">
      <c r="A7693" s="3" t="str">
        <f>HYPERLINK("http://mystore1.ru/price_items/search?utf8=%E2%9C%93&amp;oem=7257AGSV1M","7257AGSV1M")</f>
        <v>7257AGSV1M</v>
      </c>
      <c r="B7693" s="1" t="s">
        <v>14654</v>
      </c>
      <c r="C7693" s="9" t="s">
        <v>1362</v>
      </c>
      <c r="D7693" s="14" t="s">
        <v>14655</v>
      </c>
      <c r="E7693" s="9" t="s">
        <v>8</v>
      </c>
    </row>
    <row r="7694" spans="1:5" ht="15" customHeight="1" outlineLevel="2" x14ac:dyDescent="0.25">
      <c r="A7694" s="3" t="str">
        <f>HYPERLINK("http://mystore1.ru/price_items/search?utf8=%E2%9C%93&amp;oem=7257ACDMV1R","7257ACDMV1R")</f>
        <v>7257ACDMV1R</v>
      </c>
      <c r="B7694" s="1" t="s">
        <v>14656</v>
      </c>
      <c r="C7694" s="9" t="s">
        <v>1362</v>
      </c>
      <c r="D7694" s="14" t="s">
        <v>14657</v>
      </c>
      <c r="E7694" s="9" t="s">
        <v>8</v>
      </c>
    </row>
    <row r="7695" spans="1:5" ht="15" customHeight="1" outlineLevel="2" x14ac:dyDescent="0.25">
      <c r="A7695" s="3" t="str">
        <f>HYPERLINK("http://mystore1.ru/price_items/search?utf8=%E2%9C%93&amp;oem=7257ASMV","7257ASMV")</f>
        <v>7257ASMV</v>
      </c>
      <c r="B7695" s="1" t="s">
        <v>14658</v>
      </c>
      <c r="C7695" s="9" t="s">
        <v>25</v>
      </c>
      <c r="D7695" s="14" t="s">
        <v>14659</v>
      </c>
      <c r="E7695" s="9" t="s">
        <v>27</v>
      </c>
    </row>
    <row r="7696" spans="1:5" ht="15" customHeight="1" outlineLevel="2" x14ac:dyDescent="0.25">
      <c r="A7696" s="3" t="str">
        <f>HYPERLINK("http://mystore1.ru/price_items/search?utf8=%E2%9C%93&amp;oem=7257BGPV","7257BGPV")</f>
        <v>7257BGPV</v>
      </c>
      <c r="B7696" s="1" t="s">
        <v>14660</v>
      </c>
      <c r="C7696" s="9" t="s">
        <v>1362</v>
      </c>
      <c r="D7696" s="14" t="s">
        <v>14661</v>
      </c>
      <c r="E7696" s="9" t="s">
        <v>30</v>
      </c>
    </row>
    <row r="7697" spans="1:5" ht="15" customHeight="1" outlineLevel="2" x14ac:dyDescent="0.25">
      <c r="A7697" s="3" t="str">
        <f>HYPERLINK("http://mystore1.ru/price_items/search?utf8=%E2%9C%93&amp;oem=7257BGSV","7257BGSV")</f>
        <v>7257BGSV</v>
      </c>
      <c r="B7697" s="1" t="s">
        <v>14662</v>
      </c>
      <c r="C7697" s="9" t="s">
        <v>1362</v>
      </c>
      <c r="D7697" s="14" t="s">
        <v>14663</v>
      </c>
      <c r="E7697" s="9" t="s">
        <v>30</v>
      </c>
    </row>
    <row r="7698" spans="1:5" ht="15" customHeight="1" outlineLevel="2" x14ac:dyDescent="0.25">
      <c r="A7698" s="3" t="str">
        <f>HYPERLINK("http://mystore1.ru/price_items/search?utf8=%E2%9C%93&amp;oem=7257BGSVOW","7257BGSVOW")</f>
        <v>7257BGSVOW</v>
      </c>
      <c r="B7698" s="1" t="s">
        <v>14664</v>
      </c>
      <c r="C7698" s="9" t="s">
        <v>1362</v>
      </c>
      <c r="D7698" s="14" t="s">
        <v>14665</v>
      </c>
      <c r="E7698" s="9" t="s">
        <v>30</v>
      </c>
    </row>
    <row r="7699" spans="1:5" ht="15" customHeight="1" outlineLevel="2" x14ac:dyDescent="0.25">
      <c r="A7699" s="3" t="str">
        <f>HYPERLINK("http://mystore1.ru/price_items/search?utf8=%E2%9C%93&amp;oem=7257LGDV5RD","7257LGDV5RD")</f>
        <v>7257LGDV5RD</v>
      </c>
      <c r="B7699" s="1" t="s">
        <v>14666</v>
      </c>
      <c r="C7699" s="9" t="s">
        <v>1362</v>
      </c>
      <c r="D7699" s="14" t="s">
        <v>14667</v>
      </c>
      <c r="E7699" s="9" t="s">
        <v>11</v>
      </c>
    </row>
    <row r="7700" spans="1:5" ht="15" customHeight="1" outlineLevel="2" x14ac:dyDescent="0.25">
      <c r="A7700" s="3" t="str">
        <f>HYPERLINK("http://mystore1.ru/price_items/search?utf8=%E2%9C%93&amp;oem=7257LGSV5FD","7257LGSV5FD")</f>
        <v>7257LGSV5FD</v>
      </c>
      <c r="B7700" s="1" t="s">
        <v>14668</v>
      </c>
      <c r="C7700" s="9" t="s">
        <v>1362</v>
      </c>
      <c r="D7700" s="14" t="s">
        <v>14669</v>
      </c>
      <c r="E7700" s="9" t="s">
        <v>11</v>
      </c>
    </row>
    <row r="7701" spans="1:5" ht="15" customHeight="1" outlineLevel="2" x14ac:dyDescent="0.25">
      <c r="A7701" s="3" t="str">
        <f>HYPERLINK("http://mystore1.ru/price_items/search?utf8=%E2%9C%93&amp;oem=7257LGSV5FV","7257LGSV5FV")</f>
        <v>7257LGSV5FV</v>
      </c>
      <c r="B7701" s="1" t="s">
        <v>14670</v>
      </c>
      <c r="C7701" s="9" t="s">
        <v>1362</v>
      </c>
      <c r="D7701" s="14" t="s">
        <v>14671</v>
      </c>
      <c r="E7701" s="9" t="s">
        <v>11</v>
      </c>
    </row>
    <row r="7702" spans="1:5" ht="15" customHeight="1" outlineLevel="2" x14ac:dyDescent="0.25">
      <c r="A7702" s="3" t="str">
        <f>HYPERLINK("http://mystore1.ru/price_items/search?utf8=%E2%9C%93&amp;oem=7257LGSV5RD","7257LGSV5RD")</f>
        <v>7257LGSV5RD</v>
      </c>
      <c r="B7702" s="1" t="s">
        <v>14672</v>
      </c>
      <c r="C7702" s="9" t="s">
        <v>1362</v>
      </c>
      <c r="D7702" s="14" t="s">
        <v>14673</v>
      </c>
      <c r="E7702" s="9" t="s">
        <v>11</v>
      </c>
    </row>
    <row r="7703" spans="1:5" ht="15" customHeight="1" outlineLevel="2" x14ac:dyDescent="0.25">
      <c r="A7703" s="3" t="str">
        <f>HYPERLINK("http://mystore1.ru/price_items/search?utf8=%E2%9C%93&amp;oem=7257RGDV5RD","7257RGDV5RD")</f>
        <v>7257RGDV5RD</v>
      </c>
      <c r="B7703" s="1" t="s">
        <v>14674</v>
      </c>
      <c r="C7703" s="9" t="s">
        <v>1362</v>
      </c>
      <c r="D7703" s="14" t="s">
        <v>14675</v>
      </c>
      <c r="E7703" s="9" t="s">
        <v>11</v>
      </c>
    </row>
    <row r="7704" spans="1:5" ht="15" customHeight="1" outlineLevel="2" x14ac:dyDescent="0.25">
      <c r="A7704" s="3" t="str">
        <f>HYPERLINK("http://mystore1.ru/price_items/search?utf8=%E2%9C%93&amp;oem=7257RGSV5FD","7257RGSV5FD")</f>
        <v>7257RGSV5FD</v>
      </c>
      <c r="B7704" s="1" t="s">
        <v>14676</v>
      </c>
      <c r="C7704" s="9" t="s">
        <v>1362</v>
      </c>
      <c r="D7704" s="14" t="s">
        <v>14677</v>
      </c>
      <c r="E7704" s="9" t="s">
        <v>11</v>
      </c>
    </row>
    <row r="7705" spans="1:5" ht="15" customHeight="1" outlineLevel="2" x14ac:dyDescent="0.25">
      <c r="A7705" s="3" t="str">
        <f>HYPERLINK("http://mystore1.ru/price_items/search?utf8=%E2%9C%93&amp;oem=7257RGSV5FV","7257RGSV5FV")</f>
        <v>7257RGSV5FV</v>
      </c>
      <c r="B7705" s="1" t="s">
        <v>14678</v>
      </c>
      <c r="C7705" s="9" t="s">
        <v>1362</v>
      </c>
      <c r="D7705" s="14" t="s">
        <v>14679</v>
      </c>
      <c r="E7705" s="9" t="s">
        <v>11</v>
      </c>
    </row>
    <row r="7706" spans="1:5" ht="15" customHeight="1" outlineLevel="2" x14ac:dyDescent="0.25">
      <c r="A7706" s="3" t="str">
        <f>HYPERLINK("http://mystore1.ru/price_items/search?utf8=%E2%9C%93&amp;oem=7257RGSV5RD","7257RGSV5RD")</f>
        <v>7257RGSV5RD</v>
      </c>
      <c r="B7706" s="1" t="s">
        <v>14680</v>
      </c>
      <c r="C7706" s="9" t="s">
        <v>1362</v>
      </c>
      <c r="D7706" s="14" t="s">
        <v>14681</v>
      </c>
      <c r="E7706" s="9" t="s">
        <v>11</v>
      </c>
    </row>
    <row r="7707" spans="1:5" outlineLevel="1" x14ac:dyDescent="0.25">
      <c r="A7707" s="2"/>
      <c r="B7707" s="6" t="s">
        <v>14682</v>
      </c>
      <c r="C7707" s="8"/>
      <c r="D7707" s="8"/>
      <c r="E7707" s="8"/>
    </row>
    <row r="7708" spans="1:5" ht="15" customHeight="1" outlineLevel="2" x14ac:dyDescent="0.25">
      <c r="A7708" s="3" t="str">
        <f>HYPERLINK("http://mystore1.ru/price_items/search?utf8=%E2%9C%93&amp;oem=7280AGSMV1R","7280AGSMV1R")</f>
        <v>7280AGSMV1R</v>
      </c>
      <c r="B7708" s="1" t="s">
        <v>14683</v>
      </c>
      <c r="C7708" s="9" t="s">
        <v>642</v>
      </c>
      <c r="D7708" s="14" t="s">
        <v>14684</v>
      </c>
      <c r="E7708" s="9" t="s">
        <v>8</v>
      </c>
    </row>
    <row r="7709" spans="1:5" ht="15" customHeight="1" outlineLevel="2" x14ac:dyDescent="0.25">
      <c r="A7709" s="3" t="str">
        <f>HYPERLINK("http://mystore1.ru/price_items/search?utf8=%E2%9C%93&amp;oem=7280AGSV1M","7280AGSV1M")</f>
        <v>7280AGSV1M</v>
      </c>
      <c r="B7709" s="1" t="s">
        <v>14685</v>
      </c>
      <c r="C7709" s="9" t="s">
        <v>642</v>
      </c>
      <c r="D7709" s="14" t="s">
        <v>14686</v>
      </c>
      <c r="E7709" s="9" t="s">
        <v>8</v>
      </c>
    </row>
    <row r="7710" spans="1:5" ht="15" customHeight="1" outlineLevel="2" x14ac:dyDescent="0.25">
      <c r="A7710" s="3" t="str">
        <f>HYPERLINK("http://mystore1.ru/price_items/search?utf8=%E2%9C%93&amp;oem=7280RGSM5RDW","7280RGSM5RDW")</f>
        <v>7280RGSM5RDW</v>
      </c>
      <c r="B7710" s="1" t="s">
        <v>14687</v>
      </c>
      <c r="C7710" s="9" t="s">
        <v>642</v>
      </c>
      <c r="D7710" s="14" t="s">
        <v>14688</v>
      </c>
      <c r="E7710" s="9" t="s">
        <v>11</v>
      </c>
    </row>
    <row r="7711" spans="1:5" ht="15" customHeight="1" outlineLevel="2" x14ac:dyDescent="0.25">
      <c r="A7711" s="3" t="str">
        <f>HYPERLINK("http://mystore1.ru/price_items/search?utf8=%E2%9C%93&amp;oem=7280RGSM5FDW","7280RGSM5FDW")</f>
        <v>7280RGSM5FDW</v>
      </c>
      <c r="B7711" s="1" t="s">
        <v>14689</v>
      </c>
      <c r="C7711" s="9" t="s">
        <v>642</v>
      </c>
      <c r="D7711" s="14" t="s">
        <v>14690</v>
      </c>
      <c r="E7711" s="9" t="s">
        <v>11</v>
      </c>
    </row>
    <row r="7712" spans="1:5" ht="15" customHeight="1" outlineLevel="2" x14ac:dyDescent="0.25">
      <c r="A7712" s="3" t="str">
        <f>HYPERLINK("http://mystore1.ru/price_items/search?utf8=%E2%9C%93&amp;oem=7280RGSM5FV","7280RGSM5FV")</f>
        <v>7280RGSM5FV</v>
      </c>
      <c r="B7712" s="1" t="s">
        <v>14691</v>
      </c>
      <c r="C7712" s="9" t="s">
        <v>642</v>
      </c>
      <c r="D7712" s="14" t="s">
        <v>14692</v>
      </c>
      <c r="E7712" s="9" t="s">
        <v>11</v>
      </c>
    </row>
    <row r="7713" spans="1:5" ht="15" customHeight="1" outlineLevel="2" x14ac:dyDescent="0.25">
      <c r="A7713" s="3" t="str">
        <f>HYPERLINK("http://mystore1.ru/price_items/search?utf8=%E2%9C%93&amp;oem=7280LGSM5RDW","7280LGSM5RDW")</f>
        <v>7280LGSM5RDW</v>
      </c>
      <c r="B7713" s="1" t="s">
        <v>14693</v>
      </c>
      <c r="C7713" s="9" t="s">
        <v>642</v>
      </c>
      <c r="D7713" s="14" t="s">
        <v>14694</v>
      </c>
      <c r="E7713" s="9" t="s">
        <v>11</v>
      </c>
    </row>
    <row r="7714" spans="1:5" ht="15" customHeight="1" outlineLevel="2" x14ac:dyDescent="0.25">
      <c r="A7714" s="3" t="str">
        <f>HYPERLINK("http://mystore1.ru/price_items/search?utf8=%E2%9C%93&amp;oem=7280LGSM5FDW","7280LGSM5FDW")</f>
        <v>7280LGSM5FDW</v>
      </c>
      <c r="B7714" s="1" t="s">
        <v>14695</v>
      </c>
      <c r="C7714" s="9" t="s">
        <v>642</v>
      </c>
      <c r="D7714" s="14" t="s">
        <v>14696</v>
      </c>
      <c r="E7714" s="9" t="s">
        <v>11</v>
      </c>
    </row>
    <row r="7715" spans="1:5" ht="15" customHeight="1" outlineLevel="2" x14ac:dyDescent="0.25">
      <c r="A7715" s="3" t="str">
        <f>HYPERLINK("http://mystore1.ru/price_items/search?utf8=%E2%9C%93&amp;oem=7280LGSM5FV","7280LGSM5FV")</f>
        <v>7280LGSM5FV</v>
      </c>
      <c r="B7715" s="1" t="s">
        <v>14697</v>
      </c>
      <c r="C7715" s="9" t="s">
        <v>642</v>
      </c>
      <c r="D7715" s="14" t="s">
        <v>14698</v>
      </c>
      <c r="E7715" s="9" t="s">
        <v>11</v>
      </c>
    </row>
    <row r="7716" spans="1:5" outlineLevel="1" x14ac:dyDescent="0.25">
      <c r="A7716" s="2"/>
      <c r="B7716" s="6" t="s">
        <v>14699</v>
      </c>
      <c r="C7716" s="8"/>
      <c r="D7716" s="8"/>
      <c r="E7716" s="8"/>
    </row>
    <row r="7717" spans="1:5" ht="15" customHeight="1" outlineLevel="2" x14ac:dyDescent="0.25">
      <c r="A7717" s="3" t="str">
        <f>HYPERLINK("http://mystore1.ru/price_items/search?utf8=%E2%9C%93&amp;oem=7263AGSMV1R","7263AGSMV1R")</f>
        <v>7263AGSMV1R</v>
      </c>
      <c r="B7717" s="1" t="s">
        <v>14700</v>
      </c>
      <c r="C7717" s="9" t="s">
        <v>747</v>
      </c>
      <c r="D7717" s="14" t="s">
        <v>14701</v>
      </c>
      <c r="E7717" s="9" t="s">
        <v>8</v>
      </c>
    </row>
    <row r="7718" spans="1:5" ht="15" customHeight="1" outlineLevel="2" x14ac:dyDescent="0.25">
      <c r="A7718" s="3" t="str">
        <f>HYPERLINK("http://mystore1.ru/price_items/search?utf8=%E2%9C%93&amp;oem=7263AGSV1M","7263AGSV1M")</f>
        <v>7263AGSV1M</v>
      </c>
      <c r="B7718" s="1" t="s">
        <v>14702</v>
      </c>
      <c r="C7718" s="9" t="s">
        <v>747</v>
      </c>
      <c r="D7718" s="14" t="s">
        <v>14703</v>
      </c>
      <c r="E7718" s="9" t="s">
        <v>8</v>
      </c>
    </row>
    <row r="7719" spans="1:5" ht="15" customHeight="1" outlineLevel="2" x14ac:dyDescent="0.25">
      <c r="A7719" s="3" t="str">
        <f>HYPERLINK("http://mystore1.ru/price_items/search?utf8=%E2%9C%93&amp;oem=7263BGSVW","7263BGSVW")</f>
        <v>7263BGSVW</v>
      </c>
      <c r="B7719" s="1" t="s">
        <v>14704</v>
      </c>
      <c r="C7719" s="9" t="s">
        <v>747</v>
      </c>
      <c r="D7719" s="14" t="s">
        <v>14705</v>
      </c>
      <c r="E7719" s="9" t="s">
        <v>30</v>
      </c>
    </row>
    <row r="7720" spans="1:5" ht="15" customHeight="1" outlineLevel="2" x14ac:dyDescent="0.25">
      <c r="A7720" s="3" t="str">
        <f>HYPERLINK("http://mystore1.ru/price_items/search?utf8=%E2%9C%93&amp;oem=7263LGSV5FD","7263LGSV5FD")</f>
        <v>7263LGSV5FD</v>
      </c>
      <c r="B7720" s="1" t="s">
        <v>14706</v>
      </c>
      <c r="C7720" s="9" t="s">
        <v>747</v>
      </c>
      <c r="D7720" s="14" t="s">
        <v>14707</v>
      </c>
      <c r="E7720" s="9" t="s">
        <v>11</v>
      </c>
    </row>
    <row r="7721" spans="1:5" ht="15" customHeight="1" outlineLevel="2" x14ac:dyDescent="0.25">
      <c r="A7721" s="3" t="str">
        <f>HYPERLINK("http://mystore1.ru/price_items/search?utf8=%E2%9C%93&amp;oem=7263LGSV5RD","7263LGSV5RD")</f>
        <v>7263LGSV5RD</v>
      </c>
      <c r="B7721" s="1" t="s">
        <v>14708</v>
      </c>
      <c r="C7721" s="9" t="s">
        <v>747</v>
      </c>
      <c r="D7721" s="14" t="s">
        <v>14709</v>
      </c>
      <c r="E7721" s="9" t="s">
        <v>11</v>
      </c>
    </row>
    <row r="7722" spans="1:5" ht="15" customHeight="1" outlineLevel="2" x14ac:dyDescent="0.25">
      <c r="A7722" s="3" t="str">
        <f>HYPERLINK("http://mystore1.ru/price_items/search?utf8=%E2%9C%93&amp;oem=7263RGSV5FD","7263RGSV5FD")</f>
        <v>7263RGSV5FD</v>
      </c>
      <c r="B7722" s="1" t="s">
        <v>14710</v>
      </c>
      <c r="C7722" s="9" t="s">
        <v>747</v>
      </c>
      <c r="D7722" s="14" t="s">
        <v>14711</v>
      </c>
      <c r="E7722" s="9" t="s">
        <v>11</v>
      </c>
    </row>
    <row r="7723" spans="1:5" ht="15" customHeight="1" outlineLevel="2" x14ac:dyDescent="0.25">
      <c r="A7723" s="3" t="str">
        <f>HYPERLINK("http://mystore1.ru/price_items/search?utf8=%E2%9C%93&amp;oem=7263RGSV5RD","7263RGSV5RD")</f>
        <v>7263RGSV5RD</v>
      </c>
      <c r="B7723" s="1" t="s">
        <v>14712</v>
      </c>
      <c r="C7723" s="9" t="s">
        <v>747</v>
      </c>
      <c r="D7723" s="14" t="s">
        <v>14713</v>
      </c>
      <c r="E7723" s="9" t="s">
        <v>11</v>
      </c>
    </row>
    <row r="7724" spans="1:5" outlineLevel="1" x14ac:dyDescent="0.25">
      <c r="A7724" s="2"/>
      <c r="B7724" s="6" t="s">
        <v>14714</v>
      </c>
      <c r="C7724" s="8"/>
      <c r="D7724" s="8"/>
      <c r="E7724" s="8"/>
    </row>
    <row r="7725" spans="1:5" ht="15" customHeight="1" outlineLevel="2" x14ac:dyDescent="0.25">
      <c r="A7725" s="3" t="str">
        <f>HYPERLINK("http://mystore1.ru/price_items/search?utf8=%E2%9C%93&amp;oem=7208ACL","7208ACL")</f>
        <v>7208ACL</v>
      </c>
      <c r="B7725" s="1" t="s">
        <v>14715</v>
      </c>
      <c r="C7725" s="9" t="s">
        <v>14716</v>
      </c>
      <c r="D7725" s="14" t="s">
        <v>14717</v>
      </c>
      <c r="E7725" s="9" t="s">
        <v>8</v>
      </c>
    </row>
    <row r="7726" spans="1:5" outlineLevel="1" x14ac:dyDescent="0.25">
      <c r="A7726" s="2"/>
      <c r="B7726" s="6" t="s">
        <v>14718</v>
      </c>
      <c r="C7726" s="8"/>
      <c r="D7726" s="8"/>
      <c r="E7726" s="8"/>
    </row>
    <row r="7727" spans="1:5" ht="15" customHeight="1" outlineLevel="2" x14ac:dyDescent="0.25">
      <c r="A7727" s="3" t="str">
        <f>HYPERLINK("http://mystore1.ru/price_items/search?utf8=%E2%9C%93&amp;oem=7224ACL1C","7224ACL1C")</f>
        <v>7224ACL1C</v>
      </c>
      <c r="B7727" s="1" t="s">
        <v>14719</v>
      </c>
      <c r="C7727" s="9" t="s">
        <v>14720</v>
      </c>
      <c r="D7727" s="14" t="s">
        <v>14721</v>
      </c>
      <c r="E7727" s="9" t="s">
        <v>8</v>
      </c>
    </row>
    <row r="7728" spans="1:5" ht="15" customHeight="1" outlineLevel="2" x14ac:dyDescent="0.25">
      <c r="A7728" s="3" t="str">
        <f>HYPERLINK("http://mystore1.ru/price_items/search?utf8=%E2%9C%93&amp;oem=7224AGN1C","7224AGN1C")</f>
        <v>7224AGN1C</v>
      </c>
      <c r="B7728" s="1" t="s">
        <v>14722</v>
      </c>
      <c r="C7728" s="9" t="s">
        <v>14720</v>
      </c>
      <c r="D7728" s="14" t="s">
        <v>14723</v>
      </c>
      <c r="E7728" s="9" t="s">
        <v>8</v>
      </c>
    </row>
    <row r="7729" spans="1:5" ht="15" customHeight="1" outlineLevel="2" x14ac:dyDescent="0.25">
      <c r="A7729" s="3" t="str">
        <f>HYPERLINK("http://mystore1.ru/price_items/search?utf8=%E2%9C%93&amp;oem=7224ASRH","7224ASRH")</f>
        <v>7224ASRH</v>
      </c>
      <c r="B7729" s="1" t="s">
        <v>14724</v>
      </c>
      <c r="C7729" s="9" t="s">
        <v>25</v>
      </c>
      <c r="D7729" s="14" t="s">
        <v>14725</v>
      </c>
      <c r="E7729" s="9" t="s">
        <v>27</v>
      </c>
    </row>
    <row r="7730" spans="1:5" ht="15" customHeight="1" outlineLevel="2" x14ac:dyDescent="0.25">
      <c r="A7730" s="3" t="str">
        <f>HYPERLINK("http://mystore1.ru/price_items/search?utf8=%E2%9C%93&amp;oem=7224BGNS","7224BGNS")</f>
        <v>7224BGNS</v>
      </c>
      <c r="B7730" s="1" t="s">
        <v>14726</v>
      </c>
      <c r="C7730" s="9" t="s">
        <v>14720</v>
      </c>
      <c r="D7730" s="14" t="s">
        <v>14727</v>
      </c>
      <c r="E7730" s="9" t="s">
        <v>30</v>
      </c>
    </row>
    <row r="7731" spans="1:5" ht="15" customHeight="1" outlineLevel="2" x14ac:dyDescent="0.25">
      <c r="A7731" s="3" t="str">
        <f>HYPERLINK("http://mystore1.ru/price_items/search?utf8=%E2%9C%93&amp;oem=7224LCLH5FD","7224LCLH5FD")</f>
        <v>7224LCLH5FD</v>
      </c>
      <c r="B7731" s="1" t="s">
        <v>14728</v>
      </c>
      <c r="C7731" s="9" t="s">
        <v>14720</v>
      </c>
      <c r="D7731" s="14" t="s">
        <v>14729</v>
      </c>
      <c r="E7731" s="9" t="s">
        <v>11</v>
      </c>
    </row>
    <row r="7732" spans="1:5" ht="15" customHeight="1" outlineLevel="2" x14ac:dyDescent="0.25">
      <c r="A7732" s="3" t="str">
        <f>HYPERLINK("http://mystore1.ru/price_items/search?utf8=%E2%9C%93&amp;oem=7224LGNH5FD","7224LGNH5FD")</f>
        <v>7224LGNH5FD</v>
      </c>
      <c r="B7732" s="1" t="s">
        <v>14730</v>
      </c>
      <c r="C7732" s="9" t="s">
        <v>14720</v>
      </c>
      <c r="D7732" s="14" t="s">
        <v>14731</v>
      </c>
      <c r="E7732" s="9" t="s">
        <v>11</v>
      </c>
    </row>
    <row r="7733" spans="1:5" ht="15" customHeight="1" outlineLevel="2" x14ac:dyDescent="0.25">
      <c r="A7733" s="3" t="str">
        <f>HYPERLINK("http://mystore1.ru/price_items/search?utf8=%E2%9C%93&amp;oem=7224RCLH5FD","7224RCLH5FD")</f>
        <v>7224RCLH5FD</v>
      </c>
      <c r="B7733" s="1" t="s">
        <v>14732</v>
      </c>
      <c r="C7733" s="9" t="s">
        <v>14720</v>
      </c>
      <c r="D7733" s="14" t="s">
        <v>14733</v>
      </c>
      <c r="E7733" s="9" t="s">
        <v>11</v>
      </c>
    </row>
    <row r="7734" spans="1:5" outlineLevel="1" x14ac:dyDescent="0.25">
      <c r="A7734" s="2"/>
      <c r="B7734" s="6" t="s">
        <v>14734</v>
      </c>
      <c r="C7734" s="8"/>
      <c r="D7734" s="8"/>
      <c r="E7734" s="8"/>
    </row>
    <row r="7735" spans="1:5" ht="15" customHeight="1" outlineLevel="2" x14ac:dyDescent="0.25">
      <c r="A7735" s="3" t="str">
        <f>HYPERLINK("http://mystore1.ru/price_items/search?utf8=%E2%9C%93&amp;oem=7218ACL1C","7218ACL1C")</f>
        <v>7218ACL1C</v>
      </c>
      <c r="B7735" s="1" t="s">
        <v>14735</v>
      </c>
      <c r="C7735" s="9" t="s">
        <v>250</v>
      </c>
      <c r="D7735" s="14" t="s">
        <v>14736</v>
      </c>
      <c r="E7735" s="9" t="s">
        <v>8</v>
      </c>
    </row>
    <row r="7736" spans="1:5" outlineLevel="1" x14ac:dyDescent="0.25">
      <c r="A7736" s="2"/>
      <c r="B7736" s="6" t="s">
        <v>14737</v>
      </c>
      <c r="C7736" s="8"/>
      <c r="D7736" s="8"/>
      <c r="E7736" s="8"/>
    </row>
    <row r="7737" spans="1:5" ht="15" customHeight="1" outlineLevel="2" x14ac:dyDescent="0.25">
      <c r="A7737" s="3" t="str">
        <f>HYPERLINK("http://mystore1.ru/price_items/search?utf8=%E2%9C%93&amp;oem=7231ACL","7231ACL")</f>
        <v>7231ACL</v>
      </c>
      <c r="B7737" s="1" t="s">
        <v>14738</v>
      </c>
      <c r="C7737" s="9" t="s">
        <v>14739</v>
      </c>
      <c r="D7737" s="14" t="s">
        <v>14740</v>
      </c>
      <c r="E7737" s="9" t="s">
        <v>8</v>
      </c>
    </row>
    <row r="7738" spans="1:5" ht="15" customHeight="1" outlineLevel="2" x14ac:dyDescent="0.25">
      <c r="A7738" s="3" t="str">
        <f>HYPERLINK("http://mystore1.ru/price_items/search?utf8=%E2%9C%93&amp;oem=7231AGN","7231AGN")</f>
        <v>7231AGN</v>
      </c>
      <c r="B7738" s="1" t="s">
        <v>14741</v>
      </c>
      <c r="C7738" s="9" t="s">
        <v>14739</v>
      </c>
      <c r="D7738" s="14" t="s">
        <v>14742</v>
      </c>
      <c r="E7738" s="9" t="s">
        <v>8</v>
      </c>
    </row>
    <row r="7739" spans="1:5" ht="15" customHeight="1" outlineLevel="2" x14ac:dyDescent="0.25">
      <c r="A7739" s="3" t="str">
        <f>HYPERLINK("http://mystore1.ru/price_items/search?utf8=%E2%9C%93&amp;oem=7231AGNBL","7231AGNBL")</f>
        <v>7231AGNBL</v>
      </c>
      <c r="B7739" s="1" t="s">
        <v>14743</v>
      </c>
      <c r="C7739" s="9" t="s">
        <v>14739</v>
      </c>
      <c r="D7739" s="14" t="s">
        <v>14744</v>
      </c>
      <c r="E7739" s="9" t="s">
        <v>8</v>
      </c>
    </row>
    <row r="7740" spans="1:5" ht="15" customHeight="1" outlineLevel="2" x14ac:dyDescent="0.25">
      <c r="A7740" s="3" t="str">
        <f>HYPERLINK("http://mystore1.ru/price_items/search?utf8=%E2%9C%93&amp;oem=7231AGNGN","7231AGNGN")</f>
        <v>7231AGNGN</v>
      </c>
      <c r="B7740" s="1" t="s">
        <v>14745</v>
      </c>
      <c r="C7740" s="9" t="s">
        <v>14739</v>
      </c>
      <c r="D7740" s="14" t="s">
        <v>14746</v>
      </c>
      <c r="E7740" s="9" t="s">
        <v>8</v>
      </c>
    </row>
    <row r="7741" spans="1:5" ht="15" customHeight="1" outlineLevel="2" x14ac:dyDescent="0.25">
      <c r="A7741" s="3" t="str">
        <f>HYPERLINK("http://mystore1.ru/price_items/search?utf8=%E2%9C%93&amp;oem=7231AKMH","7231AKMH")</f>
        <v>7231AKMH</v>
      </c>
      <c r="B7741" s="1" t="s">
        <v>14747</v>
      </c>
      <c r="C7741" s="9" t="s">
        <v>25</v>
      </c>
      <c r="D7741" s="14" t="s">
        <v>14748</v>
      </c>
      <c r="E7741" s="9" t="s">
        <v>27</v>
      </c>
    </row>
    <row r="7742" spans="1:5" ht="15" customHeight="1" outlineLevel="2" x14ac:dyDescent="0.25">
      <c r="A7742" s="3" t="str">
        <f>HYPERLINK("http://mystore1.ru/price_items/search?utf8=%E2%9C%93&amp;oem=7231ASGH","7231ASGH")</f>
        <v>7231ASGH</v>
      </c>
      <c r="B7742" s="1" t="s">
        <v>14749</v>
      </c>
      <c r="C7742" s="9" t="s">
        <v>25</v>
      </c>
      <c r="D7742" s="14" t="s">
        <v>14750</v>
      </c>
      <c r="E7742" s="9" t="s">
        <v>27</v>
      </c>
    </row>
    <row r="7743" spans="1:5" ht="15" customHeight="1" outlineLevel="2" x14ac:dyDescent="0.25">
      <c r="A7743" s="3" t="str">
        <f>HYPERLINK("http://mystore1.ru/price_items/search?utf8=%E2%9C%93&amp;oem=7231ASMH","7231ASMH")</f>
        <v>7231ASMH</v>
      </c>
      <c r="B7743" s="1" t="s">
        <v>14751</v>
      </c>
      <c r="C7743" s="9" t="s">
        <v>25</v>
      </c>
      <c r="D7743" s="14" t="s">
        <v>14752</v>
      </c>
      <c r="E7743" s="9" t="s">
        <v>27</v>
      </c>
    </row>
    <row r="7744" spans="1:5" ht="15" customHeight="1" outlineLevel="2" x14ac:dyDescent="0.25">
      <c r="A7744" s="3" t="str">
        <f>HYPERLINK("http://mystore1.ru/price_items/search?utf8=%E2%9C%93&amp;oem=7231BCLH","7231BCLH")</f>
        <v>7231BCLH</v>
      </c>
      <c r="B7744" s="1" t="s">
        <v>14753</v>
      </c>
      <c r="C7744" s="9" t="s">
        <v>14739</v>
      </c>
      <c r="D7744" s="14" t="s">
        <v>14754</v>
      </c>
      <c r="E7744" s="9" t="s">
        <v>30</v>
      </c>
    </row>
    <row r="7745" spans="1:5" ht="15" customHeight="1" outlineLevel="2" x14ac:dyDescent="0.25">
      <c r="A7745" s="3" t="str">
        <f>HYPERLINK("http://mystore1.ru/price_items/search?utf8=%E2%9C%93&amp;oem=7231BCLS","7231BCLS")</f>
        <v>7231BCLS</v>
      </c>
      <c r="B7745" s="1" t="s">
        <v>14755</v>
      </c>
      <c r="C7745" s="9" t="s">
        <v>14739</v>
      </c>
      <c r="D7745" s="14" t="s">
        <v>14756</v>
      </c>
      <c r="E7745" s="9" t="s">
        <v>30</v>
      </c>
    </row>
    <row r="7746" spans="1:5" ht="15" customHeight="1" outlineLevel="2" x14ac:dyDescent="0.25">
      <c r="A7746" s="3" t="str">
        <f>HYPERLINK("http://mystore1.ru/price_items/search?utf8=%E2%9C%93&amp;oem=7231BGNH","7231BGNH")</f>
        <v>7231BGNH</v>
      </c>
      <c r="B7746" s="1" t="s">
        <v>14757</v>
      </c>
      <c r="C7746" s="9" t="s">
        <v>14739</v>
      </c>
      <c r="D7746" s="14" t="s">
        <v>14758</v>
      </c>
      <c r="E7746" s="9" t="s">
        <v>30</v>
      </c>
    </row>
    <row r="7747" spans="1:5" ht="15" customHeight="1" outlineLevel="2" x14ac:dyDescent="0.25">
      <c r="A7747" s="3" t="str">
        <f>HYPERLINK("http://mystore1.ru/price_items/search?utf8=%E2%9C%93&amp;oem=7231BGNS","7231BGNS")</f>
        <v>7231BGNS</v>
      </c>
      <c r="B7747" s="1" t="s">
        <v>14759</v>
      </c>
      <c r="C7747" s="9" t="s">
        <v>14739</v>
      </c>
      <c r="D7747" s="14" t="s">
        <v>14760</v>
      </c>
      <c r="E7747" s="9" t="s">
        <v>30</v>
      </c>
    </row>
    <row r="7748" spans="1:5" ht="15" customHeight="1" outlineLevel="2" x14ac:dyDescent="0.25">
      <c r="A7748" s="3" t="str">
        <f>HYPERLINK("http://mystore1.ru/price_items/search?utf8=%E2%9C%93&amp;oem=7231LCLH5FD","7231LCLH5FD")</f>
        <v>7231LCLH5FD</v>
      </c>
      <c r="B7748" s="1" t="s">
        <v>14761</v>
      </c>
      <c r="C7748" s="9" t="s">
        <v>14739</v>
      </c>
      <c r="D7748" s="14" t="s">
        <v>14762</v>
      </c>
      <c r="E7748" s="9" t="s">
        <v>11</v>
      </c>
    </row>
    <row r="7749" spans="1:5" ht="15" customHeight="1" outlineLevel="2" x14ac:dyDescent="0.25">
      <c r="A7749" s="3" t="str">
        <f>HYPERLINK("http://mystore1.ru/price_items/search?utf8=%E2%9C%93&amp;oem=7231LCLH5RD","7231LCLH5RD")</f>
        <v>7231LCLH5RD</v>
      </c>
      <c r="B7749" s="1" t="s">
        <v>14763</v>
      </c>
      <c r="C7749" s="9" t="s">
        <v>14739</v>
      </c>
      <c r="D7749" s="14" t="s">
        <v>14764</v>
      </c>
      <c r="E7749" s="9" t="s">
        <v>11</v>
      </c>
    </row>
    <row r="7750" spans="1:5" ht="15" customHeight="1" outlineLevel="2" x14ac:dyDescent="0.25">
      <c r="A7750" s="3" t="str">
        <f>HYPERLINK("http://mystore1.ru/price_items/search?utf8=%E2%9C%93&amp;oem=7231LCLH5RV","7231LCLH5RV")</f>
        <v>7231LCLH5RV</v>
      </c>
      <c r="B7750" s="1" t="s">
        <v>14765</v>
      </c>
      <c r="C7750" s="9" t="s">
        <v>14739</v>
      </c>
      <c r="D7750" s="14" t="s">
        <v>14766</v>
      </c>
      <c r="E7750" s="9" t="s">
        <v>11</v>
      </c>
    </row>
    <row r="7751" spans="1:5" ht="15" customHeight="1" outlineLevel="2" x14ac:dyDescent="0.25">
      <c r="A7751" s="3" t="str">
        <f>HYPERLINK("http://mystore1.ru/price_items/search?utf8=%E2%9C%93&amp;oem=7231LGNH5FD","7231LGNH5FD")</f>
        <v>7231LGNH5FD</v>
      </c>
      <c r="B7751" s="1" t="s">
        <v>14767</v>
      </c>
      <c r="C7751" s="9" t="s">
        <v>14739</v>
      </c>
      <c r="D7751" s="14" t="s">
        <v>14768</v>
      </c>
      <c r="E7751" s="9" t="s">
        <v>11</v>
      </c>
    </row>
    <row r="7752" spans="1:5" ht="15" customHeight="1" outlineLevel="2" x14ac:dyDescent="0.25">
      <c r="A7752" s="3" t="str">
        <f>HYPERLINK("http://mystore1.ru/price_items/search?utf8=%E2%9C%93&amp;oem=7231LGNH5RD","7231LGNH5RD")</f>
        <v>7231LGNH5RD</v>
      </c>
      <c r="B7752" s="1" t="s">
        <v>14769</v>
      </c>
      <c r="C7752" s="9" t="s">
        <v>14739</v>
      </c>
      <c r="D7752" s="14" t="s">
        <v>14770</v>
      </c>
      <c r="E7752" s="9" t="s">
        <v>11</v>
      </c>
    </row>
    <row r="7753" spans="1:5" ht="15" customHeight="1" outlineLevel="2" x14ac:dyDescent="0.25">
      <c r="A7753" s="3" t="str">
        <f>HYPERLINK("http://mystore1.ru/price_items/search?utf8=%E2%9C%93&amp;oem=7231LGNH5RV","7231LGNH5RV")</f>
        <v>7231LGNH5RV</v>
      </c>
      <c r="B7753" s="1" t="s">
        <v>14771</v>
      </c>
      <c r="C7753" s="9" t="s">
        <v>14739</v>
      </c>
      <c r="D7753" s="14" t="s">
        <v>14772</v>
      </c>
      <c r="E7753" s="9" t="s">
        <v>11</v>
      </c>
    </row>
    <row r="7754" spans="1:5" ht="15" customHeight="1" outlineLevel="2" x14ac:dyDescent="0.25">
      <c r="A7754" s="3" t="str">
        <f>HYPERLINK("http://mystore1.ru/price_items/search?utf8=%E2%9C%93&amp;oem=7231RCLH5FD","7231RCLH5FD")</f>
        <v>7231RCLH5FD</v>
      </c>
      <c r="B7754" s="1" t="s">
        <v>14773</v>
      </c>
      <c r="C7754" s="9" t="s">
        <v>14739</v>
      </c>
      <c r="D7754" s="14" t="s">
        <v>14774</v>
      </c>
      <c r="E7754" s="9" t="s">
        <v>11</v>
      </c>
    </row>
    <row r="7755" spans="1:5" ht="15" customHeight="1" outlineLevel="2" x14ac:dyDescent="0.25">
      <c r="A7755" s="3" t="str">
        <f>HYPERLINK("http://mystore1.ru/price_items/search?utf8=%E2%9C%93&amp;oem=7231RCLH5RV","7231RCLH5RV")</f>
        <v>7231RCLH5RV</v>
      </c>
      <c r="B7755" s="1" t="s">
        <v>14775</v>
      </c>
      <c r="C7755" s="9" t="s">
        <v>14739</v>
      </c>
      <c r="D7755" s="14" t="s">
        <v>14776</v>
      </c>
      <c r="E7755" s="9" t="s">
        <v>11</v>
      </c>
    </row>
    <row r="7756" spans="1:5" ht="15" customHeight="1" outlineLevel="2" x14ac:dyDescent="0.25">
      <c r="A7756" s="3" t="str">
        <f>HYPERLINK("http://mystore1.ru/price_items/search?utf8=%E2%9C%93&amp;oem=7231RGNH3RQ","7231RGNH3RQ")</f>
        <v>7231RGNH3RQ</v>
      </c>
      <c r="B7756" s="1" t="s">
        <v>14777</v>
      </c>
      <c r="C7756" s="9" t="s">
        <v>14739</v>
      </c>
      <c r="D7756" s="14" t="s">
        <v>14778</v>
      </c>
      <c r="E7756" s="9" t="s">
        <v>11</v>
      </c>
    </row>
    <row r="7757" spans="1:5" ht="15" customHeight="1" outlineLevel="2" x14ac:dyDescent="0.25">
      <c r="A7757" s="3" t="str">
        <f>HYPERLINK("http://mystore1.ru/price_items/search?utf8=%E2%9C%93&amp;oem=7231RGNH5FD","7231RGNH5FD")</f>
        <v>7231RGNH5FD</v>
      </c>
      <c r="B7757" s="1" t="s">
        <v>14779</v>
      </c>
      <c r="C7757" s="9" t="s">
        <v>14739</v>
      </c>
      <c r="D7757" s="14" t="s">
        <v>14780</v>
      </c>
      <c r="E7757" s="9" t="s">
        <v>11</v>
      </c>
    </row>
    <row r="7758" spans="1:5" ht="15" customHeight="1" outlineLevel="2" x14ac:dyDescent="0.25">
      <c r="A7758" s="3" t="str">
        <f>HYPERLINK("http://mystore1.ru/price_items/search?utf8=%E2%9C%93&amp;oem=7231RGNH5RD","7231RGNH5RD")</f>
        <v>7231RGNH5RD</v>
      </c>
      <c r="B7758" s="1" t="s">
        <v>14781</v>
      </c>
      <c r="C7758" s="9" t="s">
        <v>14739</v>
      </c>
      <c r="D7758" s="14" t="s">
        <v>14782</v>
      </c>
      <c r="E7758" s="9" t="s">
        <v>11</v>
      </c>
    </row>
    <row r="7759" spans="1:5" ht="15" customHeight="1" outlineLevel="2" x14ac:dyDescent="0.25">
      <c r="A7759" s="3" t="str">
        <f>HYPERLINK("http://mystore1.ru/price_items/search?utf8=%E2%9C%93&amp;oem=7231RGNH5RV","7231RGNH5RV")</f>
        <v>7231RGNH5RV</v>
      </c>
      <c r="B7759" s="1" t="s">
        <v>14783</v>
      </c>
      <c r="C7759" s="9" t="s">
        <v>14739</v>
      </c>
      <c r="D7759" s="14" t="s">
        <v>14784</v>
      </c>
      <c r="E7759" s="9" t="s">
        <v>11</v>
      </c>
    </row>
    <row r="7760" spans="1:5" outlineLevel="1" x14ac:dyDescent="0.25">
      <c r="A7760" s="2"/>
      <c r="B7760" s="6" t="s">
        <v>14785</v>
      </c>
      <c r="C7760" s="8"/>
      <c r="D7760" s="8"/>
      <c r="E7760" s="8"/>
    </row>
    <row r="7761" spans="1:5" ht="15" customHeight="1" outlineLevel="2" x14ac:dyDescent="0.25">
      <c r="A7761" s="3" t="str">
        <f>HYPERLINK("http://mystore1.ru/price_items/search?utf8=%E2%9C%93&amp;oem=7230ACL1C","7230ACL1C")</f>
        <v>7230ACL1C</v>
      </c>
      <c r="B7761" s="1" t="s">
        <v>14786</v>
      </c>
      <c r="C7761" s="9" t="s">
        <v>1108</v>
      </c>
      <c r="D7761" s="14" t="s">
        <v>14787</v>
      </c>
      <c r="E7761" s="9" t="s">
        <v>8</v>
      </c>
    </row>
    <row r="7762" spans="1:5" ht="15" customHeight="1" outlineLevel="2" x14ac:dyDescent="0.25">
      <c r="A7762" s="3" t="str">
        <f>HYPERLINK("http://mystore1.ru/price_items/search?utf8=%E2%9C%93&amp;oem=7230AGN1C","7230AGN1C")</f>
        <v>7230AGN1C</v>
      </c>
      <c r="B7762" s="1" t="s">
        <v>14788</v>
      </c>
      <c r="C7762" s="9" t="s">
        <v>1108</v>
      </c>
      <c r="D7762" s="14" t="s">
        <v>14789</v>
      </c>
      <c r="E7762" s="9" t="s">
        <v>8</v>
      </c>
    </row>
    <row r="7763" spans="1:5" ht="15" customHeight="1" outlineLevel="2" x14ac:dyDescent="0.25">
      <c r="A7763" s="3" t="str">
        <f>HYPERLINK("http://mystore1.ru/price_items/search?utf8=%E2%9C%93&amp;oem=7230AGNGN1C","7230AGNGN1C")</f>
        <v>7230AGNGN1C</v>
      </c>
      <c r="B7763" s="1" t="s">
        <v>14790</v>
      </c>
      <c r="C7763" s="9" t="s">
        <v>1108</v>
      </c>
      <c r="D7763" s="14" t="s">
        <v>14791</v>
      </c>
      <c r="E7763" s="9" t="s">
        <v>8</v>
      </c>
    </row>
    <row r="7764" spans="1:5" ht="15" customHeight="1" outlineLevel="2" x14ac:dyDescent="0.25">
      <c r="A7764" s="3" t="str">
        <f>HYPERLINK("http://mystore1.ru/price_items/search?utf8=%E2%9C%93&amp;oem=7230AKMS","7230AKMS")</f>
        <v>7230AKMS</v>
      </c>
      <c r="B7764" s="1" t="s">
        <v>14792</v>
      </c>
      <c r="C7764" s="9" t="s">
        <v>25</v>
      </c>
      <c r="D7764" s="14" t="s">
        <v>14793</v>
      </c>
      <c r="E7764" s="9" t="s">
        <v>27</v>
      </c>
    </row>
    <row r="7765" spans="1:5" ht="15" customHeight="1" outlineLevel="2" x14ac:dyDescent="0.25">
      <c r="A7765" s="3" t="str">
        <f>HYPERLINK("http://mystore1.ru/price_items/search?utf8=%E2%9C%93&amp;oem=7230BCLE","7230BCLE")</f>
        <v>7230BCLE</v>
      </c>
      <c r="B7765" s="1" t="s">
        <v>14794</v>
      </c>
      <c r="C7765" s="9" t="s">
        <v>1108</v>
      </c>
      <c r="D7765" s="14" t="s">
        <v>14795</v>
      </c>
      <c r="E7765" s="9" t="s">
        <v>30</v>
      </c>
    </row>
    <row r="7766" spans="1:5" ht="15" customHeight="1" outlineLevel="2" x14ac:dyDescent="0.25">
      <c r="A7766" s="3" t="str">
        <f>HYPERLINK("http://mystore1.ru/price_items/search?utf8=%E2%9C%93&amp;oem=7230BCLS","7230BCLS")</f>
        <v>7230BCLS</v>
      </c>
      <c r="B7766" s="1" t="s">
        <v>14796</v>
      </c>
      <c r="C7766" s="9" t="s">
        <v>1108</v>
      </c>
      <c r="D7766" s="14" t="s">
        <v>14797</v>
      </c>
      <c r="E7766" s="9" t="s">
        <v>30</v>
      </c>
    </row>
    <row r="7767" spans="1:5" ht="15" customHeight="1" outlineLevel="2" x14ac:dyDescent="0.25">
      <c r="A7767" s="3" t="str">
        <f>HYPERLINK("http://mystore1.ru/price_items/search?utf8=%E2%9C%93&amp;oem=7230BGNE","7230BGNE")</f>
        <v>7230BGNE</v>
      </c>
      <c r="B7767" s="1" t="s">
        <v>14798</v>
      </c>
      <c r="C7767" s="9" t="s">
        <v>1108</v>
      </c>
      <c r="D7767" s="14" t="s">
        <v>14799</v>
      </c>
      <c r="E7767" s="9" t="s">
        <v>30</v>
      </c>
    </row>
    <row r="7768" spans="1:5" ht="15" customHeight="1" outlineLevel="2" x14ac:dyDescent="0.25">
      <c r="A7768" s="3" t="str">
        <f>HYPERLINK("http://mystore1.ru/price_items/search?utf8=%E2%9C%93&amp;oem=7230BGNS","7230BGNS")</f>
        <v>7230BGNS</v>
      </c>
      <c r="B7768" s="1" t="s">
        <v>14800</v>
      </c>
      <c r="C7768" s="9" t="s">
        <v>1108</v>
      </c>
      <c r="D7768" s="14" t="s">
        <v>14801</v>
      </c>
      <c r="E7768" s="9" t="s">
        <v>30</v>
      </c>
    </row>
    <row r="7769" spans="1:5" ht="15" customHeight="1" outlineLevel="2" x14ac:dyDescent="0.25">
      <c r="A7769" s="3" t="str">
        <f>HYPERLINK("http://mystore1.ru/price_items/search?utf8=%E2%9C%93&amp;oem=7230LCLE5RD","7230LCLE5RD")</f>
        <v>7230LCLE5RD</v>
      </c>
      <c r="B7769" s="1" t="s">
        <v>14802</v>
      </c>
      <c r="C7769" s="9" t="s">
        <v>1108</v>
      </c>
      <c r="D7769" s="14" t="s">
        <v>14803</v>
      </c>
      <c r="E7769" s="9" t="s">
        <v>11</v>
      </c>
    </row>
    <row r="7770" spans="1:5" ht="15" customHeight="1" outlineLevel="2" x14ac:dyDescent="0.25">
      <c r="A7770" s="3" t="str">
        <f>HYPERLINK("http://mystore1.ru/price_items/search?utf8=%E2%9C%93&amp;oem=7230LCLS4FD","7230LCLS4FD")</f>
        <v>7230LCLS4FD</v>
      </c>
      <c r="B7770" s="1" t="s">
        <v>14804</v>
      </c>
      <c r="C7770" s="9" t="s">
        <v>1108</v>
      </c>
      <c r="D7770" s="14" t="s">
        <v>14805</v>
      </c>
      <c r="E7770" s="9" t="s">
        <v>11</v>
      </c>
    </row>
    <row r="7771" spans="1:5" ht="15" customHeight="1" outlineLevel="2" x14ac:dyDescent="0.25">
      <c r="A7771" s="3" t="str">
        <f>HYPERLINK("http://mystore1.ru/price_items/search?utf8=%E2%9C%93&amp;oem=7230LGNS4FD","7230LGNS4FD")</f>
        <v>7230LGNS4FD</v>
      </c>
      <c r="B7771" s="1" t="s">
        <v>14806</v>
      </c>
      <c r="C7771" s="9" t="s">
        <v>1108</v>
      </c>
      <c r="D7771" s="14" t="s">
        <v>14807</v>
      </c>
      <c r="E7771" s="9" t="s">
        <v>11</v>
      </c>
    </row>
    <row r="7772" spans="1:5" ht="15" customHeight="1" outlineLevel="2" x14ac:dyDescent="0.25">
      <c r="A7772" s="3" t="str">
        <f>HYPERLINK("http://mystore1.ru/price_items/search?utf8=%E2%9C%93&amp;oem=7230LGNS4RD","7230LGNS4RD")</f>
        <v>7230LGNS4RD</v>
      </c>
      <c r="B7772" s="1" t="s">
        <v>14808</v>
      </c>
      <c r="C7772" s="9" t="s">
        <v>1108</v>
      </c>
      <c r="D7772" s="14" t="s">
        <v>14809</v>
      </c>
      <c r="E7772" s="9" t="s">
        <v>11</v>
      </c>
    </row>
    <row r="7773" spans="1:5" ht="15" customHeight="1" outlineLevel="2" x14ac:dyDescent="0.25">
      <c r="A7773" s="3" t="str">
        <f>HYPERLINK("http://mystore1.ru/price_items/search?utf8=%E2%9C%93&amp;oem=7230LGNS4RQ","7230LGNS4RQ")</f>
        <v>7230LGNS4RQ</v>
      </c>
      <c r="B7773" s="1" t="s">
        <v>14810</v>
      </c>
      <c r="C7773" s="9" t="s">
        <v>1108</v>
      </c>
      <c r="D7773" s="14" t="s">
        <v>14811</v>
      </c>
      <c r="E7773" s="9" t="s">
        <v>11</v>
      </c>
    </row>
    <row r="7774" spans="1:5" ht="15" customHeight="1" outlineLevel="2" x14ac:dyDescent="0.25">
      <c r="A7774" s="3" t="str">
        <f>HYPERLINK("http://mystore1.ru/price_items/search?utf8=%E2%9C%93&amp;oem=7230RCLE5RD","7230RCLE5RD")</f>
        <v>7230RCLE5RD</v>
      </c>
      <c r="B7774" s="1" t="s">
        <v>14812</v>
      </c>
      <c r="C7774" s="9" t="s">
        <v>1108</v>
      </c>
      <c r="D7774" s="14" t="s">
        <v>14813</v>
      </c>
      <c r="E7774" s="9" t="s">
        <v>11</v>
      </c>
    </row>
    <row r="7775" spans="1:5" ht="15" customHeight="1" outlineLevel="2" x14ac:dyDescent="0.25">
      <c r="A7775" s="3" t="str">
        <f>HYPERLINK("http://mystore1.ru/price_items/search?utf8=%E2%9C%93&amp;oem=7230RCLS4FD","7230RCLS4FD")</f>
        <v>7230RCLS4FD</v>
      </c>
      <c r="B7775" s="1" t="s">
        <v>14814</v>
      </c>
      <c r="C7775" s="9" t="s">
        <v>1108</v>
      </c>
      <c r="D7775" s="14" t="s">
        <v>14815</v>
      </c>
      <c r="E7775" s="9" t="s">
        <v>11</v>
      </c>
    </row>
    <row r="7776" spans="1:5" ht="15" customHeight="1" outlineLevel="2" x14ac:dyDescent="0.25">
      <c r="A7776" s="3" t="str">
        <f>HYPERLINK("http://mystore1.ru/price_items/search?utf8=%E2%9C%93&amp;oem=7230RCLS4RD","7230RCLS4RD")</f>
        <v>7230RCLS4RD</v>
      </c>
      <c r="B7776" s="1" t="s">
        <v>14816</v>
      </c>
      <c r="C7776" s="9" t="s">
        <v>1108</v>
      </c>
      <c r="D7776" s="14" t="s">
        <v>14817</v>
      </c>
      <c r="E7776" s="9" t="s">
        <v>11</v>
      </c>
    </row>
    <row r="7777" spans="1:5" ht="15" customHeight="1" outlineLevel="2" x14ac:dyDescent="0.25">
      <c r="A7777" s="3" t="str">
        <f>HYPERLINK("http://mystore1.ru/price_items/search?utf8=%E2%9C%93&amp;oem=7230RGNE5RD","7230RGNE5RD")</f>
        <v>7230RGNE5RD</v>
      </c>
      <c r="B7777" s="1" t="s">
        <v>14818</v>
      </c>
      <c r="C7777" s="9" t="s">
        <v>1108</v>
      </c>
      <c r="D7777" s="14" t="s">
        <v>14819</v>
      </c>
      <c r="E7777" s="9" t="s">
        <v>11</v>
      </c>
    </row>
    <row r="7778" spans="1:5" ht="15" customHeight="1" outlineLevel="2" x14ac:dyDescent="0.25">
      <c r="A7778" s="3" t="str">
        <f>HYPERLINK("http://mystore1.ru/price_items/search?utf8=%E2%9C%93&amp;oem=7230RGNS4FD","7230RGNS4FD")</f>
        <v>7230RGNS4FD</v>
      </c>
      <c r="B7778" s="1" t="s">
        <v>14820</v>
      </c>
      <c r="C7778" s="9" t="s">
        <v>1108</v>
      </c>
      <c r="D7778" s="14" t="s">
        <v>14821</v>
      </c>
      <c r="E7778" s="9" t="s">
        <v>11</v>
      </c>
    </row>
    <row r="7779" spans="1:5" ht="15" customHeight="1" outlineLevel="2" x14ac:dyDescent="0.25">
      <c r="A7779" s="3" t="str">
        <f>HYPERLINK("http://mystore1.ru/price_items/search?utf8=%E2%9C%93&amp;oem=7230RGNS4RD","7230RGNS4RD")</f>
        <v>7230RGNS4RD</v>
      </c>
      <c r="B7779" s="1" t="s">
        <v>14822</v>
      </c>
      <c r="C7779" s="9" t="s">
        <v>1108</v>
      </c>
      <c r="D7779" s="14" t="s">
        <v>14823</v>
      </c>
      <c r="E7779" s="9" t="s">
        <v>11</v>
      </c>
    </row>
    <row r="7780" spans="1:5" ht="15" customHeight="1" outlineLevel="2" x14ac:dyDescent="0.25">
      <c r="A7780" s="3" t="str">
        <f>HYPERLINK("http://mystore1.ru/price_items/search?utf8=%E2%9C%93&amp;oem=7230RGNS4RQ","7230RGNS4RQ")</f>
        <v>7230RGNS4RQ</v>
      </c>
      <c r="B7780" s="1" t="s">
        <v>14824</v>
      </c>
      <c r="C7780" s="9" t="s">
        <v>1108</v>
      </c>
      <c r="D7780" s="14" t="s">
        <v>14825</v>
      </c>
      <c r="E7780" s="9" t="s">
        <v>11</v>
      </c>
    </row>
    <row r="7781" spans="1:5" outlineLevel="1" x14ac:dyDescent="0.25">
      <c r="A7781" s="2"/>
      <c r="B7781" s="6" t="s">
        <v>14826</v>
      </c>
      <c r="C7781" s="8"/>
      <c r="D7781" s="8"/>
      <c r="E7781" s="8"/>
    </row>
    <row r="7782" spans="1:5" ht="15" customHeight="1" outlineLevel="2" x14ac:dyDescent="0.25">
      <c r="A7782" s="3" t="str">
        <f>HYPERLINK("http://mystore1.ru/price_items/search?utf8=%E2%9C%93&amp;oem=7226ACL","7226ACL")</f>
        <v>7226ACL</v>
      </c>
      <c r="B7782" s="1" t="s">
        <v>14827</v>
      </c>
      <c r="C7782" s="9" t="s">
        <v>3326</v>
      </c>
      <c r="D7782" s="14" t="s">
        <v>14828</v>
      </c>
      <c r="E7782" s="9" t="s">
        <v>8</v>
      </c>
    </row>
    <row r="7783" spans="1:5" ht="15" customHeight="1" outlineLevel="2" x14ac:dyDescent="0.25">
      <c r="A7783" s="3" t="str">
        <f>HYPERLINK("http://mystore1.ru/price_items/search?utf8=%E2%9C%93&amp;oem=7226AGN","7226AGN")</f>
        <v>7226AGN</v>
      </c>
      <c r="B7783" s="1" t="s">
        <v>14829</v>
      </c>
      <c r="C7783" s="9" t="s">
        <v>3326</v>
      </c>
      <c r="D7783" s="14" t="s">
        <v>14830</v>
      </c>
      <c r="E7783" s="9" t="s">
        <v>8</v>
      </c>
    </row>
    <row r="7784" spans="1:5" ht="15" customHeight="1" outlineLevel="2" x14ac:dyDescent="0.25">
      <c r="A7784" s="3" t="str">
        <f>HYPERLINK("http://mystore1.ru/price_items/search?utf8=%E2%9C%93&amp;oem=7226AGNGN","7226AGNGN")</f>
        <v>7226AGNGN</v>
      </c>
      <c r="B7784" s="1" t="s">
        <v>14831</v>
      </c>
      <c r="C7784" s="9" t="s">
        <v>3326</v>
      </c>
      <c r="D7784" s="14" t="s">
        <v>14832</v>
      </c>
      <c r="E7784" s="9" t="s">
        <v>8</v>
      </c>
    </row>
    <row r="7785" spans="1:5" ht="15" customHeight="1" outlineLevel="2" x14ac:dyDescent="0.25">
      <c r="A7785" s="3" t="str">
        <f>HYPERLINK("http://mystore1.ru/price_items/search?utf8=%E2%9C%93&amp;oem=7226AKMH","7226AKMH")</f>
        <v>7226AKMH</v>
      </c>
      <c r="B7785" s="1" t="s">
        <v>14833</v>
      </c>
      <c r="C7785" s="9" t="s">
        <v>25</v>
      </c>
      <c r="D7785" s="14" t="s">
        <v>14834</v>
      </c>
      <c r="E7785" s="9" t="s">
        <v>27</v>
      </c>
    </row>
    <row r="7786" spans="1:5" ht="15" customHeight="1" outlineLevel="2" x14ac:dyDescent="0.25">
      <c r="A7786" s="3" t="str">
        <f>HYPERLINK("http://mystore1.ru/price_items/search?utf8=%E2%9C%93&amp;oem=7226ASFHC","7226ASFHC")</f>
        <v>7226ASFHC</v>
      </c>
      <c r="B7786" s="1" t="s">
        <v>14835</v>
      </c>
      <c r="C7786" s="9" t="s">
        <v>25</v>
      </c>
      <c r="D7786" s="14" t="s">
        <v>14836</v>
      </c>
      <c r="E7786" s="9" t="s">
        <v>27</v>
      </c>
    </row>
    <row r="7787" spans="1:5" ht="15" customHeight="1" outlineLevel="2" x14ac:dyDescent="0.25">
      <c r="A7787" s="3" t="str">
        <f>HYPERLINK("http://mystore1.ru/price_items/search?utf8=%E2%9C%93&amp;oem=7226ASGH","7226ASGH")</f>
        <v>7226ASGH</v>
      </c>
      <c r="B7787" s="1" t="s">
        <v>14837</v>
      </c>
      <c r="C7787" s="9" t="s">
        <v>25</v>
      </c>
      <c r="D7787" s="14" t="s">
        <v>14836</v>
      </c>
      <c r="E7787" s="9" t="s">
        <v>27</v>
      </c>
    </row>
    <row r="7788" spans="1:5" ht="15" customHeight="1" outlineLevel="2" x14ac:dyDescent="0.25">
      <c r="A7788" s="3" t="str">
        <f>HYPERLINK("http://mystore1.ru/price_items/search?utf8=%E2%9C%93&amp;oem=7226BGNH","7226BGNH")</f>
        <v>7226BGNH</v>
      </c>
      <c r="B7788" s="1" t="s">
        <v>14838</v>
      </c>
      <c r="C7788" s="9" t="s">
        <v>3326</v>
      </c>
      <c r="D7788" s="14" t="s">
        <v>14839</v>
      </c>
      <c r="E7788" s="9" t="s">
        <v>30</v>
      </c>
    </row>
    <row r="7789" spans="1:5" ht="15" customHeight="1" outlineLevel="2" x14ac:dyDescent="0.25">
      <c r="A7789" s="3" t="str">
        <f>HYPERLINK("http://mystore1.ru/price_items/search?utf8=%E2%9C%93&amp;oem=7226LGNH5FD","7226LGNH5FD")</f>
        <v>7226LGNH5FD</v>
      </c>
      <c r="B7789" s="1" t="s">
        <v>14840</v>
      </c>
      <c r="C7789" s="9" t="s">
        <v>3326</v>
      </c>
      <c r="D7789" s="14" t="s">
        <v>14841</v>
      </c>
      <c r="E7789" s="9" t="s">
        <v>11</v>
      </c>
    </row>
    <row r="7790" spans="1:5" ht="15" customHeight="1" outlineLevel="2" x14ac:dyDescent="0.25">
      <c r="A7790" s="3" t="str">
        <f>HYPERLINK("http://mystore1.ru/price_items/search?utf8=%E2%9C%93&amp;oem=7226LGNH5RD","7226LGNH5RD")</f>
        <v>7226LGNH5RD</v>
      </c>
      <c r="B7790" s="1" t="s">
        <v>14842</v>
      </c>
      <c r="C7790" s="9" t="s">
        <v>3326</v>
      </c>
      <c r="D7790" s="14" t="s">
        <v>14843</v>
      </c>
      <c r="E7790" s="9" t="s">
        <v>11</v>
      </c>
    </row>
    <row r="7791" spans="1:5" ht="15" customHeight="1" outlineLevel="2" x14ac:dyDescent="0.25">
      <c r="A7791" s="3" t="str">
        <f>HYPERLINK("http://mystore1.ru/price_items/search?utf8=%E2%9C%93&amp;oem=7226LGNH5RV","7226LGNH5RV")</f>
        <v>7226LGNH5RV</v>
      </c>
      <c r="B7791" s="1" t="s">
        <v>14844</v>
      </c>
      <c r="C7791" s="9" t="s">
        <v>3326</v>
      </c>
      <c r="D7791" s="14" t="s">
        <v>14845</v>
      </c>
      <c r="E7791" s="9" t="s">
        <v>11</v>
      </c>
    </row>
    <row r="7792" spans="1:5" ht="15" customHeight="1" outlineLevel="2" x14ac:dyDescent="0.25">
      <c r="A7792" s="3" t="str">
        <f>HYPERLINK("http://mystore1.ru/price_items/search?utf8=%E2%9C%93&amp;oem=7226RGNH5FD","7226RGNH5FD")</f>
        <v>7226RGNH5FD</v>
      </c>
      <c r="B7792" s="1" t="s">
        <v>14846</v>
      </c>
      <c r="C7792" s="9" t="s">
        <v>3326</v>
      </c>
      <c r="D7792" s="14" t="s">
        <v>14847</v>
      </c>
      <c r="E7792" s="9" t="s">
        <v>11</v>
      </c>
    </row>
    <row r="7793" spans="1:5" ht="15" customHeight="1" outlineLevel="2" x14ac:dyDescent="0.25">
      <c r="A7793" s="3" t="str">
        <f>HYPERLINK("http://mystore1.ru/price_items/search?utf8=%E2%9C%93&amp;oem=7226RGNH5RD","7226RGNH5RD")</f>
        <v>7226RGNH5RD</v>
      </c>
      <c r="B7793" s="1" t="s">
        <v>14848</v>
      </c>
      <c r="C7793" s="9" t="s">
        <v>3326</v>
      </c>
      <c r="D7793" s="14" t="s">
        <v>14849</v>
      </c>
      <c r="E7793" s="9" t="s">
        <v>11</v>
      </c>
    </row>
    <row r="7794" spans="1:5" ht="15" customHeight="1" outlineLevel="2" x14ac:dyDescent="0.25">
      <c r="A7794" s="3" t="str">
        <f>HYPERLINK("http://mystore1.ru/price_items/search?utf8=%E2%9C%93&amp;oem=7226RGNH5RV","7226RGNH5RV")</f>
        <v>7226RGNH5RV</v>
      </c>
      <c r="B7794" s="1" t="s">
        <v>14850</v>
      </c>
      <c r="C7794" s="9" t="s">
        <v>3326</v>
      </c>
      <c r="D7794" s="14" t="s">
        <v>14851</v>
      </c>
      <c r="E7794" s="9" t="s">
        <v>11</v>
      </c>
    </row>
    <row r="7795" spans="1:5" outlineLevel="1" x14ac:dyDescent="0.25">
      <c r="A7795" s="2"/>
      <c r="B7795" s="6" t="s">
        <v>14852</v>
      </c>
      <c r="C7795" s="8"/>
      <c r="D7795" s="8"/>
      <c r="E7795" s="8"/>
    </row>
    <row r="7796" spans="1:5" ht="15" customHeight="1" outlineLevel="2" x14ac:dyDescent="0.25">
      <c r="A7796" s="3" t="str">
        <f>HYPERLINK("http://mystore1.ru/price_items/search?utf8=%E2%9C%93&amp;oem=7235AGN","7235AGN")</f>
        <v>7235AGN</v>
      </c>
      <c r="B7796" s="1" t="s">
        <v>14853</v>
      </c>
      <c r="C7796" s="9" t="s">
        <v>2846</v>
      </c>
      <c r="D7796" s="14" t="s">
        <v>14854</v>
      </c>
      <c r="E7796" s="9" t="s">
        <v>8</v>
      </c>
    </row>
    <row r="7797" spans="1:5" ht="15" customHeight="1" outlineLevel="2" x14ac:dyDescent="0.25">
      <c r="A7797" s="3" t="str">
        <f>HYPERLINK("http://mystore1.ru/price_items/search?utf8=%E2%9C%93&amp;oem=7235AKMHT","7235AKMHT")</f>
        <v>7235AKMHT</v>
      </c>
      <c r="B7797" s="1" t="s">
        <v>14855</v>
      </c>
      <c r="C7797" s="9" t="s">
        <v>25</v>
      </c>
      <c r="D7797" s="14" t="s">
        <v>14856</v>
      </c>
      <c r="E7797" s="9" t="s">
        <v>27</v>
      </c>
    </row>
    <row r="7798" spans="1:5" ht="15" customHeight="1" outlineLevel="2" x14ac:dyDescent="0.25">
      <c r="A7798" s="3" t="str">
        <f>HYPERLINK("http://mystore1.ru/price_items/search?utf8=%E2%9C%93&amp;oem=7235BGNHBZ","7235BGNHBZ")</f>
        <v>7235BGNHBZ</v>
      </c>
      <c r="B7798" s="1" t="s">
        <v>14857</v>
      </c>
      <c r="C7798" s="9" t="s">
        <v>2846</v>
      </c>
      <c r="D7798" s="14" t="s">
        <v>14858</v>
      </c>
      <c r="E7798" s="9" t="s">
        <v>30</v>
      </c>
    </row>
    <row r="7799" spans="1:5" ht="15" customHeight="1" outlineLevel="2" x14ac:dyDescent="0.25">
      <c r="A7799" s="3" t="str">
        <f>HYPERLINK("http://mystore1.ru/price_items/search?utf8=%E2%9C%93&amp;oem=7235BGNHZ","7235BGNHZ")</f>
        <v>7235BGNHZ</v>
      </c>
      <c r="B7799" s="1" t="s">
        <v>14859</v>
      </c>
      <c r="C7799" s="9" t="s">
        <v>2846</v>
      </c>
      <c r="D7799" s="14" t="s">
        <v>14860</v>
      </c>
      <c r="E7799" s="9" t="s">
        <v>30</v>
      </c>
    </row>
    <row r="7800" spans="1:5" ht="15" customHeight="1" outlineLevel="2" x14ac:dyDescent="0.25">
      <c r="A7800" s="3" t="str">
        <f>HYPERLINK("http://mystore1.ru/price_items/search?utf8=%E2%9C%93&amp;oem=7235LGNH5FD","7235LGNH5FD")</f>
        <v>7235LGNH5FD</v>
      </c>
      <c r="B7800" s="1" t="s">
        <v>14861</v>
      </c>
      <c r="C7800" s="9" t="s">
        <v>2846</v>
      </c>
      <c r="D7800" s="14" t="s">
        <v>14862</v>
      </c>
      <c r="E7800" s="9" t="s">
        <v>11</v>
      </c>
    </row>
    <row r="7801" spans="1:5" ht="15" customHeight="1" outlineLevel="2" x14ac:dyDescent="0.25">
      <c r="A7801" s="3" t="str">
        <f>HYPERLINK("http://mystore1.ru/price_items/search?utf8=%E2%9C%93&amp;oem=7235LGNH5RD","7235LGNH5RD")</f>
        <v>7235LGNH5RD</v>
      </c>
      <c r="B7801" s="1" t="s">
        <v>14863</v>
      </c>
      <c r="C7801" s="9" t="s">
        <v>2846</v>
      </c>
      <c r="D7801" s="14" t="s">
        <v>14864</v>
      </c>
      <c r="E7801" s="9" t="s">
        <v>11</v>
      </c>
    </row>
    <row r="7802" spans="1:5" ht="15" customHeight="1" outlineLevel="2" x14ac:dyDescent="0.25">
      <c r="A7802" s="3" t="str">
        <f>HYPERLINK("http://mystore1.ru/price_items/search?utf8=%E2%9C%93&amp;oem=7235RGNH5FD","7235RGNH5FD")</f>
        <v>7235RGNH5FD</v>
      </c>
      <c r="B7802" s="1" t="s">
        <v>14865</v>
      </c>
      <c r="C7802" s="9" t="s">
        <v>2846</v>
      </c>
      <c r="D7802" s="14" t="s">
        <v>14866</v>
      </c>
      <c r="E7802" s="9" t="s">
        <v>11</v>
      </c>
    </row>
    <row r="7803" spans="1:5" ht="15" customHeight="1" outlineLevel="2" x14ac:dyDescent="0.25">
      <c r="A7803" s="3" t="str">
        <f>HYPERLINK("http://mystore1.ru/price_items/search?utf8=%E2%9C%93&amp;oem=7235RGNH5RD","7235RGNH5RD")</f>
        <v>7235RGNH5RD</v>
      </c>
      <c r="B7803" s="1" t="s">
        <v>14867</v>
      </c>
      <c r="C7803" s="9" t="s">
        <v>2846</v>
      </c>
      <c r="D7803" s="14" t="s">
        <v>14868</v>
      </c>
      <c r="E7803" s="9" t="s">
        <v>11</v>
      </c>
    </row>
    <row r="7804" spans="1:5" ht="15" customHeight="1" outlineLevel="2" x14ac:dyDescent="0.25">
      <c r="A7804" s="3" t="str">
        <f>HYPERLINK("http://mystore1.ru/price_items/search?utf8=%E2%9C%93&amp;oem=7235RGNH5RQZ1G","7235RGNH5RQZ1G")</f>
        <v>7235RGNH5RQZ1G</v>
      </c>
      <c r="B7804" s="1" t="s">
        <v>14869</v>
      </c>
      <c r="C7804" s="9" t="s">
        <v>2846</v>
      </c>
      <c r="D7804" s="14" t="s">
        <v>14870</v>
      </c>
      <c r="E7804" s="9" t="s">
        <v>11</v>
      </c>
    </row>
    <row r="7805" spans="1:5" outlineLevel="1" x14ac:dyDescent="0.25">
      <c r="A7805" s="2"/>
      <c r="B7805" s="6" t="s">
        <v>14871</v>
      </c>
      <c r="C7805" s="8"/>
      <c r="D7805" s="8"/>
      <c r="E7805" s="8"/>
    </row>
    <row r="7806" spans="1:5" ht="15" customHeight="1" outlineLevel="2" x14ac:dyDescent="0.25">
      <c r="A7806" s="3" t="str">
        <f>HYPERLINK("http://mystore1.ru/price_items/search?utf8=%E2%9C%93&amp;oem=7276AGS","7276AGS")</f>
        <v>7276AGS</v>
      </c>
      <c r="B7806" s="1" t="s">
        <v>14104</v>
      </c>
      <c r="C7806" s="9" t="s">
        <v>14105</v>
      </c>
      <c r="D7806" s="14" t="s">
        <v>14872</v>
      </c>
      <c r="E7806" s="9" t="s">
        <v>8</v>
      </c>
    </row>
    <row r="7807" spans="1:5" ht="15" customHeight="1" outlineLevel="2" x14ac:dyDescent="0.25">
      <c r="A7807" s="3" t="str">
        <f>HYPERLINK("http://mystore1.ru/price_items/search?utf8=%E2%9C%93&amp;oem=7276RGNR5FD","7276RGNR5FD")</f>
        <v>7276RGNR5FD</v>
      </c>
      <c r="B7807" s="1" t="s">
        <v>14107</v>
      </c>
      <c r="C7807" s="9" t="s">
        <v>14105</v>
      </c>
      <c r="D7807" s="14" t="s">
        <v>14873</v>
      </c>
      <c r="E7807" s="9" t="s">
        <v>11</v>
      </c>
    </row>
    <row r="7808" spans="1:5" ht="15" customHeight="1" outlineLevel="2" x14ac:dyDescent="0.25">
      <c r="A7808" s="3" t="str">
        <f>HYPERLINK("http://mystore1.ru/price_items/search?utf8=%E2%9C%93&amp;oem=7276LGNR5FD","7276LGNR5FD")</f>
        <v>7276LGNR5FD</v>
      </c>
      <c r="B7808" s="1" t="s">
        <v>14109</v>
      </c>
      <c r="C7808" s="9" t="s">
        <v>14105</v>
      </c>
      <c r="D7808" s="14" t="s">
        <v>14874</v>
      </c>
      <c r="E7808" s="9" t="s">
        <v>11</v>
      </c>
    </row>
    <row r="7809" spans="1:5" ht="15" customHeight="1" outlineLevel="2" x14ac:dyDescent="0.25">
      <c r="A7809" s="3" t="str">
        <f>HYPERLINK("http://mystore1.ru/price_items/search?utf8=%E2%9C%93&amp;oem=7276RGSH5RD","7276RGSH5RD")</f>
        <v>7276RGSH5RD</v>
      </c>
      <c r="B7809" s="1" t="s">
        <v>14875</v>
      </c>
      <c r="C7809" s="9" t="s">
        <v>642</v>
      </c>
      <c r="D7809" s="14" t="s">
        <v>14876</v>
      </c>
      <c r="E7809" s="9" t="s">
        <v>11</v>
      </c>
    </row>
    <row r="7810" spans="1:5" ht="15" customHeight="1" outlineLevel="2" x14ac:dyDescent="0.25">
      <c r="A7810" s="3" t="str">
        <f>HYPERLINK("http://mystore1.ru/price_items/search?utf8=%E2%9C%93&amp;oem=7276LGSH5RD","7276LGSH5RD")</f>
        <v>7276LGSH5RD</v>
      </c>
      <c r="B7810" s="1" t="s">
        <v>14877</v>
      </c>
      <c r="C7810" s="9" t="s">
        <v>642</v>
      </c>
      <c r="D7810" s="14" t="s">
        <v>14878</v>
      </c>
      <c r="E7810" s="9" t="s">
        <v>11</v>
      </c>
    </row>
    <row r="7811" spans="1:5" ht="15" customHeight="1" outlineLevel="2" x14ac:dyDescent="0.25">
      <c r="A7811" s="3" t="str">
        <f>HYPERLINK("http://mystore1.ru/price_items/search?utf8=%E2%9C%93&amp;oem=7276RGSH5RV","7276RGSH5RV")</f>
        <v>7276RGSH5RV</v>
      </c>
      <c r="B7811" s="1" t="s">
        <v>14879</v>
      </c>
      <c r="C7811" s="9" t="s">
        <v>642</v>
      </c>
      <c r="D7811" s="14" t="s">
        <v>14880</v>
      </c>
      <c r="E7811" s="9" t="s">
        <v>11</v>
      </c>
    </row>
    <row r="7812" spans="1:5" ht="15" customHeight="1" outlineLevel="2" x14ac:dyDescent="0.25">
      <c r="A7812" s="3" t="str">
        <f>HYPERLINK("http://mystore1.ru/price_items/search?utf8=%E2%9C%93&amp;oem=7276LGSH5RV","7276LGSH5RV")</f>
        <v>7276LGSH5RV</v>
      </c>
      <c r="B7812" s="1" t="s">
        <v>14881</v>
      </c>
      <c r="C7812" s="9" t="s">
        <v>642</v>
      </c>
      <c r="D7812" s="14" t="s">
        <v>14882</v>
      </c>
      <c r="E7812" s="9" t="s">
        <v>11</v>
      </c>
    </row>
    <row r="7813" spans="1:5" ht="15" customHeight="1" outlineLevel="2" x14ac:dyDescent="0.25">
      <c r="A7813" s="3" t="str">
        <f>HYPERLINK("http://mystore1.ru/price_items/search?utf8=%E2%9C%93&amp;oem=7276BGSH1E","7276BGSH1E")</f>
        <v>7276BGSH1E</v>
      </c>
      <c r="B7813" s="1" t="s">
        <v>14883</v>
      </c>
      <c r="C7813" s="9" t="s">
        <v>642</v>
      </c>
      <c r="D7813" s="14" t="s">
        <v>14884</v>
      </c>
      <c r="E7813" s="9" t="s">
        <v>30</v>
      </c>
    </row>
    <row r="7814" spans="1:5" outlineLevel="1" x14ac:dyDescent="0.25">
      <c r="A7814" s="2"/>
      <c r="B7814" s="6" t="s">
        <v>14885</v>
      </c>
      <c r="C7814" s="8"/>
      <c r="D7814" s="8"/>
      <c r="E7814" s="8"/>
    </row>
    <row r="7815" spans="1:5" ht="15" customHeight="1" outlineLevel="2" x14ac:dyDescent="0.25">
      <c r="A7815" s="3" t="str">
        <f>HYPERLINK("http://mystore1.ru/price_items/search?utf8=%E2%9C%93&amp;oem=7252ACCV","7252ACCV")</f>
        <v>7252ACCV</v>
      </c>
      <c r="B7815" s="1" t="s">
        <v>14886</v>
      </c>
      <c r="C7815" s="9" t="s">
        <v>14887</v>
      </c>
      <c r="D7815" s="14" t="s">
        <v>14888</v>
      </c>
      <c r="E7815" s="9" t="s">
        <v>8</v>
      </c>
    </row>
    <row r="7816" spans="1:5" ht="15" customHeight="1" outlineLevel="2" x14ac:dyDescent="0.25">
      <c r="A7816" s="3" t="str">
        <f>HYPERLINK("http://mystore1.ru/price_items/search?utf8=%E2%9C%93&amp;oem=7252ACCV1H","7252ACCV1H")</f>
        <v>7252ACCV1H</v>
      </c>
      <c r="B7816" s="1" t="s">
        <v>14889</v>
      </c>
      <c r="C7816" s="9" t="s">
        <v>14887</v>
      </c>
      <c r="D7816" s="14" t="s">
        <v>14890</v>
      </c>
      <c r="E7816" s="9" t="s">
        <v>8</v>
      </c>
    </row>
    <row r="7817" spans="1:5" ht="15" customHeight="1" outlineLevel="2" x14ac:dyDescent="0.25">
      <c r="A7817" s="3" t="str">
        <f>HYPERLINK("http://mystore1.ru/price_items/search?utf8=%E2%9C%93&amp;oem=7252AGSMV1P","7252AGSMV1P")</f>
        <v>7252AGSMV1P</v>
      </c>
      <c r="B7817" s="1" t="s">
        <v>14891</v>
      </c>
      <c r="C7817" s="9" t="s">
        <v>14892</v>
      </c>
      <c r="D7817" s="14" t="s">
        <v>14893</v>
      </c>
      <c r="E7817" s="9" t="s">
        <v>8</v>
      </c>
    </row>
    <row r="7818" spans="1:5" ht="15" customHeight="1" outlineLevel="2" x14ac:dyDescent="0.25">
      <c r="A7818" s="3" t="str">
        <f>HYPERLINK("http://mystore1.ru/price_items/search?utf8=%E2%9C%93&amp;oem=7252AGSV","7252AGSV")</f>
        <v>7252AGSV</v>
      </c>
      <c r="B7818" s="1" t="s">
        <v>14894</v>
      </c>
      <c r="C7818" s="9" t="s">
        <v>14887</v>
      </c>
      <c r="D7818" s="14" t="s">
        <v>14895</v>
      </c>
      <c r="E7818" s="9" t="s">
        <v>8</v>
      </c>
    </row>
    <row r="7819" spans="1:5" ht="15" customHeight="1" outlineLevel="2" x14ac:dyDescent="0.25">
      <c r="A7819" s="3" t="str">
        <f>HYPERLINK("http://mystore1.ru/price_items/search?utf8=%E2%9C%93&amp;oem=6300AGSV","6300AGSV")</f>
        <v>6300AGSV</v>
      </c>
      <c r="B7819" s="1" t="s">
        <v>14896</v>
      </c>
      <c r="C7819" s="9" t="s">
        <v>14887</v>
      </c>
      <c r="D7819" s="14" t="s">
        <v>14897</v>
      </c>
      <c r="E7819" s="9" t="s">
        <v>8</v>
      </c>
    </row>
    <row r="7820" spans="1:5" ht="15" customHeight="1" outlineLevel="2" x14ac:dyDescent="0.25">
      <c r="A7820" s="3" t="str">
        <f>HYPERLINK("http://mystore1.ru/price_items/search?utf8=%E2%9C%93&amp;oem=7252AGSV1C","7252AGSV1C")</f>
        <v>7252AGSV1C</v>
      </c>
      <c r="B7820" s="1" t="s">
        <v>14898</v>
      </c>
      <c r="C7820" s="9" t="s">
        <v>14887</v>
      </c>
      <c r="D7820" s="14" t="s">
        <v>14899</v>
      </c>
      <c r="E7820" s="9" t="s">
        <v>8</v>
      </c>
    </row>
    <row r="7821" spans="1:5" ht="15" customHeight="1" outlineLevel="2" x14ac:dyDescent="0.25">
      <c r="A7821" s="3" t="str">
        <f>HYPERLINK("http://mystore1.ru/price_items/search?utf8=%E2%9C%93&amp;oem=7252AGSV1H","7252AGSV1H")</f>
        <v>7252AGSV1H</v>
      </c>
      <c r="B7821" s="1" t="s">
        <v>14900</v>
      </c>
      <c r="C7821" s="9" t="s">
        <v>14887</v>
      </c>
      <c r="D7821" s="14" t="s">
        <v>14901</v>
      </c>
      <c r="E7821" s="9" t="s">
        <v>8</v>
      </c>
    </row>
    <row r="7822" spans="1:5" ht="15" customHeight="1" outlineLevel="2" x14ac:dyDescent="0.25">
      <c r="A7822" s="3" t="str">
        <f>HYPERLINK("http://mystore1.ru/price_items/search?utf8=%E2%9C%93&amp;oem=7252ASMVT","7252ASMVT")</f>
        <v>7252ASMVT</v>
      </c>
      <c r="B7822" s="1" t="s">
        <v>14902</v>
      </c>
      <c r="C7822" s="9" t="s">
        <v>25</v>
      </c>
      <c r="D7822" s="14" t="s">
        <v>14903</v>
      </c>
      <c r="E7822" s="9" t="s">
        <v>27</v>
      </c>
    </row>
    <row r="7823" spans="1:5" ht="15" customHeight="1" outlineLevel="2" x14ac:dyDescent="0.25">
      <c r="A7823" s="3" t="str">
        <f>HYPERLINK("http://mystore1.ru/price_items/search?utf8=%E2%9C%93&amp;oem=7252BGSV","7252BGSV")</f>
        <v>7252BGSV</v>
      </c>
      <c r="B7823" s="1" t="s">
        <v>14904</v>
      </c>
      <c r="C7823" s="9" t="s">
        <v>14887</v>
      </c>
      <c r="D7823" s="14" t="s">
        <v>14905</v>
      </c>
      <c r="E7823" s="9" t="s">
        <v>30</v>
      </c>
    </row>
    <row r="7824" spans="1:5" ht="15" customHeight="1" outlineLevel="2" x14ac:dyDescent="0.25">
      <c r="A7824" s="3" t="str">
        <f>HYPERLINK("http://mystore1.ru/price_items/search?utf8=%E2%9C%93&amp;oem=7252BGSVL","7252BGSVL")</f>
        <v>7252BGSVL</v>
      </c>
      <c r="B7824" s="1" t="s">
        <v>14906</v>
      </c>
      <c r="C7824" s="9" t="s">
        <v>14887</v>
      </c>
      <c r="D7824" s="14" t="s">
        <v>14907</v>
      </c>
      <c r="E7824" s="9" t="s">
        <v>30</v>
      </c>
    </row>
    <row r="7825" spans="1:5" ht="15" customHeight="1" outlineLevel="2" x14ac:dyDescent="0.25">
      <c r="A7825" s="3" t="str">
        <f>HYPERLINK("http://mystore1.ru/price_items/search?utf8=%E2%9C%93&amp;oem=7252BGSVLU","7252BGSVLU")</f>
        <v>7252BGSVLU</v>
      </c>
      <c r="B7825" s="1" t="s">
        <v>14908</v>
      </c>
      <c r="C7825" s="9" t="s">
        <v>14887</v>
      </c>
      <c r="D7825" s="14" t="s">
        <v>14909</v>
      </c>
      <c r="E7825" s="9" t="s">
        <v>30</v>
      </c>
    </row>
    <row r="7826" spans="1:5" ht="15" customHeight="1" outlineLevel="2" x14ac:dyDescent="0.25">
      <c r="A7826" s="3" t="str">
        <f>HYPERLINK("http://mystore1.ru/price_items/search?utf8=%E2%9C%93&amp;oem=7252BGSVR","7252BGSVR")</f>
        <v>7252BGSVR</v>
      </c>
      <c r="B7826" s="1" t="s">
        <v>14910</v>
      </c>
      <c r="C7826" s="9" t="s">
        <v>14887</v>
      </c>
      <c r="D7826" s="14" t="s">
        <v>14911</v>
      </c>
      <c r="E7826" s="9" t="s">
        <v>30</v>
      </c>
    </row>
    <row r="7827" spans="1:5" ht="15" customHeight="1" outlineLevel="2" x14ac:dyDescent="0.25">
      <c r="A7827" s="3" t="str">
        <f>HYPERLINK("http://mystore1.ru/price_items/search?utf8=%E2%9C%93&amp;oem=7252BGSVRU","7252BGSVRU")</f>
        <v>7252BGSVRU</v>
      </c>
      <c r="B7827" s="1" t="s">
        <v>14912</v>
      </c>
      <c r="C7827" s="9" t="s">
        <v>14887</v>
      </c>
      <c r="D7827" s="14" t="s">
        <v>14913</v>
      </c>
      <c r="E7827" s="9" t="s">
        <v>30</v>
      </c>
    </row>
    <row r="7828" spans="1:5" ht="15" customHeight="1" outlineLevel="2" x14ac:dyDescent="0.25">
      <c r="A7828" s="3" t="str">
        <f>HYPERLINK("http://mystore1.ru/price_items/search?utf8=%E2%9C%93&amp;oem=7252LGSV2FD","7252LGSV2FD")</f>
        <v>7252LGSV2FD</v>
      </c>
      <c r="B7828" s="1" t="s">
        <v>14914</v>
      </c>
      <c r="C7828" s="9" t="s">
        <v>14887</v>
      </c>
      <c r="D7828" s="14" t="s">
        <v>14915</v>
      </c>
      <c r="E7828" s="9" t="s">
        <v>11</v>
      </c>
    </row>
    <row r="7829" spans="1:5" ht="15" customHeight="1" outlineLevel="2" x14ac:dyDescent="0.25">
      <c r="A7829" s="3" t="str">
        <f>HYPERLINK("http://mystore1.ru/price_items/search?utf8=%E2%9C%93&amp;oem=7252LGSV2FV","7252LGSV2FV")</f>
        <v>7252LGSV2FV</v>
      </c>
      <c r="B7829" s="1" t="s">
        <v>14916</v>
      </c>
      <c r="C7829" s="9" t="s">
        <v>14887</v>
      </c>
      <c r="D7829" s="14" t="s">
        <v>14917</v>
      </c>
      <c r="E7829" s="9" t="s">
        <v>11</v>
      </c>
    </row>
    <row r="7830" spans="1:5" ht="15" customHeight="1" outlineLevel="2" x14ac:dyDescent="0.25">
      <c r="A7830" s="3" t="str">
        <f>HYPERLINK("http://mystore1.ru/price_items/search?utf8=%E2%9C%93&amp;oem=7252LGSV2RQ","7252LGSV2RQ")</f>
        <v>7252LGSV2RQ</v>
      </c>
      <c r="B7830" s="1" t="s">
        <v>14918</v>
      </c>
      <c r="C7830" s="9" t="s">
        <v>14887</v>
      </c>
      <c r="D7830" s="14" t="s">
        <v>14919</v>
      </c>
      <c r="E7830" s="9" t="s">
        <v>11</v>
      </c>
    </row>
    <row r="7831" spans="1:5" ht="15" customHeight="1" outlineLevel="2" x14ac:dyDescent="0.25">
      <c r="A7831" s="3" t="str">
        <f>HYPERLINK("http://mystore1.ru/price_items/search?utf8=%E2%9C%93&amp;oem=7252LGSV3MQ","7252LGSV3MQ")</f>
        <v>7252LGSV3MQ</v>
      </c>
      <c r="B7831" s="1" t="s">
        <v>14920</v>
      </c>
      <c r="C7831" s="9" t="s">
        <v>14887</v>
      </c>
      <c r="D7831" s="14" t="s">
        <v>14921</v>
      </c>
      <c r="E7831" s="9" t="s">
        <v>11</v>
      </c>
    </row>
    <row r="7832" spans="1:5" ht="15" customHeight="1" outlineLevel="2" x14ac:dyDescent="0.25">
      <c r="A7832" s="3" t="str">
        <f>HYPERLINK("http://mystore1.ru/price_items/search?utf8=%E2%9C%93&amp;oem=7252LGSV4RD","7252LGSV4RD")</f>
        <v>7252LGSV4RD</v>
      </c>
      <c r="B7832" s="1" t="s">
        <v>14922</v>
      </c>
      <c r="C7832" s="9" t="s">
        <v>14887</v>
      </c>
      <c r="D7832" s="14" t="s">
        <v>14923</v>
      </c>
      <c r="E7832" s="9" t="s">
        <v>11</v>
      </c>
    </row>
    <row r="7833" spans="1:5" ht="15" customHeight="1" outlineLevel="2" x14ac:dyDescent="0.25">
      <c r="A7833" s="3" t="str">
        <f>HYPERLINK("http://mystore1.ru/price_items/search?utf8=%E2%9C%93&amp;oem=7252LGSV4RQ1J","7252LGSV4RQ1J")</f>
        <v>7252LGSV4RQ1J</v>
      </c>
      <c r="B7833" s="1" t="s">
        <v>14924</v>
      </c>
      <c r="C7833" s="9" t="s">
        <v>14887</v>
      </c>
      <c r="D7833" s="14" t="s">
        <v>14925</v>
      </c>
      <c r="E7833" s="9" t="s">
        <v>11</v>
      </c>
    </row>
    <row r="7834" spans="1:5" ht="15" customHeight="1" outlineLevel="2" x14ac:dyDescent="0.25">
      <c r="A7834" s="3" t="str">
        <f>HYPERLINK("http://mystore1.ru/price_items/search?utf8=%E2%9C%93&amp;oem=7252LGSV4RQ6J","7252LGSV4RQ6J")</f>
        <v>7252LGSV4RQ6J</v>
      </c>
      <c r="B7834" s="1" t="s">
        <v>14926</v>
      </c>
      <c r="C7834" s="9" t="s">
        <v>14887</v>
      </c>
      <c r="D7834" s="14" t="s">
        <v>14927</v>
      </c>
      <c r="E7834" s="9" t="s">
        <v>11</v>
      </c>
    </row>
    <row r="7835" spans="1:5" ht="15" customHeight="1" outlineLevel="2" x14ac:dyDescent="0.25">
      <c r="A7835" s="3" t="str">
        <f>HYPERLINK("http://mystore1.ru/price_items/search?utf8=%E2%9C%93&amp;oem=7252RGSV2FD","7252RGSV2FD")</f>
        <v>7252RGSV2FD</v>
      </c>
      <c r="B7835" s="1" t="s">
        <v>14928</v>
      </c>
      <c r="C7835" s="9" t="s">
        <v>14887</v>
      </c>
      <c r="D7835" s="14" t="s">
        <v>14929</v>
      </c>
      <c r="E7835" s="9" t="s">
        <v>11</v>
      </c>
    </row>
    <row r="7836" spans="1:5" ht="15" customHeight="1" outlineLevel="2" x14ac:dyDescent="0.25">
      <c r="A7836" s="3" t="str">
        <f>HYPERLINK("http://mystore1.ru/price_items/search?utf8=%E2%9C%93&amp;oem=7252RGSV2FV","7252RGSV2FV")</f>
        <v>7252RGSV2FV</v>
      </c>
      <c r="B7836" s="1" t="s">
        <v>14930</v>
      </c>
      <c r="C7836" s="9" t="s">
        <v>14887</v>
      </c>
      <c r="D7836" s="14" t="s">
        <v>14931</v>
      </c>
      <c r="E7836" s="9" t="s">
        <v>11</v>
      </c>
    </row>
    <row r="7837" spans="1:5" ht="15" customHeight="1" outlineLevel="2" x14ac:dyDescent="0.25">
      <c r="A7837" s="3" t="str">
        <f>HYPERLINK("http://mystore1.ru/price_items/search?utf8=%E2%9C%93&amp;oem=7252RGSV2RQ","7252RGSV2RQ")</f>
        <v>7252RGSV2RQ</v>
      </c>
      <c r="B7837" s="1" t="s">
        <v>14932</v>
      </c>
      <c r="C7837" s="9" t="s">
        <v>14887</v>
      </c>
      <c r="D7837" s="14" t="s">
        <v>14933</v>
      </c>
      <c r="E7837" s="9" t="s">
        <v>11</v>
      </c>
    </row>
    <row r="7838" spans="1:5" ht="15" customHeight="1" outlineLevel="2" x14ac:dyDescent="0.25">
      <c r="A7838" s="3" t="str">
        <f>HYPERLINK("http://mystore1.ru/price_items/search?utf8=%E2%9C%93&amp;oem=7252RGSV4RD","7252RGSV4RD")</f>
        <v>7252RGSV4RD</v>
      </c>
      <c r="B7838" s="1" t="s">
        <v>14934</v>
      </c>
      <c r="C7838" s="9" t="s">
        <v>14887</v>
      </c>
      <c r="D7838" s="14" t="s">
        <v>14935</v>
      </c>
      <c r="E7838" s="9" t="s">
        <v>11</v>
      </c>
    </row>
    <row r="7839" spans="1:5" ht="15" customHeight="1" outlineLevel="2" x14ac:dyDescent="0.25">
      <c r="A7839" s="3" t="str">
        <f>HYPERLINK("http://mystore1.ru/price_items/search?utf8=%E2%9C%93&amp;oem=7252RGSV4RQ1J","7252RGSV4RQ1J")</f>
        <v>7252RGSV4RQ1J</v>
      </c>
      <c r="B7839" s="1" t="s">
        <v>14936</v>
      </c>
      <c r="C7839" s="9" t="s">
        <v>14887</v>
      </c>
      <c r="D7839" s="14" t="s">
        <v>14937</v>
      </c>
      <c r="E7839" s="9" t="s">
        <v>11</v>
      </c>
    </row>
    <row r="7840" spans="1:5" ht="15" customHeight="1" outlineLevel="2" x14ac:dyDescent="0.25">
      <c r="A7840" s="3" t="str">
        <f>HYPERLINK("http://mystore1.ru/price_items/search?utf8=%E2%9C%93&amp;oem=7252LGSV2RQ2J","7252LGSV2RQ2J")</f>
        <v>7252LGSV2RQ2J</v>
      </c>
      <c r="B7840" s="1" t="s">
        <v>14938</v>
      </c>
      <c r="C7840" s="9" t="s">
        <v>14887</v>
      </c>
      <c r="D7840" s="14" t="s">
        <v>14939</v>
      </c>
      <c r="E7840" s="9" t="s">
        <v>11</v>
      </c>
    </row>
    <row r="7841" spans="1:5" outlineLevel="1" x14ac:dyDescent="0.25">
      <c r="A7841" s="2"/>
      <c r="B7841" s="6" t="s">
        <v>14940</v>
      </c>
      <c r="C7841" s="8"/>
      <c r="D7841" s="8"/>
      <c r="E7841" s="8"/>
    </row>
    <row r="7842" spans="1:5" ht="15" customHeight="1" outlineLevel="2" x14ac:dyDescent="0.25">
      <c r="A7842" s="3" t="str">
        <f>HYPERLINK("http://mystore1.ru/price_items/search?utf8=%E2%9C%93&amp;oem=7222ACL1C","7222ACL1C")</f>
        <v>7222ACL1C</v>
      </c>
      <c r="B7842" s="1" t="s">
        <v>14941</v>
      </c>
      <c r="C7842" s="9" t="s">
        <v>14942</v>
      </c>
      <c r="D7842" s="14" t="s">
        <v>14943</v>
      </c>
      <c r="E7842" s="9" t="s">
        <v>8</v>
      </c>
    </row>
    <row r="7843" spans="1:5" ht="15" customHeight="1" outlineLevel="2" x14ac:dyDescent="0.25">
      <c r="A7843" s="3" t="str">
        <f>HYPERLINK("http://mystore1.ru/price_items/search?utf8=%E2%9C%93&amp;oem=7222ASRV","7222ASRV")</f>
        <v>7222ASRV</v>
      </c>
      <c r="B7843" s="1" t="s">
        <v>14944</v>
      </c>
      <c r="C7843" s="9" t="s">
        <v>25</v>
      </c>
      <c r="D7843" s="14" t="s">
        <v>14945</v>
      </c>
      <c r="E7843" s="9" t="s">
        <v>27</v>
      </c>
    </row>
    <row r="7844" spans="1:5" ht="15" customHeight="1" outlineLevel="2" x14ac:dyDescent="0.25">
      <c r="A7844" s="3" t="str">
        <f>HYPERLINK("http://mystore1.ru/price_items/search?utf8=%E2%9C%93&amp;oem=7222LCLV2FD","7222LCLV2FD")</f>
        <v>7222LCLV2FD</v>
      </c>
      <c r="B7844" s="1" t="s">
        <v>14946</v>
      </c>
      <c r="C7844" s="9" t="s">
        <v>14942</v>
      </c>
      <c r="D7844" s="14" t="s">
        <v>14947</v>
      </c>
      <c r="E7844" s="9" t="s">
        <v>11</v>
      </c>
    </row>
    <row r="7845" spans="1:5" ht="15" customHeight="1" outlineLevel="2" x14ac:dyDescent="0.25">
      <c r="A7845" s="3" t="str">
        <f>HYPERLINK("http://mystore1.ru/price_items/search?utf8=%E2%9C%93&amp;oem=7222LCLV2FV","7222LCLV2FV")</f>
        <v>7222LCLV2FV</v>
      </c>
      <c r="B7845" s="1" t="s">
        <v>14948</v>
      </c>
      <c r="C7845" s="9" t="s">
        <v>14942</v>
      </c>
      <c r="D7845" s="14" t="s">
        <v>14949</v>
      </c>
      <c r="E7845" s="9" t="s">
        <v>11</v>
      </c>
    </row>
    <row r="7846" spans="1:5" ht="15" customHeight="1" outlineLevel="2" x14ac:dyDescent="0.25">
      <c r="A7846" s="3" t="str">
        <f>HYPERLINK("http://mystore1.ru/price_items/search?utf8=%E2%9C%93&amp;oem=7222RCLV2FD","7222RCLV2FD")</f>
        <v>7222RCLV2FD</v>
      </c>
      <c r="B7846" s="1" t="s">
        <v>14950</v>
      </c>
      <c r="C7846" s="9" t="s">
        <v>14942</v>
      </c>
      <c r="D7846" s="14" t="s">
        <v>14951</v>
      </c>
      <c r="E7846" s="9" t="s">
        <v>11</v>
      </c>
    </row>
    <row r="7847" spans="1:5" ht="15" customHeight="1" outlineLevel="2" x14ac:dyDescent="0.25">
      <c r="A7847" s="3" t="str">
        <f>HYPERLINK("http://mystore1.ru/price_items/search?utf8=%E2%9C%93&amp;oem=7222RCLV2FV","7222RCLV2FV")</f>
        <v>7222RCLV2FV</v>
      </c>
      <c r="B7847" s="1" t="s">
        <v>14952</v>
      </c>
      <c r="C7847" s="9" t="s">
        <v>14942</v>
      </c>
      <c r="D7847" s="14" t="s">
        <v>14953</v>
      </c>
      <c r="E7847" s="9" t="s">
        <v>11</v>
      </c>
    </row>
    <row r="7848" spans="1:5" outlineLevel="1" x14ac:dyDescent="0.25">
      <c r="A7848" s="2"/>
      <c r="B7848" s="6" t="s">
        <v>14954</v>
      </c>
      <c r="C7848" s="8"/>
      <c r="D7848" s="8"/>
      <c r="E7848" s="8"/>
    </row>
    <row r="7849" spans="1:5" ht="15" customHeight="1" outlineLevel="2" x14ac:dyDescent="0.25">
      <c r="A7849" s="3" t="str">
        <f>HYPERLINK("http://mystore1.ru/price_items/search?utf8=%E2%9C%93&amp;oem=7268AGSMV1Q","7268AGSMV1Q")</f>
        <v>7268AGSMV1Q</v>
      </c>
      <c r="B7849" s="1" t="s">
        <v>14955</v>
      </c>
      <c r="C7849" s="9" t="s">
        <v>6231</v>
      </c>
      <c r="D7849" s="14" t="s">
        <v>14956</v>
      </c>
      <c r="E7849" s="9" t="s">
        <v>8</v>
      </c>
    </row>
    <row r="7850" spans="1:5" ht="15" customHeight="1" outlineLevel="2" x14ac:dyDescent="0.25">
      <c r="A7850" s="3" t="str">
        <f>HYPERLINK("http://mystore1.ru/price_items/search?utf8=%E2%9C%93&amp;oem=7268AGSV1M","7268AGSV1M")</f>
        <v>7268AGSV1M</v>
      </c>
      <c r="B7850" s="1" t="s">
        <v>14957</v>
      </c>
      <c r="C7850" s="9" t="s">
        <v>6231</v>
      </c>
      <c r="D7850" s="14" t="s">
        <v>14958</v>
      </c>
      <c r="E7850" s="9" t="s">
        <v>8</v>
      </c>
    </row>
    <row r="7851" spans="1:5" outlineLevel="1" x14ac:dyDescent="0.25">
      <c r="A7851" s="2"/>
      <c r="B7851" s="6" t="s">
        <v>14959</v>
      </c>
      <c r="C7851" s="8"/>
      <c r="D7851" s="8"/>
      <c r="E7851" s="8"/>
    </row>
    <row r="7852" spans="1:5" ht="15" customHeight="1" outlineLevel="2" x14ac:dyDescent="0.25">
      <c r="A7852" s="3" t="str">
        <f>HYPERLINK("http://mystore1.ru/price_items/search?utf8=%E2%9C%93&amp;oem=7236ACC1B","7236ACC1B")</f>
        <v>7236ACC1B</v>
      </c>
      <c r="B7852" s="1" t="s">
        <v>14960</v>
      </c>
      <c r="C7852" s="9" t="s">
        <v>14961</v>
      </c>
      <c r="D7852" s="14" t="s">
        <v>14962</v>
      </c>
      <c r="E7852" s="9" t="s">
        <v>8</v>
      </c>
    </row>
    <row r="7853" spans="1:5" ht="15" customHeight="1" outlineLevel="2" x14ac:dyDescent="0.25">
      <c r="A7853" s="3" t="str">
        <f>HYPERLINK("http://mystore1.ru/price_items/search?utf8=%E2%9C%93&amp;oem=7236ACL","7236ACL")</f>
        <v>7236ACL</v>
      </c>
      <c r="B7853" s="1" t="s">
        <v>14963</v>
      </c>
      <c r="C7853" s="9" t="s">
        <v>14961</v>
      </c>
      <c r="D7853" s="14" t="s">
        <v>14964</v>
      </c>
      <c r="E7853" s="9" t="s">
        <v>8</v>
      </c>
    </row>
    <row r="7854" spans="1:5" ht="15" customHeight="1" outlineLevel="2" x14ac:dyDescent="0.25">
      <c r="A7854" s="3" t="str">
        <f>HYPERLINK("http://mystore1.ru/price_items/search?utf8=%E2%9C%93&amp;oem=7236AGS2B","7236AGS2B")</f>
        <v>7236AGS2B</v>
      </c>
      <c r="B7854" s="1" t="s">
        <v>14965</v>
      </c>
      <c r="C7854" s="9" t="s">
        <v>1499</v>
      </c>
      <c r="D7854" s="14" t="s">
        <v>14966</v>
      </c>
      <c r="E7854" s="9" t="s">
        <v>8</v>
      </c>
    </row>
    <row r="7855" spans="1:5" ht="15" customHeight="1" outlineLevel="2" x14ac:dyDescent="0.25">
      <c r="A7855" s="3" t="str">
        <f>HYPERLINK("http://mystore1.ru/price_items/search?utf8=%E2%9C%93&amp;oem=7236AGSBL","7236AGSBL")</f>
        <v>7236AGSBL</v>
      </c>
      <c r="B7855" s="1" t="s">
        <v>14967</v>
      </c>
      <c r="C7855" s="9" t="s">
        <v>14961</v>
      </c>
      <c r="D7855" s="14" t="s">
        <v>14968</v>
      </c>
      <c r="E7855" s="9" t="s">
        <v>8</v>
      </c>
    </row>
    <row r="7856" spans="1:5" ht="15" customHeight="1" outlineLevel="2" x14ac:dyDescent="0.25">
      <c r="A7856" s="3" t="str">
        <f>HYPERLINK("http://mystore1.ru/price_items/search?utf8=%E2%9C%93&amp;oem=7236AGSGN","7236AGSGN")</f>
        <v>7236AGSGN</v>
      </c>
      <c r="B7856" s="1" t="s">
        <v>14969</v>
      </c>
      <c r="C7856" s="9" t="s">
        <v>14961</v>
      </c>
      <c r="D7856" s="14" t="s">
        <v>14970</v>
      </c>
      <c r="E7856" s="9" t="s">
        <v>8</v>
      </c>
    </row>
    <row r="7857" spans="1:5" ht="15" customHeight="1" outlineLevel="2" x14ac:dyDescent="0.25">
      <c r="A7857" s="3" t="str">
        <f>HYPERLINK("http://mystore1.ru/price_items/search?utf8=%E2%9C%93&amp;oem=7236ASMH","7236ASMH")</f>
        <v>7236ASMH</v>
      </c>
      <c r="B7857" s="1" t="s">
        <v>14971</v>
      </c>
      <c r="C7857" s="9" t="s">
        <v>25</v>
      </c>
      <c r="D7857" s="14" t="s">
        <v>14972</v>
      </c>
      <c r="E7857" s="9" t="s">
        <v>27</v>
      </c>
    </row>
    <row r="7858" spans="1:5" ht="15" customHeight="1" outlineLevel="2" x14ac:dyDescent="0.25">
      <c r="A7858" s="3" t="str">
        <f>HYPERLINK("http://mystore1.ru/price_items/search?utf8=%E2%9C%93&amp;oem=7236BGNH","7236BGNH")</f>
        <v>7236BGNH</v>
      </c>
      <c r="B7858" s="1" t="s">
        <v>14973</v>
      </c>
      <c r="C7858" s="9" t="s">
        <v>14961</v>
      </c>
      <c r="D7858" s="14" t="s">
        <v>14974</v>
      </c>
      <c r="E7858" s="9" t="s">
        <v>30</v>
      </c>
    </row>
    <row r="7859" spans="1:5" ht="15" customHeight="1" outlineLevel="2" x14ac:dyDescent="0.25">
      <c r="A7859" s="3" t="str">
        <f>HYPERLINK("http://mystore1.ru/price_items/search?utf8=%E2%9C%93&amp;oem=7236BSRH","7236BSRH")</f>
        <v>7236BSRH</v>
      </c>
      <c r="B7859" s="1" t="s">
        <v>14975</v>
      </c>
      <c r="C7859" s="9" t="s">
        <v>25</v>
      </c>
      <c r="D7859" s="14" t="s">
        <v>14976</v>
      </c>
      <c r="E7859" s="9" t="s">
        <v>27</v>
      </c>
    </row>
    <row r="7860" spans="1:5" ht="15" customHeight="1" outlineLevel="2" x14ac:dyDescent="0.25">
      <c r="A7860" s="3" t="str">
        <f>HYPERLINK("http://mystore1.ru/price_items/search?utf8=%E2%9C%93&amp;oem=7236LGNH3FD","7236LGNH3FD")</f>
        <v>7236LGNH3FD</v>
      </c>
      <c r="B7860" s="1" t="s">
        <v>14977</v>
      </c>
      <c r="C7860" s="9" t="s">
        <v>14961</v>
      </c>
      <c r="D7860" s="14" t="s">
        <v>14978</v>
      </c>
      <c r="E7860" s="9" t="s">
        <v>11</v>
      </c>
    </row>
    <row r="7861" spans="1:5" ht="15" customHeight="1" outlineLevel="2" x14ac:dyDescent="0.25">
      <c r="A7861" s="3" t="str">
        <f>HYPERLINK("http://mystore1.ru/price_items/search?utf8=%E2%9C%93&amp;oem=7236LGNH3RQ","7236LGNH3RQ")</f>
        <v>7236LGNH3RQ</v>
      </c>
      <c r="B7861" s="1" t="s">
        <v>14979</v>
      </c>
      <c r="C7861" s="9" t="s">
        <v>14961</v>
      </c>
      <c r="D7861" s="14" t="s">
        <v>14980</v>
      </c>
      <c r="E7861" s="9" t="s">
        <v>11</v>
      </c>
    </row>
    <row r="7862" spans="1:5" ht="15" customHeight="1" outlineLevel="2" x14ac:dyDescent="0.25">
      <c r="A7862" s="3" t="str">
        <f>HYPERLINK("http://mystore1.ru/price_items/search?utf8=%E2%9C%93&amp;oem=7236RGNH3FD","7236RGNH3FD")</f>
        <v>7236RGNH3FD</v>
      </c>
      <c r="B7862" s="1" t="s">
        <v>14981</v>
      </c>
      <c r="C7862" s="9" t="s">
        <v>14961</v>
      </c>
      <c r="D7862" s="14" t="s">
        <v>14982</v>
      </c>
      <c r="E7862" s="9" t="s">
        <v>11</v>
      </c>
    </row>
    <row r="7863" spans="1:5" ht="15" customHeight="1" outlineLevel="2" x14ac:dyDescent="0.25">
      <c r="A7863" s="3" t="str">
        <f>HYPERLINK("http://mystore1.ru/price_items/search?utf8=%E2%9C%93&amp;oem=7236RGNH3RQ","7236RGNH3RQ")</f>
        <v>7236RGNH3RQ</v>
      </c>
      <c r="B7863" s="1" t="s">
        <v>14983</v>
      </c>
      <c r="C7863" s="9" t="s">
        <v>14961</v>
      </c>
      <c r="D7863" s="14" t="s">
        <v>14984</v>
      </c>
      <c r="E7863" s="9" t="s">
        <v>11</v>
      </c>
    </row>
    <row r="7864" spans="1:5" outlineLevel="1" x14ac:dyDescent="0.25">
      <c r="A7864" s="2"/>
      <c r="B7864" s="6" t="s">
        <v>14985</v>
      </c>
      <c r="C7864" s="8"/>
      <c r="D7864" s="8"/>
      <c r="E7864" s="8"/>
    </row>
    <row r="7865" spans="1:5" ht="15" customHeight="1" outlineLevel="2" x14ac:dyDescent="0.25">
      <c r="A7865" s="3" t="str">
        <f>HYPERLINK("http://mystore1.ru/price_items/search?utf8=%E2%9C%93&amp;oem=7250ACDMVW1M","7250ACDMVW1M")</f>
        <v>7250ACDMVW1M</v>
      </c>
      <c r="B7865" s="1" t="s">
        <v>14986</v>
      </c>
      <c r="C7865" s="9" t="s">
        <v>3918</v>
      </c>
      <c r="D7865" s="14" t="s">
        <v>14987</v>
      </c>
      <c r="E7865" s="9" t="s">
        <v>8</v>
      </c>
    </row>
    <row r="7866" spans="1:5" outlineLevel="1" x14ac:dyDescent="0.25">
      <c r="A7866" s="2"/>
      <c r="B7866" s="6" t="s">
        <v>14988</v>
      </c>
      <c r="C7866" s="8"/>
      <c r="D7866" s="8"/>
      <c r="E7866" s="8"/>
    </row>
    <row r="7867" spans="1:5" ht="15" customHeight="1" outlineLevel="2" x14ac:dyDescent="0.25">
      <c r="A7867" s="3" t="str">
        <f>HYPERLINK("http://mystore1.ru/price_items/search?utf8=%E2%9C%93&amp;oem=7219ACL","7219ACL")</f>
        <v>7219ACL</v>
      </c>
      <c r="B7867" s="1" t="s">
        <v>14989</v>
      </c>
      <c r="C7867" s="9" t="s">
        <v>14990</v>
      </c>
      <c r="D7867" s="14" t="s">
        <v>14991</v>
      </c>
      <c r="E7867" s="9" t="s">
        <v>8</v>
      </c>
    </row>
    <row r="7868" spans="1:5" ht="15" customHeight="1" outlineLevel="2" x14ac:dyDescent="0.25">
      <c r="A7868" s="3" t="str">
        <f>HYPERLINK("http://mystore1.ru/price_items/search?utf8=%E2%9C%93&amp;oem=7219AGN","7219AGN")</f>
        <v>7219AGN</v>
      </c>
      <c r="B7868" s="1" t="s">
        <v>14992</v>
      </c>
      <c r="C7868" s="9" t="s">
        <v>14990</v>
      </c>
      <c r="D7868" s="14" t="s">
        <v>14993</v>
      </c>
      <c r="E7868" s="9" t="s">
        <v>8</v>
      </c>
    </row>
    <row r="7869" spans="1:5" outlineLevel="1" x14ac:dyDescent="0.25">
      <c r="A7869" s="2"/>
      <c r="B7869" s="6" t="s">
        <v>14994</v>
      </c>
      <c r="C7869" s="8"/>
      <c r="D7869" s="8"/>
      <c r="E7869" s="8"/>
    </row>
    <row r="7870" spans="1:5" ht="15" customHeight="1" outlineLevel="2" x14ac:dyDescent="0.25">
      <c r="A7870" s="3" t="str">
        <f>HYPERLINK("http://mystore1.ru/price_items/search?utf8=%E2%9C%93&amp;oem=7233AGN","7233AGN")</f>
        <v>7233AGN</v>
      </c>
      <c r="B7870" s="1" t="s">
        <v>14995</v>
      </c>
      <c r="C7870" s="9" t="s">
        <v>8057</v>
      </c>
      <c r="D7870" s="14" t="s">
        <v>14996</v>
      </c>
      <c r="E7870" s="9" t="s">
        <v>8</v>
      </c>
    </row>
    <row r="7871" spans="1:5" ht="15" customHeight="1" outlineLevel="2" x14ac:dyDescent="0.25">
      <c r="A7871" s="3" t="str">
        <f>HYPERLINK("http://mystore1.ru/price_items/search?utf8=%E2%9C%93&amp;oem=7233AGNGN","7233AGNGN")</f>
        <v>7233AGNGN</v>
      </c>
      <c r="B7871" s="1" t="s">
        <v>14997</v>
      </c>
      <c r="C7871" s="9" t="s">
        <v>8057</v>
      </c>
      <c r="D7871" s="14" t="s">
        <v>14998</v>
      </c>
      <c r="E7871" s="9" t="s">
        <v>8</v>
      </c>
    </row>
    <row r="7872" spans="1:5" ht="15" customHeight="1" outlineLevel="2" x14ac:dyDescent="0.25">
      <c r="A7872" s="3" t="str">
        <f>HYPERLINK("http://mystore1.ru/price_items/search?utf8=%E2%9C%93&amp;oem=7233ASML","7233ASML")</f>
        <v>7233ASML</v>
      </c>
      <c r="B7872" s="1" t="s">
        <v>14999</v>
      </c>
      <c r="C7872" s="9" t="s">
        <v>25</v>
      </c>
      <c r="D7872" s="14" t="s">
        <v>15000</v>
      </c>
      <c r="E7872" s="9" t="s">
        <v>27</v>
      </c>
    </row>
    <row r="7873" spans="1:5" ht="15" customHeight="1" outlineLevel="2" x14ac:dyDescent="0.25">
      <c r="A7873" s="3" t="str">
        <f>HYPERLINK("http://mystore1.ru/price_items/search?utf8=%E2%9C%93&amp;oem=7233FGNL2FD","7233FGNL2FD")</f>
        <v>7233FGNL2FD</v>
      </c>
      <c r="B7873" s="1" t="s">
        <v>15001</v>
      </c>
      <c r="C7873" s="9" t="s">
        <v>8057</v>
      </c>
      <c r="D7873" s="14" t="s">
        <v>15002</v>
      </c>
      <c r="E7873" s="9" t="s">
        <v>11</v>
      </c>
    </row>
    <row r="7874" spans="1:5" outlineLevel="1" x14ac:dyDescent="0.25">
      <c r="A7874" s="2"/>
      <c r="B7874" s="6" t="s">
        <v>15003</v>
      </c>
      <c r="C7874" s="8"/>
      <c r="D7874" s="8"/>
      <c r="E7874" s="8"/>
    </row>
    <row r="7875" spans="1:5" ht="15" customHeight="1" outlineLevel="2" x14ac:dyDescent="0.25">
      <c r="A7875" s="3" t="str">
        <f>HYPERLINK("http://mystore1.ru/price_items/search?utf8=%E2%9C%93&amp;oem=7270ACL","7270ACL")</f>
        <v>7270ACL</v>
      </c>
      <c r="B7875" s="1" t="s">
        <v>15004</v>
      </c>
      <c r="C7875" s="9" t="s">
        <v>25</v>
      </c>
      <c r="D7875" s="14" t="s">
        <v>15005</v>
      </c>
      <c r="E7875" s="9" t="s">
        <v>8</v>
      </c>
    </row>
    <row r="7876" spans="1:5" outlineLevel="1" x14ac:dyDescent="0.25">
      <c r="A7876" s="2"/>
      <c r="B7876" s="6" t="s">
        <v>15006</v>
      </c>
      <c r="C7876" s="8"/>
      <c r="D7876" s="8"/>
      <c r="E7876" s="8"/>
    </row>
    <row r="7877" spans="1:5" ht="15" customHeight="1" outlineLevel="2" x14ac:dyDescent="0.25">
      <c r="A7877" s="3" t="str">
        <f>HYPERLINK("http://mystore1.ru/price_items/search?utf8=%E2%9C%93&amp;oem=7223ACL1C","7223ACL1C")</f>
        <v>7223ACL1C</v>
      </c>
      <c r="B7877" s="1" t="s">
        <v>15007</v>
      </c>
      <c r="C7877" s="9" t="s">
        <v>15008</v>
      </c>
      <c r="D7877" s="14" t="s">
        <v>15009</v>
      </c>
      <c r="E7877" s="9" t="s">
        <v>8</v>
      </c>
    </row>
    <row r="7878" spans="1:5" ht="15" customHeight="1" outlineLevel="2" x14ac:dyDescent="0.25">
      <c r="A7878" s="3" t="str">
        <f>HYPERLINK("http://mystore1.ru/price_items/search?utf8=%E2%9C%93&amp;oem=7223ASRV","7223ASRV")</f>
        <v>7223ASRV</v>
      </c>
      <c r="B7878" s="1" t="s">
        <v>15010</v>
      </c>
      <c r="C7878" s="9" t="s">
        <v>25</v>
      </c>
      <c r="D7878" s="14" t="s">
        <v>15011</v>
      </c>
      <c r="E7878" s="9" t="s">
        <v>27</v>
      </c>
    </row>
    <row r="7879" spans="1:5" outlineLevel="1" x14ac:dyDescent="0.25">
      <c r="A7879" s="2"/>
      <c r="B7879" s="6" t="s">
        <v>15012</v>
      </c>
      <c r="C7879" s="8"/>
      <c r="D7879" s="8"/>
      <c r="E7879" s="8"/>
    </row>
    <row r="7880" spans="1:5" ht="15" customHeight="1" outlineLevel="2" x14ac:dyDescent="0.25">
      <c r="A7880" s="3" t="str">
        <f>HYPERLINK("http://mystore1.ru/price_items/search?utf8=%E2%9C%93&amp;oem=7247ACC","7247ACC")</f>
        <v>7247ACC</v>
      </c>
      <c r="B7880" s="1" t="s">
        <v>15013</v>
      </c>
      <c r="C7880" s="9" t="s">
        <v>3061</v>
      </c>
      <c r="D7880" s="14" t="s">
        <v>15014</v>
      </c>
      <c r="E7880" s="9" t="s">
        <v>8</v>
      </c>
    </row>
    <row r="7881" spans="1:5" ht="15" customHeight="1" outlineLevel="2" x14ac:dyDescent="0.25">
      <c r="A7881" s="3" t="str">
        <f>HYPERLINK("http://mystore1.ru/price_items/search?utf8=%E2%9C%93&amp;oem=7247AGN","7247AGN")</f>
        <v>7247AGN</v>
      </c>
      <c r="B7881" s="1" t="s">
        <v>15015</v>
      </c>
      <c r="C7881" s="9" t="s">
        <v>3061</v>
      </c>
      <c r="D7881" s="14" t="s">
        <v>15016</v>
      </c>
      <c r="E7881" s="9" t="s">
        <v>8</v>
      </c>
    </row>
    <row r="7882" spans="1:5" ht="15" customHeight="1" outlineLevel="2" x14ac:dyDescent="0.25">
      <c r="A7882" s="3" t="str">
        <f>HYPERLINK("http://mystore1.ru/price_items/search?utf8=%E2%9C%93&amp;oem=7247AGNBL","7247AGNBL")</f>
        <v>7247AGNBL</v>
      </c>
      <c r="B7882" s="1" t="s">
        <v>15017</v>
      </c>
      <c r="C7882" s="9" t="s">
        <v>3061</v>
      </c>
      <c r="D7882" s="14" t="s">
        <v>15018</v>
      </c>
      <c r="E7882" s="9" t="s">
        <v>8</v>
      </c>
    </row>
    <row r="7883" spans="1:5" ht="15" customHeight="1" outlineLevel="2" x14ac:dyDescent="0.25">
      <c r="A7883" s="3" t="str">
        <f>HYPERLINK("http://mystore1.ru/price_items/search?utf8=%E2%9C%93&amp;oem=7247AGNH","7247AGNH")</f>
        <v>7247AGNH</v>
      </c>
      <c r="B7883" s="1" t="s">
        <v>15019</v>
      </c>
      <c r="C7883" s="9" t="s">
        <v>3061</v>
      </c>
      <c r="D7883" s="14" t="s">
        <v>15020</v>
      </c>
      <c r="E7883" s="9" t="s">
        <v>8</v>
      </c>
    </row>
    <row r="7884" spans="1:5" ht="15" customHeight="1" outlineLevel="2" x14ac:dyDescent="0.25">
      <c r="A7884" s="3" t="str">
        <f>HYPERLINK("http://mystore1.ru/price_items/search?utf8=%E2%9C%93&amp;oem=7247AKKV1F","7247AKKV1F")</f>
        <v>7247AKKV1F</v>
      </c>
      <c r="B7884" s="1" t="s">
        <v>15021</v>
      </c>
      <c r="C7884" s="9" t="s">
        <v>25</v>
      </c>
      <c r="D7884" s="14" t="s">
        <v>15022</v>
      </c>
      <c r="E7884" s="9" t="s">
        <v>27</v>
      </c>
    </row>
    <row r="7885" spans="1:5" ht="15" customHeight="1" outlineLevel="2" x14ac:dyDescent="0.25">
      <c r="A7885" s="3" t="str">
        <f>HYPERLINK("http://mystore1.ru/price_items/search?utf8=%E2%9C%93&amp;oem=7247ASMV","7247ASMV")</f>
        <v>7247ASMV</v>
      </c>
      <c r="B7885" s="1" t="s">
        <v>15023</v>
      </c>
      <c r="C7885" s="9" t="s">
        <v>25</v>
      </c>
      <c r="D7885" s="14" t="s">
        <v>15024</v>
      </c>
      <c r="E7885" s="9" t="s">
        <v>27</v>
      </c>
    </row>
    <row r="7886" spans="1:5" ht="15" customHeight="1" outlineLevel="2" x14ac:dyDescent="0.25">
      <c r="A7886" s="3" t="str">
        <f>HYPERLINK("http://mystore1.ru/price_items/search?utf8=%E2%9C%93&amp;oem=7247BGNVL1J","7247BGNVL1J")</f>
        <v>7247BGNVL1J</v>
      </c>
      <c r="B7886" s="1" t="s">
        <v>15025</v>
      </c>
      <c r="C7886" s="9" t="s">
        <v>3061</v>
      </c>
      <c r="D7886" s="14" t="s">
        <v>15026</v>
      </c>
      <c r="E7886" s="9" t="s">
        <v>30</v>
      </c>
    </row>
    <row r="7887" spans="1:5" ht="15" customHeight="1" outlineLevel="2" x14ac:dyDescent="0.25">
      <c r="A7887" s="3" t="str">
        <f>HYPERLINK("http://mystore1.ru/price_items/search?utf8=%E2%9C%93&amp;oem=7247BGNVLU1J","7247BGNVLU1J")</f>
        <v>7247BGNVLU1J</v>
      </c>
      <c r="B7887" s="1" t="s">
        <v>15027</v>
      </c>
      <c r="C7887" s="9" t="s">
        <v>3061</v>
      </c>
      <c r="D7887" s="14" t="s">
        <v>15028</v>
      </c>
      <c r="E7887" s="9" t="s">
        <v>30</v>
      </c>
    </row>
    <row r="7888" spans="1:5" ht="15" customHeight="1" outlineLevel="2" x14ac:dyDescent="0.25">
      <c r="A7888" s="3" t="str">
        <f>HYPERLINK("http://mystore1.ru/price_items/search?utf8=%E2%9C%93&amp;oem=7247BGNVR","7247BGNVR")</f>
        <v>7247BGNVR</v>
      </c>
      <c r="B7888" s="1" t="s">
        <v>15029</v>
      </c>
      <c r="C7888" s="9" t="s">
        <v>3061</v>
      </c>
      <c r="D7888" s="14" t="s">
        <v>15030</v>
      </c>
      <c r="E7888" s="9" t="s">
        <v>30</v>
      </c>
    </row>
    <row r="7889" spans="1:5" ht="15" customHeight="1" outlineLevel="2" x14ac:dyDescent="0.25">
      <c r="A7889" s="3" t="str">
        <f>HYPERLINK("http://mystore1.ru/price_items/search?utf8=%E2%9C%93&amp;oem=7247BGNVR1J","7247BGNVR1J")</f>
        <v>7247BGNVR1J</v>
      </c>
      <c r="B7889" s="1" t="s">
        <v>15031</v>
      </c>
      <c r="C7889" s="9" t="s">
        <v>3061</v>
      </c>
      <c r="D7889" s="14" t="s">
        <v>15032</v>
      </c>
      <c r="E7889" s="9" t="s">
        <v>30</v>
      </c>
    </row>
    <row r="7890" spans="1:5" ht="15" customHeight="1" outlineLevel="2" x14ac:dyDescent="0.25">
      <c r="A7890" s="3" t="str">
        <f>HYPERLINK("http://mystore1.ru/price_items/search?utf8=%E2%9C%93&amp;oem=7247BGNVRU1J","7247BGNVRU1J")</f>
        <v>7247BGNVRU1J</v>
      </c>
      <c r="B7890" s="1" t="s">
        <v>15033</v>
      </c>
      <c r="C7890" s="9" t="s">
        <v>3061</v>
      </c>
      <c r="D7890" s="14" t="s">
        <v>15034</v>
      </c>
      <c r="E7890" s="9" t="s">
        <v>30</v>
      </c>
    </row>
    <row r="7891" spans="1:5" ht="15" customHeight="1" outlineLevel="2" x14ac:dyDescent="0.25">
      <c r="A7891" s="3" t="str">
        <f>HYPERLINK("http://mystore1.ru/price_items/search?utf8=%E2%9C%93&amp;oem=7247LGSV4FDW","7247LGSV4FDW")</f>
        <v>7247LGSV4FDW</v>
      </c>
      <c r="B7891" s="1" t="s">
        <v>15035</v>
      </c>
      <c r="C7891" s="9" t="s">
        <v>3061</v>
      </c>
      <c r="D7891" s="14" t="s">
        <v>15036</v>
      </c>
      <c r="E7891" s="9" t="s">
        <v>11</v>
      </c>
    </row>
    <row r="7892" spans="1:5" ht="15" customHeight="1" outlineLevel="2" x14ac:dyDescent="0.25">
      <c r="A7892" s="3" t="str">
        <f>HYPERLINK("http://mystore1.ru/price_items/search?utf8=%E2%9C%93&amp;oem=7247LGSV4FV","7247LGSV4FV")</f>
        <v>7247LGSV4FV</v>
      </c>
      <c r="B7892" s="1" t="s">
        <v>15037</v>
      </c>
      <c r="C7892" s="9" t="s">
        <v>3061</v>
      </c>
      <c r="D7892" s="14" t="s">
        <v>15038</v>
      </c>
      <c r="E7892" s="9" t="s">
        <v>11</v>
      </c>
    </row>
    <row r="7893" spans="1:5" ht="15" customHeight="1" outlineLevel="2" x14ac:dyDescent="0.25">
      <c r="A7893" s="3" t="str">
        <f>HYPERLINK("http://mystore1.ru/price_items/search?utf8=%E2%9C%93&amp;oem=7247RGSV4FDW","7247RGSV4FDW")</f>
        <v>7247RGSV4FDW</v>
      </c>
      <c r="B7893" s="1" t="s">
        <v>15039</v>
      </c>
      <c r="C7893" s="9" t="s">
        <v>3061</v>
      </c>
      <c r="D7893" s="14" t="s">
        <v>15040</v>
      </c>
      <c r="E7893" s="9" t="s">
        <v>11</v>
      </c>
    </row>
    <row r="7894" spans="1:5" ht="15" customHeight="1" outlineLevel="2" x14ac:dyDescent="0.25">
      <c r="A7894" s="3" t="str">
        <f>HYPERLINK("http://mystore1.ru/price_items/search?utf8=%E2%9C%93&amp;oem=7247RGSV4FV","7247RGSV4FV")</f>
        <v>7247RGSV4FV</v>
      </c>
      <c r="B7894" s="1" t="s">
        <v>15041</v>
      </c>
      <c r="C7894" s="9" t="s">
        <v>3061</v>
      </c>
      <c r="D7894" s="14" t="s">
        <v>15042</v>
      </c>
      <c r="E7894" s="9" t="s">
        <v>11</v>
      </c>
    </row>
    <row r="7895" spans="1:5" outlineLevel="1" x14ac:dyDescent="0.25">
      <c r="A7895" s="2"/>
      <c r="B7895" s="6" t="s">
        <v>15043</v>
      </c>
      <c r="C7895" s="8"/>
      <c r="D7895" s="8"/>
      <c r="E7895" s="8"/>
    </row>
    <row r="7896" spans="1:5" ht="15" customHeight="1" outlineLevel="2" x14ac:dyDescent="0.25">
      <c r="A7896" s="3" t="str">
        <f>HYPERLINK("http://mystore1.ru/price_items/search?utf8=%E2%9C%93&amp;oem=7253ACLW","7253ACLW")</f>
        <v>7253ACLW</v>
      </c>
      <c r="B7896" s="1" t="s">
        <v>15044</v>
      </c>
      <c r="C7896" s="9" t="s">
        <v>3551</v>
      </c>
      <c r="D7896" s="14" t="s">
        <v>15045</v>
      </c>
      <c r="E7896" s="9" t="s">
        <v>8</v>
      </c>
    </row>
    <row r="7897" spans="1:5" ht="15" customHeight="1" outlineLevel="2" x14ac:dyDescent="0.25">
      <c r="A7897" s="3" t="str">
        <f>HYPERLINK("http://mystore1.ru/price_items/search?utf8=%E2%9C%93&amp;oem=7253AGNBLW","7253AGNBLW")</f>
        <v>7253AGNBLW</v>
      </c>
      <c r="B7897" s="1" t="s">
        <v>15046</v>
      </c>
      <c r="C7897" s="9" t="s">
        <v>3551</v>
      </c>
      <c r="D7897" s="14" t="s">
        <v>15047</v>
      </c>
      <c r="E7897" s="9" t="s">
        <v>8</v>
      </c>
    </row>
    <row r="7898" spans="1:5" ht="15" customHeight="1" outlineLevel="2" x14ac:dyDescent="0.25">
      <c r="A7898" s="3" t="str">
        <f>HYPERLINK("http://mystore1.ru/price_items/search?utf8=%E2%9C%93&amp;oem=7253AGNW","7253AGNW")</f>
        <v>7253AGNW</v>
      </c>
      <c r="B7898" s="1" t="s">
        <v>15048</v>
      </c>
      <c r="C7898" s="9" t="s">
        <v>3551</v>
      </c>
      <c r="D7898" s="14" t="s">
        <v>15049</v>
      </c>
      <c r="E7898" s="9" t="s">
        <v>8</v>
      </c>
    </row>
    <row r="7899" spans="1:5" ht="15" customHeight="1" outlineLevel="2" x14ac:dyDescent="0.25">
      <c r="A7899" s="3" t="str">
        <f>HYPERLINK("http://mystore1.ru/price_items/search?utf8=%E2%9C%93&amp;oem=7253ASML","7253ASML")</f>
        <v>7253ASML</v>
      </c>
      <c r="B7899" s="1" t="s">
        <v>15050</v>
      </c>
      <c r="C7899" s="9" t="s">
        <v>25</v>
      </c>
      <c r="D7899" s="14" t="s">
        <v>15051</v>
      </c>
      <c r="E7899" s="9" t="s">
        <v>27</v>
      </c>
    </row>
    <row r="7900" spans="1:5" outlineLevel="1" x14ac:dyDescent="0.25">
      <c r="A7900" s="2"/>
      <c r="B7900" s="6" t="s">
        <v>15052</v>
      </c>
      <c r="C7900" s="8"/>
      <c r="D7900" s="8"/>
      <c r="E7900" s="8"/>
    </row>
    <row r="7901" spans="1:5" outlineLevel="2" x14ac:dyDescent="0.25">
      <c r="A7901" s="3" t="str">
        <f>HYPERLINK("http://mystore1.ru/price_items/search?utf8=%E2%9C%93&amp;oem=7242AGN","7242AGN")</f>
        <v>7242AGN</v>
      </c>
      <c r="B7901" s="1" t="s">
        <v>15053</v>
      </c>
      <c r="C7901" s="9" t="s">
        <v>1804</v>
      </c>
      <c r="D7901" s="14" t="s">
        <v>15054</v>
      </c>
      <c r="E7901" s="9" t="s">
        <v>8</v>
      </c>
    </row>
    <row r="7902" spans="1:5" outlineLevel="2" x14ac:dyDescent="0.25">
      <c r="A7902" s="3" t="str">
        <f>HYPERLINK("http://mystore1.ru/price_items/search?utf8=%E2%9C%93&amp;oem=7242AGNGN","7242AGNGN")</f>
        <v>7242AGNGN</v>
      </c>
      <c r="B7902" s="1" t="s">
        <v>15055</v>
      </c>
      <c r="C7902" s="9" t="s">
        <v>1804</v>
      </c>
      <c r="D7902" s="14" t="s">
        <v>15056</v>
      </c>
      <c r="E7902" s="9" t="s">
        <v>8</v>
      </c>
    </row>
    <row r="7903" spans="1:5" outlineLevel="2" x14ac:dyDescent="0.25">
      <c r="A7903" s="3" t="str">
        <f>HYPERLINK("http://mystore1.ru/price_items/search?utf8=%E2%9C%93&amp;oem=7242ASML","7242ASML")</f>
        <v>7242ASML</v>
      </c>
      <c r="B7903" s="1" t="s">
        <v>15057</v>
      </c>
      <c r="C7903" s="9" t="s">
        <v>25</v>
      </c>
      <c r="D7903" s="14" t="s">
        <v>15058</v>
      </c>
      <c r="E7903" s="9" t="s">
        <v>27</v>
      </c>
    </row>
    <row r="7904" spans="1:5" outlineLevel="2" x14ac:dyDescent="0.25">
      <c r="A7904" s="3" t="str">
        <f>HYPERLINK("http://mystore1.ru/price_items/search?utf8=%E2%9C%93&amp;oem=7242LGNL2FD","7242LGNL2FD")</f>
        <v>7242LGNL2FD</v>
      </c>
      <c r="B7904" s="1" t="s">
        <v>15059</v>
      </c>
      <c r="C7904" s="9" t="s">
        <v>1804</v>
      </c>
      <c r="D7904" s="14" t="s">
        <v>15060</v>
      </c>
      <c r="E7904" s="9" t="s">
        <v>11</v>
      </c>
    </row>
    <row r="7905" spans="1:5" outlineLevel="2" x14ac:dyDescent="0.25">
      <c r="A7905" s="3" t="str">
        <f>HYPERLINK("http://mystore1.ru/price_items/search?utf8=%E2%9C%93&amp;oem=7242RGNL2FD","7242RGNL2FD")</f>
        <v>7242RGNL2FD</v>
      </c>
      <c r="B7905" s="1" t="s">
        <v>15061</v>
      </c>
      <c r="C7905" s="9" t="s">
        <v>1804</v>
      </c>
      <c r="D7905" s="14" t="s">
        <v>15060</v>
      </c>
      <c r="E7905" s="9" t="s">
        <v>11</v>
      </c>
    </row>
    <row r="7906" spans="1:5" x14ac:dyDescent="0.25">
      <c r="A7906" s="61" t="s">
        <v>7779</v>
      </c>
      <c r="B7906" s="61"/>
      <c r="C7906" s="61"/>
      <c r="D7906" s="61"/>
      <c r="E7906" s="61"/>
    </row>
    <row r="7907" spans="1:5" outlineLevel="1" x14ac:dyDescent="0.25">
      <c r="A7907" s="2"/>
      <c r="B7907" s="6" t="s">
        <v>15062</v>
      </c>
      <c r="C7907" s="8"/>
      <c r="D7907" s="8"/>
      <c r="E7907" s="8"/>
    </row>
    <row r="7908" spans="1:5" ht="15" customHeight="1" outlineLevel="2" x14ac:dyDescent="0.25">
      <c r="A7908" s="3" t="str">
        <f>HYPERLINK("http://mystore1.ru/price_items/search?utf8=%E2%9C%93&amp;oem=7035AGNPV","7035AGNPV")</f>
        <v>7035AGNPV</v>
      </c>
      <c r="B7908" s="1" t="s">
        <v>15063</v>
      </c>
      <c r="C7908" s="9" t="s">
        <v>631</v>
      </c>
      <c r="D7908" s="14" t="s">
        <v>15064</v>
      </c>
      <c r="E7908" s="9" t="s">
        <v>8</v>
      </c>
    </row>
    <row r="7909" spans="1:5" ht="15" customHeight="1" outlineLevel="2" x14ac:dyDescent="0.25">
      <c r="A7909" s="3" t="str">
        <f>HYPERLINK("http://mystore1.ru/price_items/search?utf8=%E2%9C%93&amp;oem=7035AGNPV6T","7035AGNPV6T")</f>
        <v>7035AGNPV6T</v>
      </c>
      <c r="B7909" s="1" t="s">
        <v>15065</v>
      </c>
      <c r="C7909" s="9" t="s">
        <v>631</v>
      </c>
      <c r="D7909" s="14" t="s">
        <v>15066</v>
      </c>
      <c r="E7909" s="9" t="s">
        <v>8</v>
      </c>
    </row>
    <row r="7910" spans="1:5" ht="15" customHeight="1" outlineLevel="2" x14ac:dyDescent="0.25">
      <c r="A7910" s="3" t="str">
        <f>HYPERLINK("http://mystore1.ru/price_items/search?utf8=%E2%9C%93&amp;oem=7035AGNV","7035AGNV")</f>
        <v>7035AGNV</v>
      </c>
      <c r="B7910" s="1" t="s">
        <v>15067</v>
      </c>
      <c r="C7910" s="9" t="s">
        <v>631</v>
      </c>
      <c r="D7910" s="14" t="s">
        <v>15068</v>
      </c>
      <c r="E7910" s="9" t="s">
        <v>8</v>
      </c>
    </row>
    <row r="7911" spans="1:5" ht="15" customHeight="1" outlineLevel="2" x14ac:dyDescent="0.25">
      <c r="A7911" s="3" t="str">
        <f>HYPERLINK("http://mystore1.ru/price_items/search?utf8=%E2%9C%93&amp;oem=7035LGNS4FD","7035LGNS4FD")</f>
        <v>7035LGNS4FD</v>
      </c>
      <c r="B7911" s="1" t="s">
        <v>15069</v>
      </c>
      <c r="C7911" s="9" t="s">
        <v>631</v>
      </c>
      <c r="D7911" s="14" t="s">
        <v>15070</v>
      </c>
      <c r="E7911" s="9" t="s">
        <v>11</v>
      </c>
    </row>
    <row r="7912" spans="1:5" ht="15" customHeight="1" outlineLevel="2" x14ac:dyDescent="0.25">
      <c r="A7912" s="3" t="str">
        <f>HYPERLINK("http://mystore1.ru/price_items/search?utf8=%E2%9C%93&amp;oem=7035LGNS4RD","7035LGNS4RD")</f>
        <v>7035LGNS4RD</v>
      </c>
      <c r="B7912" s="1" t="s">
        <v>15071</v>
      </c>
      <c r="C7912" s="9" t="s">
        <v>631</v>
      </c>
      <c r="D7912" s="14" t="s">
        <v>15072</v>
      </c>
      <c r="E7912" s="9" t="s">
        <v>11</v>
      </c>
    </row>
    <row r="7913" spans="1:5" ht="15" customHeight="1" outlineLevel="2" x14ac:dyDescent="0.25">
      <c r="A7913" s="3" t="str">
        <f>HYPERLINK("http://mystore1.ru/price_items/search?utf8=%E2%9C%93&amp;oem=7035LGNS4RV","7035LGNS4RV")</f>
        <v>7035LGNS4RV</v>
      </c>
      <c r="B7913" s="1" t="s">
        <v>15073</v>
      </c>
      <c r="C7913" s="9" t="s">
        <v>631</v>
      </c>
      <c r="D7913" s="14" t="s">
        <v>15074</v>
      </c>
      <c r="E7913" s="9" t="s">
        <v>11</v>
      </c>
    </row>
    <row r="7914" spans="1:5" ht="15" customHeight="1" outlineLevel="2" x14ac:dyDescent="0.25">
      <c r="A7914" s="3" t="str">
        <f>HYPERLINK("http://mystore1.ru/price_items/search?utf8=%E2%9C%93&amp;oem=7035LGSE5RD","7035LGSE5RD")</f>
        <v>7035LGSE5RD</v>
      </c>
      <c r="B7914" s="1" t="s">
        <v>15075</v>
      </c>
      <c r="C7914" s="9" t="s">
        <v>631</v>
      </c>
      <c r="D7914" s="14" t="s">
        <v>15076</v>
      </c>
      <c r="E7914" s="9" t="s">
        <v>11</v>
      </c>
    </row>
    <row r="7915" spans="1:5" ht="15" customHeight="1" outlineLevel="2" x14ac:dyDescent="0.25">
      <c r="A7915" s="3" t="str">
        <f>HYPERLINK("http://mystore1.ru/price_items/search?utf8=%E2%9C%93&amp;oem=7035LGSE5RV","7035LGSE5RV")</f>
        <v>7035LGSE5RV</v>
      </c>
      <c r="B7915" s="1" t="s">
        <v>15077</v>
      </c>
      <c r="C7915" s="9" t="s">
        <v>631</v>
      </c>
      <c r="D7915" s="14" t="s">
        <v>15078</v>
      </c>
      <c r="E7915" s="9" t="s">
        <v>11</v>
      </c>
    </row>
    <row r="7916" spans="1:5" ht="15" customHeight="1" outlineLevel="2" x14ac:dyDescent="0.25">
      <c r="A7916" s="3" t="str">
        <f>HYPERLINK("http://mystore1.ru/price_items/search?utf8=%E2%9C%93&amp;oem=7035RGNS4FD","7035RGNS4FD")</f>
        <v>7035RGNS4FD</v>
      </c>
      <c r="B7916" s="1" t="s">
        <v>15079</v>
      </c>
      <c r="C7916" s="9" t="s">
        <v>631</v>
      </c>
      <c r="D7916" s="14" t="s">
        <v>15080</v>
      </c>
      <c r="E7916" s="9" t="s">
        <v>11</v>
      </c>
    </row>
    <row r="7917" spans="1:5" ht="15" customHeight="1" outlineLevel="2" x14ac:dyDescent="0.25">
      <c r="A7917" s="3" t="str">
        <f>HYPERLINK("http://mystore1.ru/price_items/search?utf8=%E2%9C%93&amp;oem=7035RGNS4RD","7035RGNS4RD")</f>
        <v>7035RGNS4RD</v>
      </c>
      <c r="B7917" s="1" t="s">
        <v>15081</v>
      </c>
      <c r="C7917" s="9" t="s">
        <v>631</v>
      </c>
      <c r="D7917" s="14" t="s">
        <v>15082</v>
      </c>
      <c r="E7917" s="9" t="s">
        <v>11</v>
      </c>
    </row>
    <row r="7918" spans="1:5" ht="15" customHeight="1" outlineLevel="2" x14ac:dyDescent="0.25">
      <c r="A7918" s="3" t="str">
        <f>HYPERLINK("http://mystore1.ru/price_items/search?utf8=%E2%9C%93&amp;oem=7035RGNS4RV","7035RGNS4RV")</f>
        <v>7035RGNS4RV</v>
      </c>
      <c r="B7918" s="1" t="s">
        <v>15083</v>
      </c>
      <c r="C7918" s="9" t="s">
        <v>631</v>
      </c>
      <c r="D7918" s="14" t="s">
        <v>15084</v>
      </c>
      <c r="E7918" s="9" t="s">
        <v>11</v>
      </c>
    </row>
    <row r="7919" spans="1:5" ht="15" customHeight="1" outlineLevel="2" x14ac:dyDescent="0.25">
      <c r="A7919" s="3" t="str">
        <f>HYPERLINK("http://mystore1.ru/price_items/search?utf8=%E2%9C%93&amp;oem=7035RGSE5RD","7035RGSE5RD")</f>
        <v>7035RGSE5RD</v>
      </c>
      <c r="B7919" s="1" t="s">
        <v>15085</v>
      </c>
      <c r="C7919" s="9" t="s">
        <v>631</v>
      </c>
      <c r="D7919" s="14" t="s">
        <v>15086</v>
      </c>
      <c r="E7919" s="9" t="s">
        <v>11</v>
      </c>
    </row>
    <row r="7920" spans="1:5" ht="15" customHeight="1" outlineLevel="2" x14ac:dyDescent="0.25">
      <c r="A7920" s="3" t="str">
        <f>HYPERLINK("http://mystore1.ru/price_items/search?utf8=%E2%9C%93&amp;oem=7035RGSE5RV","7035RGSE5RV")</f>
        <v>7035RGSE5RV</v>
      </c>
      <c r="B7920" s="1" t="s">
        <v>15087</v>
      </c>
      <c r="C7920" s="9" t="s">
        <v>631</v>
      </c>
      <c r="D7920" s="14" t="s">
        <v>15088</v>
      </c>
      <c r="E7920" s="9" t="s">
        <v>11</v>
      </c>
    </row>
    <row r="7921" spans="1:5" outlineLevel="1" x14ac:dyDescent="0.25">
      <c r="A7921" s="2"/>
      <c r="B7921" s="6" t="s">
        <v>15089</v>
      </c>
      <c r="C7921" s="8"/>
      <c r="D7921" s="8"/>
      <c r="E7921" s="8"/>
    </row>
    <row r="7922" spans="1:5" ht="15" customHeight="1" outlineLevel="2" x14ac:dyDescent="0.25">
      <c r="A7922" s="3" t="str">
        <f>HYPERLINK("http://mystore1.ru/price_items/search?utf8=%E2%9C%93&amp;oem=7014ACL","7014ACL")</f>
        <v>7014ACL</v>
      </c>
      <c r="B7922" s="1" t="s">
        <v>15090</v>
      </c>
      <c r="C7922" s="9" t="s">
        <v>5824</v>
      </c>
      <c r="D7922" s="14" t="s">
        <v>15091</v>
      </c>
      <c r="E7922" s="9" t="s">
        <v>8</v>
      </c>
    </row>
    <row r="7923" spans="1:5" outlineLevel="1" x14ac:dyDescent="0.25">
      <c r="A7923" s="2"/>
      <c r="B7923" s="6" t="s">
        <v>15092</v>
      </c>
      <c r="C7923" s="8"/>
      <c r="D7923" s="8"/>
      <c r="E7923" s="8"/>
    </row>
    <row r="7924" spans="1:5" ht="15" customHeight="1" outlineLevel="2" x14ac:dyDescent="0.25">
      <c r="A7924" s="3" t="str">
        <f>HYPERLINK("http://mystore1.ru/price_items/search?utf8=%E2%9C%93&amp;oem=7027AGNGNVZ","7027AGNGNVZ")</f>
        <v>7027AGNGNVZ</v>
      </c>
      <c r="B7924" s="1" t="s">
        <v>15093</v>
      </c>
      <c r="C7924" s="9" t="s">
        <v>7065</v>
      </c>
      <c r="D7924" s="14" t="s">
        <v>15094</v>
      </c>
      <c r="E7924" s="9" t="s">
        <v>8</v>
      </c>
    </row>
    <row r="7925" spans="1:5" ht="15" customHeight="1" outlineLevel="2" x14ac:dyDescent="0.25">
      <c r="A7925" s="3" t="str">
        <f>HYPERLINK("http://mystore1.ru/price_items/search?utf8=%E2%9C%93&amp;oem=7027AGNVZ","7027AGNVZ")</f>
        <v>7027AGNVZ</v>
      </c>
      <c r="B7925" s="1" t="s">
        <v>15095</v>
      </c>
      <c r="C7925" s="9" t="s">
        <v>7065</v>
      </c>
      <c r="D7925" s="14" t="s">
        <v>15096</v>
      </c>
      <c r="E7925" s="9" t="s">
        <v>8</v>
      </c>
    </row>
    <row r="7926" spans="1:5" ht="15" customHeight="1" outlineLevel="2" x14ac:dyDescent="0.25">
      <c r="A7926" s="3" t="str">
        <f>HYPERLINK("http://mystore1.ru/price_items/search?utf8=%E2%9C%93&amp;oem=7027ASMH","7027ASMH")</f>
        <v>7027ASMH</v>
      </c>
      <c r="B7926" s="1" t="s">
        <v>15097</v>
      </c>
      <c r="C7926" s="9" t="s">
        <v>25</v>
      </c>
      <c r="D7926" s="14" t="s">
        <v>15098</v>
      </c>
      <c r="E7926" s="9" t="s">
        <v>27</v>
      </c>
    </row>
    <row r="7927" spans="1:5" ht="15" customHeight="1" outlineLevel="2" x14ac:dyDescent="0.25">
      <c r="A7927" s="3" t="str">
        <f>HYPERLINK("http://mystore1.ru/price_items/search?utf8=%E2%9C%93&amp;oem=7027ASMH6C","7027ASMH6C")</f>
        <v>7027ASMH6C</v>
      </c>
      <c r="B7927" s="1" t="s">
        <v>15099</v>
      </c>
      <c r="C7927" s="9" t="s">
        <v>25</v>
      </c>
      <c r="D7927" s="14" t="s">
        <v>15100</v>
      </c>
      <c r="E7927" s="9" t="s">
        <v>27</v>
      </c>
    </row>
    <row r="7928" spans="1:5" ht="15" customHeight="1" outlineLevel="2" x14ac:dyDescent="0.25">
      <c r="A7928" s="3" t="str">
        <f>HYPERLINK("http://mystore1.ru/price_items/search?utf8=%E2%9C%93&amp;oem=7027BGSH1J","7027BGSH1J")</f>
        <v>7027BGSH1J</v>
      </c>
      <c r="B7928" s="1" t="s">
        <v>15101</v>
      </c>
      <c r="C7928" s="9" t="s">
        <v>2699</v>
      </c>
      <c r="D7928" s="14" t="s">
        <v>15102</v>
      </c>
      <c r="E7928" s="9" t="s">
        <v>30</v>
      </c>
    </row>
    <row r="7929" spans="1:5" ht="15" customHeight="1" outlineLevel="2" x14ac:dyDescent="0.25">
      <c r="A7929" s="3" t="str">
        <f>HYPERLINK("http://mystore1.ru/price_items/search?utf8=%E2%9C%93&amp;oem=7027LGNH3FDW1M","7027LGNH3FDW1M")</f>
        <v>7027LGNH3FDW1M</v>
      </c>
      <c r="B7929" s="1" t="s">
        <v>15103</v>
      </c>
      <c r="C7929" s="9" t="s">
        <v>2699</v>
      </c>
      <c r="D7929" s="14" t="s">
        <v>15104</v>
      </c>
      <c r="E7929" s="9" t="s">
        <v>11</v>
      </c>
    </row>
    <row r="7930" spans="1:5" ht="15" customHeight="1" outlineLevel="2" x14ac:dyDescent="0.25">
      <c r="A7930" s="3" t="str">
        <f>HYPERLINK("http://mystore1.ru/price_items/search?utf8=%E2%9C%93&amp;oem=7027LGNH5FDW1M","7027LGNH5FDW1M")</f>
        <v>7027LGNH5FDW1M</v>
      </c>
      <c r="B7930" s="1" t="s">
        <v>15105</v>
      </c>
      <c r="C7930" s="9" t="s">
        <v>2699</v>
      </c>
      <c r="D7930" s="14" t="s">
        <v>15104</v>
      </c>
      <c r="E7930" s="9" t="s">
        <v>11</v>
      </c>
    </row>
    <row r="7931" spans="1:5" ht="15" customHeight="1" outlineLevel="2" x14ac:dyDescent="0.25">
      <c r="A7931" s="3" t="str">
        <f>HYPERLINK("http://mystore1.ru/price_items/search?utf8=%E2%9C%93&amp;oem=7027LGNH5RDW","7027LGNH5RDW")</f>
        <v>7027LGNH5RDW</v>
      </c>
      <c r="B7931" s="1" t="s">
        <v>15106</v>
      </c>
      <c r="C7931" s="9" t="s">
        <v>7065</v>
      </c>
      <c r="D7931" s="14" t="s">
        <v>15107</v>
      </c>
      <c r="E7931" s="9" t="s">
        <v>11</v>
      </c>
    </row>
    <row r="7932" spans="1:5" ht="15" customHeight="1" outlineLevel="2" x14ac:dyDescent="0.25">
      <c r="A7932" s="3" t="str">
        <f>HYPERLINK("http://mystore1.ru/price_items/search?utf8=%E2%9C%93&amp;oem=7027RGNH3FDW1M","7027RGNH3FDW1M")</f>
        <v>7027RGNH3FDW1M</v>
      </c>
      <c r="B7932" s="1" t="s">
        <v>15108</v>
      </c>
      <c r="C7932" s="9" t="s">
        <v>2699</v>
      </c>
      <c r="D7932" s="14" t="s">
        <v>15109</v>
      </c>
      <c r="E7932" s="9" t="s">
        <v>11</v>
      </c>
    </row>
    <row r="7933" spans="1:5" ht="15" customHeight="1" outlineLevel="2" x14ac:dyDescent="0.25">
      <c r="A7933" s="3" t="str">
        <f>HYPERLINK("http://mystore1.ru/price_items/search?utf8=%E2%9C%93&amp;oem=7027RGNH5FDW1M","7027RGNH5FDW1M")</f>
        <v>7027RGNH5FDW1M</v>
      </c>
      <c r="B7933" s="1" t="s">
        <v>15110</v>
      </c>
      <c r="C7933" s="9" t="s">
        <v>2699</v>
      </c>
      <c r="D7933" s="14" t="s">
        <v>15111</v>
      </c>
      <c r="E7933" s="9" t="s">
        <v>11</v>
      </c>
    </row>
    <row r="7934" spans="1:5" ht="15" customHeight="1" outlineLevel="2" x14ac:dyDescent="0.25">
      <c r="A7934" s="3" t="str">
        <f>HYPERLINK("http://mystore1.ru/price_items/search?utf8=%E2%9C%93&amp;oem=7027RGNH5RDW","7027RGNH5RDW")</f>
        <v>7027RGNH5RDW</v>
      </c>
      <c r="B7934" s="1" t="s">
        <v>15112</v>
      </c>
      <c r="C7934" s="9" t="s">
        <v>7065</v>
      </c>
      <c r="D7934" s="14" t="s">
        <v>15113</v>
      </c>
      <c r="E7934" s="9" t="s">
        <v>11</v>
      </c>
    </row>
    <row r="7935" spans="1:5" outlineLevel="1" x14ac:dyDescent="0.25">
      <c r="A7935" s="2"/>
      <c r="B7935" s="6" t="s">
        <v>15114</v>
      </c>
      <c r="C7935" s="8"/>
      <c r="D7935" s="8"/>
      <c r="E7935" s="8"/>
    </row>
    <row r="7936" spans="1:5" ht="15" customHeight="1" outlineLevel="2" x14ac:dyDescent="0.25">
      <c r="A7936" s="3" t="str">
        <f>HYPERLINK("http://mystore1.ru/price_items/search?utf8=%E2%9C%93&amp;oem=7016ABLBL","7016ABLBL")</f>
        <v>7016ABLBL</v>
      </c>
      <c r="B7936" s="1" t="s">
        <v>15115</v>
      </c>
      <c r="C7936" s="9" t="s">
        <v>2042</v>
      </c>
      <c r="D7936" s="14" t="s">
        <v>15116</v>
      </c>
      <c r="E7936" s="9" t="s">
        <v>8</v>
      </c>
    </row>
    <row r="7937" spans="1:5" ht="15" customHeight="1" outlineLevel="2" x14ac:dyDescent="0.25">
      <c r="A7937" s="3" t="str">
        <f>HYPERLINK("http://mystore1.ru/price_items/search?utf8=%E2%9C%93&amp;oem=7016AGNBL","7016AGNBL")</f>
        <v>7016AGNBL</v>
      </c>
      <c r="B7937" s="1" t="s">
        <v>15117</v>
      </c>
      <c r="C7937" s="9" t="s">
        <v>2042</v>
      </c>
      <c r="D7937" s="14" t="s">
        <v>15118</v>
      </c>
      <c r="E7937" s="9" t="s">
        <v>8</v>
      </c>
    </row>
    <row r="7938" spans="1:5" ht="15" customHeight="1" outlineLevel="2" x14ac:dyDescent="0.25">
      <c r="A7938" s="3" t="str">
        <f>HYPERLINK("http://mystore1.ru/price_items/search?utf8=%E2%9C%93&amp;oem=7016AKCH","7016AKCH")</f>
        <v>7016AKCH</v>
      </c>
      <c r="B7938" s="1" t="s">
        <v>15119</v>
      </c>
      <c r="C7938" s="9" t="s">
        <v>25</v>
      </c>
      <c r="D7938" s="14" t="s">
        <v>15120</v>
      </c>
      <c r="E7938" s="9" t="s">
        <v>27</v>
      </c>
    </row>
    <row r="7939" spans="1:5" ht="15" customHeight="1" outlineLevel="2" x14ac:dyDescent="0.25">
      <c r="A7939" s="3" t="str">
        <f>HYPERLINK("http://mystore1.ru/price_items/search?utf8=%E2%9C%93&amp;oem=7016ASMHT","7016ASMHT")</f>
        <v>7016ASMHT</v>
      </c>
      <c r="B7939" s="1" t="s">
        <v>15121</v>
      </c>
      <c r="C7939" s="9" t="s">
        <v>25</v>
      </c>
      <c r="D7939" s="14" t="s">
        <v>15122</v>
      </c>
      <c r="E7939" s="9" t="s">
        <v>27</v>
      </c>
    </row>
    <row r="7940" spans="1:5" ht="15" customHeight="1" outlineLevel="2" x14ac:dyDescent="0.25">
      <c r="A7940" s="3" t="str">
        <f>HYPERLINK("http://mystore1.ru/price_items/search?utf8=%E2%9C%93&amp;oem=7016LGNH5FDW","7016LGNH5FDW")</f>
        <v>7016LGNH5FDW</v>
      </c>
      <c r="B7940" s="1" t="s">
        <v>15123</v>
      </c>
      <c r="C7940" s="9" t="s">
        <v>2042</v>
      </c>
      <c r="D7940" s="14" t="s">
        <v>15124</v>
      </c>
      <c r="E7940" s="9" t="s">
        <v>11</v>
      </c>
    </row>
    <row r="7941" spans="1:5" ht="15" customHeight="1" outlineLevel="2" x14ac:dyDescent="0.25">
      <c r="A7941" s="3" t="str">
        <f>HYPERLINK("http://mystore1.ru/price_items/search?utf8=%E2%9C%93&amp;oem=7016LGNH5RDW","7016LGNH5RDW")</f>
        <v>7016LGNH5RDW</v>
      </c>
      <c r="B7941" s="1" t="s">
        <v>15125</v>
      </c>
      <c r="C7941" s="9" t="s">
        <v>2042</v>
      </c>
      <c r="D7941" s="14" t="s">
        <v>15126</v>
      </c>
      <c r="E7941" s="9" t="s">
        <v>11</v>
      </c>
    </row>
    <row r="7942" spans="1:5" ht="15" customHeight="1" outlineLevel="2" x14ac:dyDescent="0.25">
      <c r="A7942" s="3" t="str">
        <f>HYPERLINK("http://mystore1.ru/price_items/search?utf8=%E2%9C%93&amp;oem=7016RGNH5FDW","7016RGNH5FDW")</f>
        <v>7016RGNH5FDW</v>
      </c>
      <c r="B7942" s="1" t="s">
        <v>15127</v>
      </c>
      <c r="C7942" s="9" t="s">
        <v>2042</v>
      </c>
      <c r="D7942" s="14" t="s">
        <v>15128</v>
      </c>
      <c r="E7942" s="9" t="s">
        <v>11</v>
      </c>
    </row>
    <row r="7943" spans="1:5" ht="15" customHeight="1" outlineLevel="2" x14ac:dyDescent="0.25">
      <c r="A7943" s="3" t="str">
        <f>HYPERLINK("http://mystore1.ru/price_items/search?utf8=%E2%9C%93&amp;oem=7016RGNH5RDW","7016RGNH5RDW")</f>
        <v>7016RGNH5RDW</v>
      </c>
      <c r="B7943" s="1" t="s">
        <v>15129</v>
      </c>
      <c r="C7943" s="9" t="s">
        <v>2042</v>
      </c>
      <c r="D7943" s="14" t="s">
        <v>15130</v>
      </c>
      <c r="E7943" s="9" t="s">
        <v>11</v>
      </c>
    </row>
    <row r="7944" spans="1:5" outlineLevel="1" x14ac:dyDescent="0.25">
      <c r="A7944" s="2"/>
      <c r="B7944" s="6" t="s">
        <v>15131</v>
      </c>
      <c r="C7944" s="8"/>
      <c r="D7944" s="8"/>
      <c r="E7944" s="8"/>
    </row>
    <row r="7945" spans="1:5" ht="15" customHeight="1" outlineLevel="2" x14ac:dyDescent="0.25">
      <c r="A7945" s="3" t="str">
        <f>HYPERLINK("http://mystore1.ru/price_items/search?utf8=%E2%9C%93&amp;oem=7025AGNGNVW","7025AGNGNVW")</f>
        <v>7025AGNGNVW</v>
      </c>
      <c r="B7945" s="1" t="s">
        <v>15132</v>
      </c>
      <c r="C7945" s="9" t="s">
        <v>52</v>
      </c>
      <c r="D7945" s="14" t="s">
        <v>15133</v>
      </c>
      <c r="E7945" s="9" t="s">
        <v>8</v>
      </c>
    </row>
    <row r="7946" spans="1:5" ht="15" customHeight="1" outlineLevel="2" x14ac:dyDescent="0.25">
      <c r="A7946" s="3" t="str">
        <f>HYPERLINK("http://mystore1.ru/price_items/search?utf8=%E2%9C%93&amp;oem=7025AGNVW","7025AGNVW")</f>
        <v>7025AGNVW</v>
      </c>
      <c r="B7946" s="1" t="s">
        <v>15134</v>
      </c>
      <c r="C7946" s="9" t="s">
        <v>52</v>
      </c>
      <c r="D7946" s="14" t="s">
        <v>15135</v>
      </c>
      <c r="E7946" s="9" t="s">
        <v>8</v>
      </c>
    </row>
    <row r="7947" spans="1:5" ht="15" customHeight="1" outlineLevel="2" x14ac:dyDescent="0.25">
      <c r="A7947" s="3" t="str">
        <f>HYPERLINK("http://mystore1.ru/price_items/search?utf8=%E2%9C%93&amp;oem=7025AKCH","7025AKCH")</f>
        <v>7025AKCH</v>
      </c>
      <c r="B7947" s="1" t="s">
        <v>15136</v>
      </c>
      <c r="C7947" s="9" t="s">
        <v>25</v>
      </c>
      <c r="D7947" s="14" t="s">
        <v>15137</v>
      </c>
      <c r="E7947" s="9" t="s">
        <v>27</v>
      </c>
    </row>
    <row r="7948" spans="1:5" ht="15" customHeight="1" outlineLevel="2" x14ac:dyDescent="0.25">
      <c r="A7948" s="3" t="str">
        <f>HYPERLINK("http://mystore1.ru/price_items/search?utf8=%E2%9C%93&amp;oem=7025ASCH","7025ASCH")</f>
        <v>7025ASCH</v>
      </c>
      <c r="B7948" s="1" t="s">
        <v>15138</v>
      </c>
      <c r="C7948" s="9" t="s">
        <v>25</v>
      </c>
      <c r="D7948" s="14" t="s">
        <v>15139</v>
      </c>
      <c r="E7948" s="9" t="s">
        <v>27</v>
      </c>
    </row>
    <row r="7949" spans="1:5" ht="15" customHeight="1" outlineLevel="2" x14ac:dyDescent="0.25">
      <c r="A7949" s="3" t="str">
        <f>HYPERLINK("http://mystore1.ru/price_items/search?utf8=%E2%9C%93&amp;oem=7025ASMHT","7025ASMHT")</f>
        <v>7025ASMHT</v>
      </c>
      <c r="B7949" s="1" t="s">
        <v>15140</v>
      </c>
      <c r="C7949" s="9" t="s">
        <v>25</v>
      </c>
      <c r="D7949" s="14" t="s">
        <v>15141</v>
      </c>
      <c r="E7949" s="9" t="s">
        <v>27</v>
      </c>
    </row>
    <row r="7950" spans="1:5" ht="15" customHeight="1" outlineLevel="2" x14ac:dyDescent="0.25">
      <c r="A7950" s="3" t="str">
        <f>HYPERLINK("http://mystore1.ru/price_items/search?utf8=%E2%9C%93&amp;oem=7025LGNH5FDW","7025LGNH5FDW")</f>
        <v>7025LGNH5FDW</v>
      </c>
      <c r="B7950" s="1" t="s">
        <v>15142</v>
      </c>
      <c r="C7950" s="9" t="s">
        <v>52</v>
      </c>
      <c r="D7950" s="14" t="s">
        <v>15143</v>
      </c>
      <c r="E7950" s="9" t="s">
        <v>11</v>
      </c>
    </row>
    <row r="7951" spans="1:5" ht="15" customHeight="1" outlineLevel="2" x14ac:dyDescent="0.25">
      <c r="A7951" s="3" t="str">
        <f>HYPERLINK("http://mystore1.ru/price_items/search?utf8=%E2%9C%93&amp;oem=7025LGNH5RDW","7025LGNH5RDW")</f>
        <v>7025LGNH5RDW</v>
      </c>
      <c r="B7951" s="1" t="s">
        <v>15144</v>
      </c>
      <c r="C7951" s="9" t="s">
        <v>52</v>
      </c>
      <c r="D7951" s="14" t="s">
        <v>15145</v>
      </c>
      <c r="E7951" s="9" t="s">
        <v>11</v>
      </c>
    </row>
    <row r="7952" spans="1:5" ht="15" customHeight="1" outlineLevel="2" x14ac:dyDescent="0.25">
      <c r="A7952" s="3" t="str">
        <f>HYPERLINK("http://mystore1.ru/price_items/search?utf8=%E2%9C%93&amp;oem=7025LGNH5RVZ","7025LGNH5RVZ")</f>
        <v>7025LGNH5RVZ</v>
      </c>
      <c r="B7952" s="1" t="s">
        <v>15146</v>
      </c>
      <c r="C7952" s="9" t="s">
        <v>52</v>
      </c>
      <c r="D7952" s="14" t="s">
        <v>15147</v>
      </c>
      <c r="E7952" s="9" t="s">
        <v>11</v>
      </c>
    </row>
    <row r="7953" spans="1:5" ht="15" customHeight="1" outlineLevel="2" x14ac:dyDescent="0.25">
      <c r="A7953" s="3" t="str">
        <f>HYPERLINK("http://mystore1.ru/price_items/search?utf8=%E2%9C%93&amp;oem=7025RGNH5FDW","7025RGNH5FDW")</f>
        <v>7025RGNH5FDW</v>
      </c>
      <c r="B7953" s="1" t="s">
        <v>15148</v>
      </c>
      <c r="C7953" s="9" t="s">
        <v>52</v>
      </c>
      <c r="D7953" s="14" t="s">
        <v>15149</v>
      </c>
      <c r="E7953" s="9" t="s">
        <v>11</v>
      </c>
    </row>
    <row r="7954" spans="1:5" ht="15" customHeight="1" outlineLevel="2" x14ac:dyDescent="0.25">
      <c r="A7954" s="3" t="str">
        <f>HYPERLINK("http://mystore1.ru/price_items/search?utf8=%E2%9C%93&amp;oem=7025RGNH5RDW","7025RGNH5RDW")</f>
        <v>7025RGNH5RDW</v>
      </c>
      <c r="B7954" s="1" t="s">
        <v>15150</v>
      </c>
      <c r="C7954" s="9" t="s">
        <v>52</v>
      </c>
      <c r="D7954" s="14" t="s">
        <v>15151</v>
      </c>
      <c r="E7954" s="9" t="s">
        <v>11</v>
      </c>
    </row>
    <row r="7955" spans="1:5" ht="15" customHeight="1" outlineLevel="2" x14ac:dyDescent="0.25">
      <c r="A7955" s="3" t="str">
        <f>HYPERLINK("http://mystore1.ru/price_items/search?utf8=%E2%9C%93&amp;oem=7025RGNH5RVZ","7025RGNH5RVZ")</f>
        <v>7025RGNH5RVZ</v>
      </c>
      <c r="B7955" s="1" t="s">
        <v>15152</v>
      </c>
      <c r="C7955" s="9" t="s">
        <v>52</v>
      </c>
      <c r="D7955" s="14" t="s">
        <v>15153</v>
      </c>
      <c r="E7955" s="9" t="s">
        <v>11</v>
      </c>
    </row>
    <row r="7956" spans="1:5" outlineLevel="1" x14ac:dyDescent="0.25">
      <c r="A7956" s="2"/>
      <c r="B7956" s="6" t="s">
        <v>15154</v>
      </c>
      <c r="C7956" s="8"/>
      <c r="D7956" s="8"/>
      <c r="E7956" s="8"/>
    </row>
    <row r="7957" spans="1:5" ht="15" customHeight="1" outlineLevel="2" x14ac:dyDescent="0.25">
      <c r="A7957" s="3" t="str">
        <f>HYPERLINK("http://mystore1.ru/price_items/search?utf8=%E2%9C%93&amp;oem=7020AGN","7020AGN")</f>
        <v>7020AGN</v>
      </c>
      <c r="B7957" s="1" t="s">
        <v>15155</v>
      </c>
      <c r="C7957" s="9" t="s">
        <v>4528</v>
      </c>
      <c r="D7957" s="14" t="s">
        <v>15156</v>
      </c>
      <c r="E7957" s="9" t="s">
        <v>8</v>
      </c>
    </row>
    <row r="7958" spans="1:5" ht="15" customHeight="1" outlineLevel="2" x14ac:dyDescent="0.25">
      <c r="A7958" s="3" t="str">
        <f>HYPERLINK("http://mystore1.ru/price_items/search?utf8=%E2%9C%93&amp;oem=7020AGNBL","7020AGNBL")</f>
        <v>7020AGNBL</v>
      </c>
      <c r="B7958" s="1" t="s">
        <v>15157</v>
      </c>
      <c r="C7958" s="9" t="s">
        <v>4528</v>
      </c>
      <c r="D7958" s="14" t="s">
        <v>15158</v>
      </c>
      <c r="E7958" s="9" t="s">
        <v>8</v>
      </c>
    </row>
    <row r="7959" spans="1:5" ht="15" customHeight="1" outlineLevel="2" x14ac:dyDescent="0.25">
      <c r="A7959" s="3" t="str">
        <f>HYPERLINK("http://mystore1.ru/price_items/search?utf8=%E2%9C%93&amp;oem=7020AGNGN","7020AGNGN")</f>
        <v>7020AGNGN</v>
      </c>
      <c r="B7959" s="1" t="s">
        <v>15159</v>
      </c>
      <c r="C7959" s="9" t="s">
        <v>4528</v>
      </c>
      <c r="D7959" s="14" t="s">
        <v>15160</v>
      </c>
      <c r="E7959" s="9" t="s">
        <v>8</v>
      </c>
    </row>
    <row r="7960" spans="1:5" ht="15" customHeight="1" outlineLevel="2" x14ac:dyDescent="0.25">
      <c r="A7960" s="3" t="str">
        <f>HYPERLINK("http://mystore1.ru/price_items/search?utf8=%E2%9C%93&amp;oem=7020LGNS4FDW","7020LGNS4FDW")</f>
        <v>7020LGNS4FDW</v>
      </c>
      <c r="B7960" s="1" t="s">
        <v>15161</v>
      </c>
      <c r="C7960" s="9" t="s">
        <v>4528</v>
      </c>
      <c r="D7960" s="14" t="s">
        <v>15162</v>
      </c>
      <c r="E7960" s="9" t="s">
        <v>11</v>
      </c>
    </row>
    <row r="7961" spans="1:5" ht="15" customHeight="1" outlineLevel="2" x14ac:dyDescent="0.25">
      <c r="A7961" s="3" t="str">
        <f>HYPERLINK("http://mystore1.ru/price_items/search?utf8=%E2%9C%93&amp;oem=7020LGNS4RDW","7020LGNS4RDW")</f>
        <v>7020LGNS4RDW</v>
      </c>
      <c r="B7961" s="1" t="s">
        <v>15163</v>
      </c>
      <c r="C7961" s="9" t="s">
        <v>4528</v>
      </c>
      <c r="D7961" s="14" t="s">
        <v>15164</v>
      </c>
      <c r="E7961" s="9" t="s">
        <v>11</v>
      </c>
    </row>
    <row r="7962" spans="1:5" ht="15" customHeight="1" outlineLevel="2" x14ac:dyDescent="0.25">
      <c r="A7962" s="3" t="str">
        <f>HYPERLINK("http://mystore1.ru/price_items/search?utf8=%E2%9C%93&amp;oem=7020LGNS4RVZ","7020LGNS4RVZ")</f>
        <v>7020LGNS4RVZ</v>
      </c>
      <c r="B7962" s="1" t="s">
        <v>15165</v>
      </c>
      <c r="C7962" s="9" t="s">
        <v>4528</v>
      </c>
      <c r="D7962" s="14" t="s">
        <v>15166</v>
      </c>
      <c r="E7962" s="9" t="s">
        <v>11</v>
      </c>
    </row>
    <row r="7963" spans="1:5" ht="15" customHeight="1" outlineLevel="2" x14ac:dyDescent="0.25">
      <c r="A7963" s="3" t="str">
        <f>HYPERLINK("http://mystore1.ru/price_items/search?utf8=%E2%9C%93&amp;oem=7020RGNS4FDW","7020RGNS4FDW")</f>
        <v>7020RGNS4FDW</v>
      </c>
      <c r="B7963" s="1" t="s">
        <v>15167</v>
      </c>
      <c r="C7963" s="9" t="s">
        <v>4528</v>
      </c>
      <c r="D7963" s="14" t="s">
        <v>15168</v>
      </c>
      <c r="E7963" s="9" t="s">
        <v>11</v>
      </c>
    </row>
    <row r="7964" spans="1:5" ht="15" customHeight="1" outlineLevel="2" x14ac:dyDescent="0.25">
      <c r="A7964" s="3" t="str">
        <f>HYPERLINK("http://mystore1.ru/price_items/search?utf8=%E2%9C%93&amp;oem=7020RGNS4RDW","7020RGNS4RDW")</f>
        <v>7020RGNS4RDW</v>
      </c>
      <c r="B7964" s="1" t="s">
        <v>15169</v>
      </c>
      <c r="C7964" s="9" t="s">
        <v>4528</v>
      </c>
      <c r="D7964" s="14" t="s">
        <v>15170</v>
      </c>
      <c r="E7964" s="9" t="s">
        <v>11</v>
      </c>
    </row>
    <row r="7965" spans="1:5" ht="15" customHeight="1" outlineLevel="2" x14ac:dyDescent="0.25">
      <c r="A7965" s="3" t="str">
        <f>HYPERLINK("http://mystore1.ru/price_items/search?utf8=%E2%9C%93&amp;oem=7020RGNS4RVZ","7020RGNS4RVZ")</f>
        <v>7020RGNS4RVZ</v>
      </c>
      <c r="B7965" s="1" t="s">
        <v>15171</v>
      </c>
      <c r="C7965" s="9" t="s">
        <v>4528</v>
      </c>
      <c r="D7965" s="14" t="s">
        <v>15172</v>
      </c>
      <c r="E7965" s="9" t="s">
        <v>11</v>
      </c>
    </row>
    <row r="7966" spans="1:5" outlineLevel="1" x14ac:dyDescent="0.25">
      <c r="A7966" s="2"/>
      <c r="B7966" s="6" t="s">
        <v>15173</v>
      </c>
      <c r="C7966" s="8"/>
      <c r="D7966" s="8"/>
      <c r="E7966" s="8"/>
    </row>
    <row r="7967" spans="1:5" ht="15" customHeight="1" outlineLevel="2" x14ac:dyDescent="0.25">
      <c r="A7967" s="3" t="str">
        <f>HYPERLINK("http://mystore1.ru/price_items/search?utf8=%E2%9C%93&amp;oem=7015ABZBZ","7015ABZBZ")</f>
        <v>7015ABZBZ</v>
      </c>
      <c r="B7967" s="1" t="s">
        <v>15174</v>
      </c>
      <c r="C7967" s="9" t="s">
        <v>5855</v>
      </c>
      <c r="D7967" s="14" t="s">
        <v>15175</v>
      </c>
      <c r="E7967" s="9" t="s">
        <v>8</v>
      </c>
    </row>
    <row r="7968" spans="1:5" ht="15" customHeight="1" outlineLevel="2" x14ac:dyDescent="0.25">
      <c r="A7968" s="3" t="str">
        <f>HYPERLINK("http://mystore1.ru/price_items/search?utf8=%E2%9C%93&amp;oem=7015AGNBL","7015AGNBL")</f>
        <v>7015AGNBL</v>
      </c>
      <c r="B7968" s="1" t="s">
        <v>15176</v>
      </c>
      <c r="C7968" s="9" t="s">
        <v>5855</v>
      </c>
      <c r="D7968" s="14" t="s">
        <v>15177</v>
      </c>
      <c r="E7968" s="9" t="s">
        <v>8</v>
      </c>
    </row>
    <row r="7969" spans="1:5" outlineLevel="1" x14ac:dyDescent="0.25">
      <c r="A7969" s="2"/>
      <c r="B7969" s="6" t="s">
        <v>15178</v>
      </c>
      <c r="C7969" s="8"/>
      <c r="D7969" s="8"/>
      <c r="E7969" s="8"/>
    </row>
    <row r="7970" spans="1:5" ht="15" customHeight="1" outlineLevel="2" x14ac:dyDescent="0.25">
      <c r="A7970" s="3" t="str">
        <f>HYPERLINK("http://mystore1.ru/price_items/search?utf8=%E2%9C%93&amp;oem=7018AGNBLV","7018AGNBLV")</f>
        <v>7018AGNBLV</v>
      </c>
      <c r="B7970" s="1" t="s">
        <v>15179</v>
      </c>
      <c r="C7970" s="9" t="s">
        <v>865</v>
      </c>
      <c r="D7970" s="14" t="s">
        <v>15180</v>
      </c>
      <c r="E7970" s="9" t="s">
        <v>8</v>
      </c>
    </row>
    <row r="7971" spans="1:5" ht="15" customHeight="1" outlineLevel="2" x14ac:dyDescent="0.25">
      <c r="A7971" s="3" t="str">
        <f>HYPERLINK("http://mystore1.ru/price_items/search?utf8=%E2%9C%93&amp;oem=7018AGNV","7018AGNV")</f>
        <v>7018AGNV</v>
      </c>
      <c r="B7971" s="1" t="s">
        <v>15181</v>
      </c>
      <c r="C7971" s="9" t="s">
        <v>865</v>
      </c>
      <c r="D7971" s="14" t="s">
        <v>15182</v>
      </c>
      <c r="E7971" s="9" t="s">
        <v>8</v>
      </c>
    </row>
    <row r="7972" spans="1:5" outlineLevel="1" x14ac:dyDescent="0.25">
      <c r="A7972" s="2"/>
      <c r="B7972" s="6" t="s">
        <v>15183</v>
      </c>
      <c r="C7972" s="8"/>
      <c r="D7972" s="8"/>
      <c r="E7972" s="8"/>
    </row>
    <row r="7973" spans="1:5" ht="15" customHeight="1" outlineLevel="2" x14ac:dyDescent="0.25">
      <c r="A7973" s="3" t="str">
        <f>HYPERLINK("http://mystore1.ru/price_items/search?utf8=%E2%9C%93&amp;oem=7037AGNBL","7037AGNBL")</f>
        <v>7037AGNBL</v>
      </c>
      <c r="B7973" s="1" t="s">
        <v>15184</v>
      </c>
      <c r="C7973" s="9" t="s">
        <v>1408</v>
      </c>
      <c r="D7973" s="14" t="s">
        <v>15185</v>
      </c>
      <c r="E7973" s="9" t="s">
        <v>8</v>
      </c>
    </row>
    <row r="7974" spans="1:5" ht="15" customHeight="1" outlineLevel="2" x14ac:dyDescent="0.25">
      <c r="A7974" s="3" t="str">
        <f>HYPERLINK("http://mystore1.ru/price_items/search?utf8=%E2%9C%93&amp;oem=7037BGNH","7037BGNH")</f>
        <v>7037BGNH</v>
      </c>
      <c r="B7974" s="1" t="s">
        <v>15186</v>
      </c>
      <c r="C7974" s="9" t="s">
        <v>1408</v>
      </c>
      <c r="D7974" s="14" t="s">
        <v>15187</v>
      </c>
      <c r="E7974" s="9" t="s">
        <v>30</v>
      </c>
    </row>
    <row r="7975" spans="1:5" ht="15" customHeight="1" outlineLevel="2" x14ac:dyDescent="0.25">
      <c r="A7975" s="3" t="str">
        <f>HYPERLINK("http://mystore1.ru/price_items/search?utf8=%E2%9C%93&amp;oem=7037LGNH5FDW","7037LGNH5FDW")</f>
        <v>7037LGNH5FDW</v>
      </c>
      <c r="B7975" s="1" t="s">
        <v>15188</v>
      </c>
      <c r="C7975" s="9" t="s">
        <v>1408</v>
      </c>
      <c r="D7975" s="14" t="s">
        <v>15189</v>
      </c>
      <c r="E7975" s="9" t="s">
        <v>11</v>
      </c>
    </row>
    <row r="7976" spans="1:5" ht="15" customHeight="1" outlineLevel="2" x14ac:dyDescent="0.25">
      <c r="A7976" s="3" t="str">
        <f>HYPERLINK("http://mystore1.ru/price_items/search?utf8=%E2%9C%93&amp;oem=7037LGNH5RDW","7037LGNH5RDW")</f>
        <v>7037LGNH5RDW</v>
      </c>
      <c r="B7976" s="1" t="s">
        <v>15190</v>
      </c>
      <c r="C7976" s="9" t="s">
        <v>1408</v>
      </c>
      <c r="D7976" s="14" t="s">
        <v>15191</v>
      </c>
      <c r="E7976" s="9" t="s">
        <v>11</v>
      </c>
    </row>
    <row r="7977" spans="1:5" ht="15" customHeight="1" outlineLevel="2" x14ac:dyDescent="0.25">
      <c r="A7977" s="3" t="str">
        <f>HYPERLINK("http://mystore1.ru/price_items/search?utf8=%E2%9C%93&amp;oem=7037LGNH5RV","7037LGNH5RV")</f>
        <v>7037LGNH5RV</v>
      </c>
      <c r="B7977" s="1" t="s">
        <v>15192</v>
      </c>
      <c r="C7977" s="9" t="s">
        <v>1408</v>
      </c>
      <c r="D7977" s="14" t="s">
        <v>15193</v>
      </c>
      <c r="E7977" s="9" t="s">
        <v>11</v>
      </c>
    </row>
    <row r="7978" spans="1:5" ht="15" customHeight="1" outlineLevel="2" x14ac:dyDescent="0.25">
      <c r="A7978" s="3" t="str">
        <f>HYPERLINK("http://mystore1.ru/price_items/search?utf8=%E2%9C%93&amp;oem=7037RGNH5FDW","7037RGNH5FDW")</f>
        <v>7037RGNH5FDW</v>
      </c>
      <c r="B7978" s="1" t="s">
        <v>15194</v>
      </c>
      <c r="C7978" s="9" t="s">
        <v>1408</v>
      </c>
      <c r="D7978" s="14" t="s">
        <v>15195</v>
      </c>
      <c r="E7978" s="9" t="s">
        <v>11</v>
      </c>
    </row>
    <row r="7979" spans="1:5" ht="15" customHeight="1" outlineLevel="2" x14ac:dyDescent="0.25">
      <c r="A7979" s="3" t="str">
        <f>HYPERLINK("http://mystore1.ru/price_items/search?utf8=%E2%9C%93&amp;oem=7037RGNH5RDW","7037RGNH5RDW")</f>
        <v>7037RGNH5RDW</v>
      </c>
      <c r="B7979" s="1" t="s">
        <v>15196</v>
      </c>
      <c r="C7979" s="9" t="s">
        <v>1408</v>
      </c>
      <c r="D7979" s="14" t="s">
        <v>15197</v>
      </c>
      <c r="E7979" s="9" t="s">
        <v>11</v>
      </c>
    </row>
    <row r="7980" spans="1:5" ht="15" customHeight="1" outlineLevel="2" x14ac:dyDescent="0.25">
      <c r="A7980" s="3" t="str">
        <f>HYPERLINK("http://mystore1.ru/price_items/search?utf8=%E2%9C%93&amp;oem=7037RGNH5RV","7037RGNH5RV")</f>
        <v>7037RGNH5RV</v>
      </c>
      <c r="B7980" s="1" t="s">
        <v>15198</v>
      </c>
      <c r="C7980" s="9" t="s">
        <v>1408</v>
      </c>
      <c r="D7980" s="14" t="s">
        <v>15199</v>
      </c>
      <c r="E7980" s="9" t="s">
        <v>11</v>
      </c>
    </row>
    <row r="7981" spans="1:5" outlineLevel="1" x14ac:dyDescent="0.25">
      <c r="A7981" s="2"/>
      <c r="B7981" s="6" t="s">
        <v>15200</v>
      </c>
      <c r="C7981" s="8"/>
      <c r="D7981" s="8"/>
      <c r="E7981" s="8"/>
    </row>
    <row r="7982" spans="1:5" ht="15" customHeight="1" outlineLevel="2" x14ac:dyDescent="0.25">
      <c r="A7982" s="3" t="str">
        <f>HYPERLINK("http://mystore1.ru/price_items/search?utf8=%E2%9C%93&amp;oem=7011ACL1N","7011ACL1N")</f>
        <v>7011ACL1N</v>
      </c>
      <c r="B7982" s="1" t="s">
        <v>15201</v>
      </c>
      <c r="C7982" s="9" t="s">
        <v>13</v>
      </c>
      <c r="D7982" s="14" t="s">
        <v>15202</v>
      </c>
      <c r="E7982" s="9" t="s">
        <v>8</v>
      </c>
    </row>
    <row r="7983" spans="1:5" ht="15" customHeight="1" outlineLevel="2" x14ac:dyDescent="0.25">
      <c r="A7983" s="3" t="str">
        <f>HYPERLINK("http://mystore1.ru/price_items/search?utf8=%E2%9C%93&amp;oem=7011BBZH","7011BBZH")</f>
        <v>7011BBZH</v>
      </c>
      <c r="B7983" s="1" t="s">
        <v>15203</v>
      </c>
      <c r="C7983" s="9" t="s">
        <v>13</v>
      </c>
      <c r="D7983" s="14" t="s">
        <v>15204</v>
      </c>
      <c r="E7983" s="9" t="s">
        <v>30</v>
      </c>
    </row>
    <row r="7984" spans="1:5" outlineLevel="1" x14ac:dyDescent="0.25">
      <c r="A7984" s="2"/>
      <c r="B7984" s="6" t="s">
        <v>15205</v>
      </c>
      <c r="C7984" s="8"/>
      <c r="D7984" s="8"/>
      <c r="E7984" s="8"/>
    </row>
    <row r="7985" spans="1:5" ht="15" customHeight="1" outlineLevel="2" x14ac:dyDescent="0.25">
      <c r="A7985" s="3" t="str">
        <f>HYPERLINK("http://mystore1.ru/price_items/search?utf8=%E2%9C%93&amp;oem=7010ACL","7010ACL")</f>
        <v>7010ACL</v>
      </c>
      <c r="B7985" s="1" t="s">
        <v>15206</v>
      </c>
      <c r="C7985" s="9" t="s">
        <v>4435</v>
      </c>
      <c r="D7985" s="14" t="s">
        <v>15207</v>
      </c>
      <c r="E7985" s="9" t="s">
        <v>8</v>
      </c>
    </row>
    <row r="7986" spans="1:5" outlineLevel="1" x14ac:dyDescent="0.25">
      <c r="A7986" s="2"/>
      <c r="B7986" s="6" t="s">
        <v>15208</v>
      </c>
      <c r="C7986" s="8"/>
      <c r="D7986" s="8"/>
      <c r="E7986" s="8"/>
    </row>
    <row r="7987" spans="1:5" ht="15" customHeight="1" outlineLevel="2" x14ac:dyDescent="0.25">
      <c r="A7987" s="3" t="str">
        <f>HYPERLINK("http://mystore1.ru/price_items/search?utf8=%E2%9C%93&amp;oem=7026AGNZ","7026AGNZ")</f>
        <v>7026AGNZ</v>
      </c>
      <c r="B7987" s="1" t="s">
        <v>15209</v>
      </c>
      <c r="C7987" s="9" t="s">
        <v>241</v>
      </c>
      <c r="D7987" s="14" t="s">
        <v>15210</v>
      </c>
      <c r="E7987" s="9" t="s">
        <v>8</v>
      </c>
    </row>
    <row r="7988" spans="1:5" ht="15" customHeight="1" outlineLevel="2" x14ac:dyDescent="0.25">
      <c r="A7988" s="3" t="str">
        <f>HYPERLINK("http://mystore1.ru/price_items/search?utf8=%E2%9C%93&amp;oem=7026ASMT","7026ASMT")</f>
        <v>7026ASMT</v>
      </c>
      <c r="B7988" s="1" t="s">
        <v>15211</v>
      </c>
      <c r="C7988" s="9" t="s">
        <v>25</v>
      </c>
      <c r="D7988" s="14" t="s">
        <v>15212</v>
      </c>
      <c r="E7988" s="9" t="s">
        <v>27</v>
      </c>
    </row>
    <row r="7989" spans="1:5" outlineLevel="1" x14ac:dyDescent="0.25">
      <c r="A7989" s="2"/>
      <c r="B7989" s="6" t="s">
        <v>15213</v>
      </c>
      <c r="C7989" s="8"/>
      <c r="D7989" s="8"/>
      <c r="E7989" s="8"/>
    </row>
    <row r="7990" spans="1:5" ht="15" customHeight="1" outlineLevel="2" x14ac:dyDescent="0.25">
      <c r="A7990" s="3" t="str">
        <f>HYPERLINK("http://mystore1.ru/price_items/search?utf8=%E2%9C%93&amp;oem=7002FGNS2FD","7002FGNS2FD")</f>
        <v>7002FGNS2FD</v>
      </c>
      <c r="B7990" s="1" t="s">
        <v>15214</v>
      </c>
      <c r="C7990" s="9" t="s">
        <v>15215</v>
      </c>
      <c r="D7990" s="14" t="s">
        <v>15216</v>
      </c>
      <c r="E7990" s="9" t="s">
        <v>11</v>
      </c>
    </row>
    <row r="7991" spans="1:5" outlineLevel="1" x14ac:dyDescent="0.25">
      <c r="A7991" s="2"/>
      <c r="B7991" s="6" t="s">
        <v>15217</v>
      </c>
      <c r="C7991" s="8"/>
      <c r="D7991" s="8"/>
      <c r="E7991" s="8"/>
    </row>
    <row r="7992" spans="1:5" outlineLevel="2" x14ac:dyDescent="0.25">
      <c r="A7992" s="3" t="str">
        <f>HYPERLINK("http://mystore1.ru/price_items/search?utf8=%E2%9C%93&amp;oem=7013ACL","7013ACL")</f>
        <v>7013ACL</v>
      </c>
      <c r="B7992" s="1" t="s">
        <v>15218</v>
      </c>
      <c r="C7992" s="9" t="s">
        <v>25</v>
      </c>
      <c r="D7992" s="14" t="s">
        <v>15219</v>
      </c>
      <c r="E7992" s="9" t="s">
        <v>8</v>
      </c>
    </row>
    <row r="7993" spans="1:5" x14ac:dyDescent="0.25">
      <c r="A7993" s="61" t="s">
        <v>15220</v>
      </c>
      <c r="B7993" s="61"/>
      <c r="C7993" s="61"/>
      <c r="D7993" s="61"/>
      <c r="E7993" s="61"/>
    </row>
    <row r="7994" spans="1:5" outlineLevel="1" x14ac:dyDescent="0.25">
      <c r="A7994" s="2"/>
      <c r="B7994" s="6" t="s">
        <v>15221</v>
      </c>
      <c r="C7994" s="8"/>
      <c r="D7994" s="8"/>
      <c r="E7994" s="8"/>
    </row>
    <row r="7995" spans="1:5" ht="15" customHeight="1" outlineLevel="2" x14ac:dyDescent="0.25">
      <c r="A7995" s="3" t="str">
        <f>HYPERLINK("http://mystore1.ru/price_items/search?utf8=%E2%9C%93&amp;oem=7402ACL","7402ACL")</f>
        <v>7402ACL</v>
      </c>
      <c r="B7995" s="1" t="s">
        <v>15222</v>
      </c>
      <c r="C7995" s="9" t="s">
        <v>25</v>
      </c>
      <c r="D7995" s="14" t="s">
        <v>15223</v>
      </c>
      <c r="E7995" s="9" t="s">
        <v>8</v>
      </c>
    </row>
    <row r="7996" spans="1:5" outlineLevel="1" x14ac:dyDescent="0.25">
      <c r="A7996" s="2"/>
      <c r="B7996" s="6" t="s">
        <v>15224</v>
      </c>
      <c r="C7996" s="8"/>
      <c r="D7996" s="8"/>
      <c r="E7996" s="8"/>
    </row>
    <row r="7997" spans="1:5" ht="15" customHeight="1" outlineLevel="2" x14ac:dyDescent="0.25">
      <c r="A7997" s="3" t="str">
        <f>HYPERLINK("http://mystore1.ru/price_items/search?utf8=%E2%9C%93&amp;oem=7409BGST","7409BGST")</f>
        <v>7409BGST</v>
      </c>
      <c r="B7997" s="1" t="s">
        <v>15225</v>
      </c>
      <c r="C7997" s="9" t="s">
        <v>7022</v>
      </c>
      <c r="D7997" s="14" t="s">
        <v>15226</v>
      </c>
      <c r="E7997" s="9" t="s">
        <v>30</v>
      </c>
    </row>
    <row r="7998" spans="1:5" outlineLevel="1" x14ac:dyDescent="0.25">
      <c r="A7998" s="2"/>
      <c r="B7998" s="6" t="s">
        <v>15227</v>
      </c>
      <c r="C7998" s="8"/>
      <c r="D7998" s="8"/>
      <c r="E7998" s="8"/>
    </row>
    <row r="7999" spans="1:5" ht="15" customHeight="1" outlineLevel="2" x14ac:dyDescent="0.25">
      <c r="A7999" s="3" t="str">
        <f>HYPERLINK("http://mystore1.ru/price_items/search?utf8=%E2%9C%93&amp;oem=7411AGSMVW","7411AGSMVW")</f>
        <v>7411AGSMVW</v>
      </c>
      <c r="B7999" s="1" t="s">
        <v>15228</v>
      </c>
      <c r="C7999" s="9" t="s">
        <v>2594</v>
      </c>
      <c r="D7999" s="14" t="s">
        <v>15229</v>
      </c>
      <c r="E7999" s="9" t="s">
        <v>8</v>
      </c>
    </row>
    <row r="8000" spans="1:5" ht="15" customHeight="1" outlineLevel="2" x14ac:dyDescent="0.25">
      <c r="A8000" s="3" t="str">
        <f>HYPERLINK("http://mystore1.ru/price_items/search?utf8=%E2%9C%93&amp;oem=7411AGSVW","7411AGSVW")</f>
        <v>7411AGSVW</v>
      </c>
      <c r="B8000" s="1" t="s">
        <v>15230</v>
      </c>
      <c r="C8000" s="9" t="s">
        <v>2594</v>
      </c>
      <c r="D8000" s="14" t="s">
        <v>15231</v>
      </c>
      <c r="E8000" s="9" t="s">
        <v>8</v>
      </c>
    </row>
    <row r="8001" spans="1:5" ht="15" customHeight="1" outlineLevel="2" x14ac:dyDescent="0.25">
      <c r="A8001" s="3" t="str">
        <f>HYPERLINK("http://mystore1.ru/price_items/search?utf8=%E2%9C%93&amp;oem=7411ASMST","7411ASMST")</f>
        <v>7411ASMST</v>
      </c>
      <c r="B8001" s="1" t="s">
        <v>15232</v>
      </c>
      <c r="C8001" s="9" t="s">
        <v>25</v>
      </c>
      <c r="D8001" s="14" t="s">
        <v>15233</v>
      </c>
      <c r="E8001" s="9" t="s">
        <v>27</v>
      </c>
    </row>
    <row r="8002" spans="1:5" ht="15" customHeight="1" outlineLevel="2" x14ac:dyDescent="0.25">
      <c r="A8002" s="3" t="str">
        <f>HYPERLINK("http://mystore1.ru/price_items/search?utf8=%E2%9C%93&amp;oem=7411LGSS4FD","7411LGSS4FD")</f>
        <v>7411LGSS4FD</v>
      </c>
      <c r="B8002" s="1" t="s">
        <v>15234</v>
      </c>
      <c r="C8002" s="9" t="s">
        <v>2594</v>
      </c>
      <c r="D8002" s="14" t="s">
        <v>15235</v>
      </c>
      <c r="E8002" s="9" t="s">
        <v>11</v>
      </c>
    </row>
    <row r="8003" spans="1:5" ht="15" customHeight="1" outlineLevel="2" x14ac:dyDescent="0.25">
      <c r="A8003" s="3" t="str">
        <f>HYPERLINK("http://mystore1.ru/price_items/search?utf8=%E2%9C%93&amp;oem=7411LGSS4RDW","7411LGSS4RDW")</f>
        <v>7411LGSS4RDW</v>
      </c>
      <c r="B8003" s="1" t="s">
        <v>15236</v>
      </c>
      <c r="C8003" s="9" t="s">
        <v>2594</v>
      </c>
      <c r="D8003" s="14" t="s">
        <v>15237</v>
      </c>
      <c r="E8003" s="9" t="s">
        <v>11</v>
      </c>
    </row>
    <row r="8004" spans="1:5" ht="15" customHeight="1" outlineLevel="2" x14ac:dyDescent="0.25">
      <c r="A8004" s="3" t="str">
        <f>HYPERLINK("http://mystore1.ru/price_items/search?utf8=%E2%9C%93&amp;oem=7411RGSS4FD","7411RGSS4FD")</f>
        <v>7411RGSS4FD</v>
      </c>
      <c r="B8004" s="1" t="s">
        <v>15238</v>
      </c>
      <c r="C8004" s="9" t="s">
        <v>2594</v>
      </c>
      <c r="D8004" s="14" t="s">
        <v>15239</v>
      </c>
      <c r="E8004" s="9" t="s">
        <v>11</v>
      </c>
    </row>
    <row r="8005" spans="1:5" ht="15" customHeight="1" outlineLevel="2" x14ac:dyDescent="0.25">
      <c r="A8005" s="3" t="str">
        <f>HYPERLINK("http://mystore1.ru/price_items/search?utf8=%E2%9C%93&amp;oem=7411RGSS4RDW","7411RGSS4RDW")</f>
        <v>7411RGSS4RDW</v>
      </c>
      <c r="B8005" s="1" t="s">
        <v>15240</v>
      </c>
      <c r="C8005" s="9" t="s">
        <v>2594</v>
      </c>
      <c r="D8005" s="14" t="s">
        <v>15241</v>
      </c>
      <c r="E8005" s="9" t="s">
        <v>11</v>
      </c>
    </row>
    <row r="8006" spans="1:5" outlineLevel="1" x14ac:dyDescent="0.25">
      <c r="A8006" s="2"/>
      <c r="B8006" s="6" t="s">
        <v>15242</v>
      </c>
      <c r="C8006" s="8"/>
      <c r="D8006" s="8"/>
      <c r="E8006" s="8"/>
    </row>
    <row r="8007" spans="1:5" ht="15" customHeight="1" outlineLevel="2" x14ac:dyDescent="0.25">
      <c r="A8007" s="3" t="str">
        <f>HYPERLINK("http://mystore1.ru/price_items/search?utf8=%E2%9C%93&amp;oem=7410AGSMVW1R","7410AGSMVW1R")</f>
        <v>7410AGSMVW1R</v>
      </c>
      <c r="B8007" s="1" t="s">
        <v>15243</v>
      </c>
      <c r="C8007" s="9" t="s">
        <v>3106</v>
      </c>
      <c r="D8007" s="14" t="s">
        <v>15244</v>
      </c>
      <c r="E8007" s="9" t="s">
        <v>8</v>
      </c>
    </row>
    <row r="8008" spans="1:5" ht="15" customHeight="1" outlineLevel="2" x14ac:dyDescent="0.25">
      <c r="A8008" s="3" t="str">
        <f>HYPERLINK("http://mystore1.ru/price_items/search?utf8=%E2%9C%93&amp;oem=7410AGSVW1M","7410AGSVW1M")</f>
        <v>7410AGSVW1M</v>
      </c>
      <c r="B8008" s="1" t="s">
        <v>15245</v>
      </c>
      <c r="C8008" s="9" t="s">
        <v>3106</v>
      </c>
      <c r="D8008" s="14" t="s">
        <v>15246</v>
      </c>
      <c r="E8008" s="9" t="s">
        <v>8</v>
      </c>
    </row>
    <row r="8009" spans="1:5" ht="15" customHeight="1" outlineLevel="2" x14ac:dyDescent="0.25">
      <c r="A8009" s="3" t="str">
        <f>HYPERLINK("http://mystore1.ru/price_items/search?utf8=%E2%9C%93&amp;oem=7410ASMST","7410ASMST")</f>
        <v>7410ASMST</v>
      </c>
      <c r="B8009" s="1" t="s">
        <v>15247</v>
      </c>
      <c r="C8009" s="9" t="s">
        <v>25</v>
      </c>
      <c r="D8009" s="14" t="s">
        <v>15248</v>
      </c>
      <c r="E8009" s="9" t="s">
        <v>27</v>
      </c>
    </row>
    <row r="8010" spans="1:5" ht="15" customHeight="1" outlineLevel="2" x14ac:dyDescent="0.25">
      <c r="A8010" s="3" t="str">
        <f>HYPERLINK("http://mystore1.ru/price_items/search?utf8=%E2%9C%93&amp;oem=7410BGSSABZ","7410BGSSABZ")</f>
        <v>7410BGSSABZ</v>
      </c>
      <c r="B8010" s="1" t="s">
        <v>15249</v>
      </c>
      <c r="C8010" s="9" t="s">
        <v>3106</v>
      </c>
      <c r="D8010" s="14" t="s">
        <v>15250</v>
      </c>
      <c r="E8010" s="9" t="s">
        <v>30</v>
      </c>
    </row>
    <row r="8011" spans="1:5" ht="15" customHeight="1" outlineLevel="2" x14ac:dyDescent="0.25">
      <c r="A8011" s="3" t="str">
        <f>HYPERLINK("http://mystore1.ru/price_items/search?utf8=%E2%9C%93&amp;oem=7410LGSS4FDW","7410LGSS4FDW")</f>
        <v>7410LGSS4FDW</v>
      </c>
      <c r="B8011" s="1" t="s">
        <v>15251</v>
      </c>
      <c r="C8011" s="9" t="s">
        <v>3106</v>
      </c>
      <c r="D8011" s="14" t="s">
        <v>15252</v>
      </c>
      <c r="E8011" s="9" t="s">
        <v>11</v>
      </c>
    </row>
    <row r="8012" spans="1:5" ht="15" customHeight="1" outlineLevel="2" x14ac:dyDescent="0.25">
      <c r="A8012" s="3" t="str">
        <f>HYPERLINK("http://mystore1.ru/price_items/search?utf8=%E2%9C%93&amp;oem=7410LGSS4RDW","7410LGSS4RDW")</f>
        <v>7410LGSS4RDW</v>
      </c>
      <c r="B8012" s="1" t="s">
        <v>15253</v>
      </c>
      <c r="C8012" s="9" t="s">
        <v>3106</v>
      </c>
      <c r="D8012" s="14" t="s">
        <v>15254</v>
      </c>
      <c r="E8012" s="9" t="s">
        <v>11</v>
      </c>
    </row>
    <row r="8013" spans="1:5" ht="15" customHeight="1" outlineLevel="2" x14ac:dyDescent="0.25">
      <c r="A8013" s="3" t="str">
        <f>HYPERLINK("http://mystore1.ru/price_items/search?utf8=%E2%9C%93&amp;oem=7410RGSS4FDW","7410RGSS4FDW")</f>
        <v>7410RGSS4FDW</v>
      </c>
      <c r="B8013" s="1" t="s">
        <v>15255</v>
      </c>
      <c r="C8013" s="9" t="s">
        <v>3106</v>
      </c>
      <c r="D8013" s="14" t="s">
        <v>15256</v>
      </c>
      <c r="E8013" s="9" t="s">
        <v>11</v>
      </c>
    </row>
    <row r="8014" spans="1:5" ht="15" customHeight="1" outlineLevel="2" x14ac:dyDescent="0.25">
      <c r="A8014" s="3" t="str">
        <f>HYPERLINK("http://mystore1.ru/price_items/search?utf8=%E2%9C%93&amp;oem=7410RGSS4RDW","7410RGSS4RDW")</f>
        <v>7410RGSS4RDW</v>
      </c>
      <c r="B8014" s="1" t="s">
        <v>15257</v>
      </c>
      <c r="C8014" s="9" t="s">
        <v>3106</v>
      </c>
      <c r="D8014" s="14" t="s">
        <v>15258</v>
      </c>
      <c r="E8014" s="9" t="s">
        <v>11</v>
      </c>
    </row>
    <row r="8015" spans="1:5" outlineLevel="1" x14ac:dyDescent="0.25">
      <c r="A8015" s="2"/>
      <c r="B8015" s="6" t="s">
        <v>15259</v>
      </c>
      <c r="C8015" s="8"/>
      <c r="D8015" s="8"/>
      <c r="E8015" s="8"/>
    </row>
    <row r="8016" spans="1:5" ht="15" customHeight="1" outlineLevel="2" x14ac:dyDescent="0.25">
      <c r="A8016" s="3" t="str">
        <f>HYPERLINK("http://mystore1.ru/price_items/search?utf8=%E2%9C%93&amp;oem=7416AGSMPVWZ1P","7416AGSMPVWZ1P")</f>
        <v>7416AGSMPVWZ1P</v>
      </c>
      <c r="B8016" s="1" t="s">
        <v>15260</v>
      </c>
      <c r="C8016" s="9" t="s">
        <v>369</v>
      </c>
      <c r="D8016" s="14" t="s">
        <v>15261</v>
      </c>
      <c r="E8016" s="9" t="s">
        <v>8</v>
      </c>
    </row>
    <row r="8017" spans="1:5" ht="15" customHeight="1" outlineLevel="2" x14ac:dyDescent="0.25">
      <c r="A8017" s="3" t="str">
        <f>HYPERLINK("http://mystore1.ru/price_items/search?utf8=%E2%9C%93&amp;oem=7416AGSWZ","7416AGSWZ")</f>
        <v>7416AGSWZ</v>
      </c>
      <c r="B8017" s="1" t="s">
        <v>15262</v>
      </c>
      <c r="C8017" s="9" t="s">
        <v>369</v>
      </c>
      <c r="D8017" s="14" t="s">
        <v>15263</v>
      </c>
      <c r="E8017" s="9" t="s">
        <v>8</v>
      </c>
    </row>
    <row r="8018" spans="1:5" outlineLevel="1" x14ac:dyDescent="0.25">
      <c r="A8018" s="2"/>
      <c r="B8018" s="6" t="s">
        <v>15264</v>
      </c>
      <c r="C8018" s="8"/>
      <c r="D8018" s="8"/>
      <c r="E8018" s="8"/>
    </row>
    <row r="8019" spans="1:5" ht="15" customHeight="1" outlineLevel="2" x14ac:dyDescent="0.25">
      <c r="A8019" s="3" t="str">
        <f>HYPERLINK("http://mystore1.ru/price_items/search?utf8=%E2%9C%93&amp;oem=7415AGABLM1B","7415AGABLM1B")</f>
        <v>7415AGABLM1B</v>
      </c>
      <c r="B8019" s="1" t="s">
        <v>15265</v>
      </c>
      <c r="C8019" s="9" t="s">
        <v>6241</v>
      </c>
      <c r="D8019" s="14" t="s">
        <v>15266</v>
      </c>
      <c r="E8019" s="9" t="s">
        <v>8</v>
      </c>
    </row>
    <row r="8020" spans="1:5" outlineLevel="1" x14ac:dyDescent="0.25">
      <c r="A8020" s="2"/>
      <c r="B8020" s="6" t="s">
        <v>15267</v>
      </c>
      <c r="C8020" s="8"/>
      <c r="D8020" s="8"/>
      <c r="E8020" s="8"/>
    </row>
    <row r="8021" spans="1:5" ht="15" customHeight="1" outlineLevel="2" x14ac:dyDescent="0.25">
      <c r="A8021" s="3" t="str">
        <f>HYPERLINK("http://mystore1.ru/price_items/search?utf8=%E2%9C%93&amp;oem=7408ASMHT","7408ASMHT")</f>
        <v>7408ASMHT</v>
      </c>
      <c r="B8021" s="1" t="s">
        <v>15268</v>
      </c>
      <c r="C8021" s="9" t="s">
        <v>25</v>
      </c>
      <c r="D8021" s="14" t="s">
        <v>15269</v>
      </c>
      <c r="E8021" s="9" t="s">
        <v>27</v>
      </c>
    </row>
    <row r="8022" spans="1:5" ht="15" customHeight="1" outlineLevel="2" x14ac:dyDescent="0.25">
      <c r="A8022" s="3" t="str">
        <f>HYPERLINK("http://mystore1.ru/price_items/search?utf8=%E2%9C%93&amp;oem=7408RGNH5FDW","7408RGNH5FDW")</f>
        <v>7408RGNH5FDW</v>
      </c>
      <c r="B8022" s="1" t="s">
        <v>15270</v>
      </c>
      <c r="C8022" s="9" t="s">
        <v>623</v>
      </c>
      <c r="D8022" s="14" t="s">
        <v>15271</v>
      </c>
      <c r="E8022" s="9" t="s">
        <v>11</v>
      </c>
    </row>
    <row r="8023" spans="1:5" outlineLevel="1" x14ac:dyDescent="0.25">
      <c r="A8023" s="2"/>
      <c r="B8023" s="6" t="s">
        <v>15272</v>
      </c>
      <c r="C8023" s="8"/>
      <c r="D8023" s="8"/>
      <c r="E8023" s="8"/>
    </row>
    <row r="8024" spans="1:5" ht="15" customHeight="1" outlineLevel="2" x14ac:dyDescent="0.25">
      <c r="A8024" s="3" t="str">
        <f>HYPERLINK("http://mystore1.ru/price_items/search?utf8=%E2%9C%93&amp;oem=7403ABZ","7403ABZ")</f>
        <v>7403ABZ</v>
      </c>
      <c r="B8024" s="1" t="s">
        <v>15273</v>
      </c>
      <c r="C8024" s="9" t="s">
        <v>5331</v>
      </c>
      <c r="D8024" s="14" t="s">
        <v>15274</v>
      </c>
      <c r="E8024" s="9" t="s">
        <v>8</v>
      </c>
    </row>
    <row r="8025" spans="1:5" ht="15" customHeight="1" outlineLevel="2" x14ac:dyDescent="0.25">
      <c r="A8025" s="3" t="str">
        <f>HYPERLINK("http://mystore1.ru/price_items/search?utf8=%E2%9C%93&amp;oem=7403ACL","7403ACL")</f>
        <v>7403ACL</v>
      </c>
      <c r="B8025" s="1" t="s">
        <v>15275</v>
      </c>
      <c r="C8025" s="9" t="s">
        <v>5331</v>
      </c>
      <c r="D8025" s="14" t="s">
        <v>15276</v>
      </c>
      <c r="E8025" s="9" t="s">
        <v>8</v>
      </c>
    </row>
    <row r="8026" spans="1:5" outlineLevel="1" x14ac:dyDescent="0.25">
      <c r="A8026" s="2"/>
      <c r="B8026" s="6" t="s">
        <v>15277</v>
      </c>
      <c r="C8026" s="8"/>
      <c r="D8026" s="8"/>
      <c r="E8026" s="8"/>
    </row>
    <row r="8027" spans="1:5" outlineLevel="2" x14ac:dyDescent="0.25">
      <c r="A8027" s="3" t="str">
        <f>HYPERLINK("http://mystore1.ru/price_items/search?utf8=%E2%9C%93&amp;oem=7406AGNGNV","7406AGNGNV")</f>
        <v>7406AGNGNV</v>
      </c>
      <c r="B8027" s="1" t="s">
        <v>15278</v>
      </c>
      <c r="C8027" s="9" t="s">
        <v>8711</v>
      </c>
      <c r="D8027" s="14" t="s">
        <v>15279</v>
      </c>
      <c r="E8027" s="9" t="s">
        <v>8</v>
      </c>
    </row>
    <row r="8028" spans="1:5" outlineLevel="2" x14ac:dyDescent="0.25">
      <c r="A8028" s="3" t="str">
        <f>HYPERLINK("http://mystore1.ru/price_items/search?utf8=%E2%9C%93&amp;oem=7406AGSGNV1M","7406AGSGNV1M")</f>
        <v>7406AGSGNV1M</v>
      </c>
      <c r="B8028" s="1" t="s">
        <v>15280</v>
      </c>
      <c r="C8028" s="9" t="s">
        <v>8711</v>
      </c>
      <c r="D8028" s="14" t="s">
        <v>15281</v>
      </c>
      <c r="E8028" s="9" t="s">
        <v>8</v>
      </c>
    </row>
    <row r="8029" spans="1:5" outlineLevel="2" x14ac:dyDescent="0.25">
      <c r="A8029" s="3" t="str">
        <f>HYPERLINK("http://mystore1.ru/price_items/search?utf8=%E2%9C%93&amp;oem=7406AKMH","7406AKMH")</f>
        <v>7406AKMH</v>
      </c>
      <c r="B8029" s="1" t="s">
        <v>15282</v>
      </c>
      <c r="C8029" s="9" t="s">
        <v>25</v>
      </c>
      <c r="D8029" s="14" t="s">
        <v>15283</v>
      </c>
      <c r="E8029" s="9" t="s">
        <v>27</v>
      </c>
    </row>
    <row r="8030" spans="1:5" outlineLevel="2" x14ac:dyDescent="0.25">
      <c r="A8030" s="3" t="str">
        <f>HYPERLINK("http://mystore1.ru/price_items/search?utf8=%E2%9C%93&amp;oem=7406LGNH5FD","7406LGNH5FD")</f>
        <v>7406LGNH5FD</v>
      </c>
      <c r="B8030" s="1" t="s">
        <v>15284</v>
      </c>
      <c r="C8030" s="9" t="s">
        <v>8711</v>
      </c>
      <c r="D8030" s="14" t="s">
        <v>15285</v>
      </c>
      <c r="E8030" s="9" t="s">
        <v>11</v>
      </c>
    </row>
    <row r="8031" spans="1:5" outlineLevel="2" x14ac:dyDescent="0.25">
      <c r="A8031" s="3" t="str">
        <f>HYPERLINK("http://mystore1.ru/price_items/search?utf8=%E2%9C%93&amp;oem=7406LGNH5RD","7406LGNH5RD")</f>
        <v>7406LGNH5RD</v>
      </c>
      <c r="B8031" s="1" t="s">
        <v>15286</v>
      </c>
      <c r="C8031" s="9" t="s">
        <v>8711</v>
      </c>
      <c r="D8031" s="14" t="s">
        <v>15287</v>
      </c>
      <c r="E8031" s="9" t="s">
        <v>11</v>
      </c>
    </row>
    <row r="8032" spans="1:5" outlineLevel="2" x14ac:dyDescent="0.25">
      <c r="A8032" s="3" t="str">
        <f>HYPERLINK("http://mystore1.ru/price_items/search?utf8=%E2%9C%93&amp;oem=7406LGNH5RV","7406LGNH5RV")</f>
        <v>7406LGNH5RV</v>
      </c>
      <c r="B8032" s="1" t="s">
        <v>15288</v>
      </c>
      <c r="C8032" s="9" t="s">
        <v>8711</v>
      </c>
      <c r="D8032" s="14" t="s">
        <v>15289</v>
      </c>
      <c r="E8032" s="9" t="s">
        <v>11</v>
      </c>
    </row>
    <row r="8033" spans="1:5" outlineLevel="2" x14ac:dyDescent="0.25">
      <c r="A8033" s="3" t="str">
        <f>HYPERLINK("http://mystore1.ru/price_items/search?utf8=%E2%9C%93&amp;oem=7406RGNH5FD","7406RGNH5FD")</f>
        <v>7406RGNH5FD</v>
      </c>
      <c r="B8033" s="1" t="s">
        <v>15290</v>
      </c>
      <c r="C8033" s="9" t="s">
        <v>8711</v>
      </c>
      <c r="D8033" s="14" t="s">
        <v>15291</v>
      </c>
      <c r="E8033" s="9" t="s">
        <v>11</v>
      </c>
    </row>
    <row r="8034" spans="1:5" outlineLevel="2" x14ac:dyDescent="0.25">
      <c r="A8034" s="3" t="str">
        <f>HYPERLINK("http://mystore1.ru/price_items/search?utf8=%E2%9C%93&amp;oem=7406RGNH5RD","7406RGNH5RD")</f>
        <v>7406RGNH5RD</v>
      </c>
      <c r="B8034" s="1" t="s">
        <v>15292</v>
      </c>
      <c r="C8034" s="9" t="s">
        <v>8711</v>
      </c>
      <c r="D8034" s="14" t="s">
        <v>15293</v>
      </c>
      <c r="E8034" s="9" t="s">
        <v>11</v>
      </c>
    </row>
    <row r="8035" spans="1:5" outlineLevel="2" x14ac:dyDescent="0.25">
      <c r="A8035" s="3" t="str">
        <f>HYPERLINK("http://mystore1.ru/price_items/search?utf8=%E2%9C%93&amp;oem=7406RGNH5RV","7406RGNH5RV")</f>
        <v>7406RGNH5RV</v>
      </c>
      <c r="B8035" s="1" t="s">
        <v>15294</v>
      </c>
      <c r="C8035" s="9" t="s">
        <v>8711</v>
      </c>
      <c r="D8035" s="14" t="s">
        <v>15295</v>
      </c>
      <c r="E8035" s="9" t="s">
        <v>11</v>
      </c>
    </row>
    <row r="8036" spans="1:5" x14ac:dyDescent="0.25">
      <c r="A8036" s="61" t="s">
        <v>15296</v>
      </c>
      <c r="B8036" s="61"/>
      <c r="C8036" s="61"/>
      <c r="D8036" s="61"/>
      <c r="E8036" s="61"/>
    </row>
    <row r="8037" spans="1:5" outlineLevel="1" x14ac:dyDescent="0.25">
      <c r="A8037" s="2"/>
      <c r="B8037" s="6" t="s">
        <v>15297</v>
      </c>
      <c r="C8037" s="8"/>
      <c r="D8037" s="8"/>
      <c r="E8037" s="8"/>
    </row>
    <row r="8038" spans="1:5" ht="15" customHeight="1" outlineLevel="2" x14ac:dyDescent="0.25">
      <c r="A8038" s="3" t="str">
        <f>HYPERLINK("http://mystore1.ru/price_items/search?utf8=%E2%9C%93&amp;oem=7506ACL","7506ACL")</f>
        <v>7506ACL</v>
      </c>
      <c r="B8038" s="1" t="s">
        <v>15298</v>
      </c>
      <c r="C8038" s="9" t="s">
        <v>2789</v>
      </c>
      <c r="D8038" s="14" t="s">
        <v>15299</v>
      </c>
      <c r="E8038" s="9" t="s">
        <v>8</v>
      </c>
    </row>
    <row r="8039" spans="1:5" ht="15" customHeight="1" outlineLevel="2" x14ac:dyDescent="0.25">
      <c r="A8039" s="3" t="str">
        <f>HYPERLINK("http://mystore1.ru/price_items/search?utf8=%E2%9C%93&amp;oem=7506AGN","7506AGN")</f>
        <v>7506AGN</v>
      </c>
      <c r="B8039" s="1" t="s">
        <v>15300</v>
      </c>
      <c r="C8039" s="9" t="s">
        <v>2789</v>
      </c>
      <c r="D8039" s="14" t="s">
        <v>15301</v>
      </c>
      <c r="E8039" s="9" t="s">
        <v>8</v>
      </c>
    </row>
    <row r="8040" spans="1:5" ht="15" customHeight="1" outlineLevel="2" x14ac:dyDescent="0.25">
      <c r="A8040" s="3" t="str">
        <f>HYPERLINK("http://mystore1.ru/price_items/search?utf8=%E2%9C%93&amp;oem=7506AGNGN","7506AGNGN")</f>
        <v>7506AGNGN</v>
      </c>
      <c r="B8040" s="1" t="s">
        <v>15302</v>
      </c>
      <c r="C8040" s="9" t="s">
        <v>2789</v>
      </c>
      <c r="D8040" s="14" t="s">
        <v>15303</v>
      </c>
      <c r="E8040" s="9" t="s">
        <v>8</v>
      </c>
    </row>
    <row r="8041" spans="1:5" ht="15" customHeight="1" outlineLevel="2" x14ac:dyDescent="0.25">
      <c r="A8041" s="3" t="str">
        <f>HYPERLINK("http://mystore1.ru/price_items/search?utf8=%E2%9C%93&amp;oem=7506ASRL","7506ASRL")</f>
        <v>7506ASRL</v>
      </c>
      <c r="B8041" s="1" t="s">
        <v>15304</v>
      </c>
      <c r="C8041" s="9" t="s">
        <v>25</v>
      </c>
      <c r="D8041" s="14" t="s">
        <v>15305</v>
      </c>
      <c r="E8041" s="9" t="s">
        <v>27</v>
      </c>
    </row>
    <row r="8042" spans="1:5" ht="15" customHeight="1" outlineLevel="2" x14ac:dyDescent="0.25">
      <c r="A8042" s="3" t="str">
        <f>HYPERLINK("http://mystore1.ru/price_items/search?utf8=%E2%9C%93&amp;oem=7506LGNL2FDW","7506LGNL2FDW")</f>
        <v>7506LGNL2FDW</v>
      </c>
      <c r="B8042" s="1" t="s">
        <v>15306</v>
      </c>
      <c r="C8042" s="9" t="s">
        <v>2789</v>
      </c>
      <c r="D8042" s="14" t="s">
        <v>15307</v>
      </c>
      <c r="E8042" s="9" t="s">
        <v>11</v>
      </c>
    </row>
    <row r="8043" spans="1:5" ht="15" customHeight="1" outlineLevel="2" x14ac:dyDescent="0.25">
      <c r="A8043" s="3" t="str">
        <f>HYPERLINK("http://mystore1.ru/price_items/search?utf8=%E2%9C%93&amp;oem=7506RGNL2FDW","7506RGNL2FDW")</f>
        <v>7506RGNL2FDW</v>
      </c>
      <c r="B8043" s="1" t="s">
        <v>15308</v>
      </c>
      <c r="C8043" s="9" t="s">
        <v>2789</v>
      </c>
      <c r="D8043" s="14" t="s">
        <v>15309</v>
      </c>
      <c r="E8043" s="9" t="s">
        <v>11</v>
      </c>
    </row>
    <row r="8044" spans="1:5" outlineLevel="1" x14ac:dyDescent="0.25">
      <c r="A8044" s="2"/>
      <c r="B8044" s="6" t="s">
        <v>15310</v>
      </c>
      <c r="C8044" s="8"/>
      <c r="D8044" s="8"/>
      <c r="E8044" s="8"/>
    </row>
    <row r="8045" spans="1:5" ht="15" customHeight="1" outlineLevel="2" x14ac:dyDescent="0.25">
      <c r="A8045" s="3" t="str">
        <f>HYPERLINK("http://mystore1.ru/price_items/search?utf8=%E2%9C%93&amp;oem=7507ACL","7507ACL")</f>
        <v>7507ACL</v>
      </c>
      <c r="B8045" s="1" t="s">
        <v>15311</v>
      </c>
      <c r="C8045" s="9" t="s">
        <v>747</v>
      </c>
      <c r="D8045" s="14" t="s">
        <v>15312</v>
      </c>
      <c r="E8045" s="9" t="s">
        <v>8</v>
      </c>
    </row>
    <row r="8046" spans="1:5" ht="15" customHeight="1" outlineLevel="2" x14ac:dyDescent="0.25">
      <c r="A8046" s="3" t="str">
        <f>HYPERLINK("http://mystore1.ru/price_items/search?utf8=%E2%9C%93&amp;oem=7507AGN","7507AGN")</f>
        <v>7507AGN</v>
      </c>
      <c r="B8046" s="1" t="s">
        <v>15313</v>
      </c>
      <c r="C8046" s="9" t="s">
        <v>747</v>
      </c>
      <c r="D8046" s="14" t="s">
        <v>15314</v>
      </c>
      <c r="E8046" s="9" t="s">
        <v>8</v>
      </c>
    </row>
    <row r="8047" spans="1:5" outlineLevel="1" x14ac:dyDescent="0.25">
      <c r="A8047" s="2"/>
      <c r="B8047" s="6" t="s">
        <v>15315</v>
      </c>
      <c r="C8047" s="8"/>
      <c r="D8047" s="8"/>
      <c r="E8047" s="8"/>
    </row>
    <row r="8048" spans="1:5" ht="15" customHeight="1" outlineLevel="2" x14ac:dyDescent="0.25">
      <c r="A8048" s="3" t="str">
        <f>HYPERLINK("http://mystore1.ru/price_items/search?utf8=%E2%9C%93&amp;oem=7503ACL","7503ACL")</f>
        <v>7503ACL</v>
      </c>
      <c r="B8048" s="1" t="s">
        <v>15316</v>
      </c>
      <c r="C8048" s="9" t="s">
        <v>25</v>
      </c>
      <c r="D8048" s="14" t="s">
        <v>15317</v>
      </c>
      <c r="E8048" s="9" t="s">
        <v>8</v>
      </c>
    </row>
    <row r="8049" spans="1:5" outlineLevel="1" x14ac:dyDescent="0.25">
      <c r="A8049" s="2"/>
      <c r="B8049" s="6" t="s">
        <v>15318</v>
      </c>
      <c r="C8049" s="8"/>
      <c r="D8049" s="8"/>
      <c r="E8049" s="8"/>
    </row>
    <row r="8050" spans="1:5" outlineLevel="2" x14ac:dyDescent="0.25">
      <c r="A8050" s="3" t="str">
        <f>HYPERLINK("http://mystore1.ru/price_items/search?utf8=%E2%9C%93&amp;oem=7505ABZ","7505ABZ")</f>
        <v>7505ABZ</v>
      </c>
      <c r="B8050" s="1" t="s">
        <v>15319</v>
      </c>
      <c r="C8050" s="9" t="s">
        <v>15320</v>
      </c>
      <c r="D8050" s="14" t="s">
        <v>15321</v>
      </c>
      <c r="E8050" s="9" t="s">
        <v>8</v>
      </c>
    </row>
    <row r="8051" spans="1:5" outlineLevel="2" x14ac:dyDescent="0.25">
      <c r="A8051" s="3" t="str">
        <f>HYPERLINK("http://mystore1.ru/price_items/search?utf8=%E2%9C%93&amp;oem=7505ACL","7505ACL")</f>
        <v>7505ACL</v>
      </c>
      <c r="B8051" s="1" t="s">
        <v>15322</v>
      </c>
      <c r="C8051" s="9" t="s">
        <v>15320</v>
      </c>
      <c r="D8051" s="14" t="s">
        <v>15323</v>
      </c>
      <c r="E8051" s="9" t="s">
        <v>8</v>
      </c>
    </row>
    <row r="8052" spans="1:5" outlineLevel="2" x14ac:dyDescent="0.25">
      <c r="A8052" s="3" t="str">
        <f>HYPERLINK("http://mystore1.ru/price_items/search?utf8=%E2%9C%93&amp;oem=7505AGN","7505AGN")</f>
        <v>7505AGN</v>
      </c>
      <c r="B8052" s="1" t="s">
        <v>15324</v>
      </c>
      <c r="C8052" s="9" t="s">
        <v>15320</v>
      </c>
      <c r="D8052" s="14" t="s">
        <v>15325</v>
      </c>
      <c r="E8052" s="9" t="s">
        <v>8</v>
      </c>
    </row>
    <row r="8053" spans="1:5" outlineLevel="2" x14ac:dyDescent="0.25">
      <c r="A8053" s="3" t="str">
        <f>HYPERLINK("http://mystore1.ru/price_items/search?utf8=%E2%9C%93&amp;oem=7505AGNGN","7505AGNGN")</f>
        <v>7505AGNGN</v>
      </c>
      <c r="B8053" s="1" t="s">
        <v>15326</v>
      </c>
      <c r="C8053" s="9" t="s">
        <v>15320</v>
      </c>
      <c r="D8053" s="14" t="s">
        <v>15327</v>
      </c>
      <c r="E8053" s="9" t="s">
        <v>8</v>
      </c>
    </row>
    <row r="8054" spans="1:5" outlineLevel="2" x14ac:dyDescent="0.25">
      <c r="A8054" s="3" t="str">
        <f>HYPERLINK("http://mystore1.ru/price_items/search?utf8=%E2%9C%93&amp;oem=7505ASRL","7505ASRL")</f>
        <v>7505ASRL</v>
      </c>
      <c r="B8054" s="1" t="s">
        <v>15328</v>
      </c>
      <c r="C8054" s="9" t="s">
        <v>25</v>
      </c>
      <c r="D8054" s="14" t="s">
        <v>15329</v>
      </c>
      <c r="E8054" s="9" t="s">
        <v>27</v>
      </c>
    </row>
    <row r="8055" spans="1:5" outlineLevel="2" x14ac:dyDescent="0.25">
      <c r="A8055" s="3" t="str">
        <f>HYPERLINK("http://mystore1.ru/price_items/search?utf8=%E2%9C%93&amp;oem=7505FCLL2FD","7505FCLL2FD")</f>
        <v>7505FCLL2FD</v>
      </c>
      <c r="B8055" s="1" t="s">
        <v>15330</v>
      </c>
      <c r="C8055" s="9" t="s">
        <v>15320</v>
      </c>
      <c r="D8055" s="14" t="s">
        <v>15331</v>
      </c>
      <c r="E8055" s="9" t="s">
        <v>11</v>
      </c>
    </row>
    <row r="8056" spans="1:5" x14ac:dyDescent="0.25">
      <c r="A8056" s="61" t="s">
        <v>15332</v>
      </c>
      <c r="B8056" s="61"/>
      <c r="C8056" s="61"/>
      <c r="D8056" s="61"/>
      <c r="E8056" s="61"/>
    </row>
    <row r="8057" spans="1:5" outlineLevel="1" x14ac:dyDescent="0.25">
      <c r="A8057" s="2"/>
      <c r="B8057" s="6" t="s">
        <v>15333</v>
      </c>
      <c r="C8057" s="8"/>
      <c r="D8057" s="8"/>
      <c r="E8057" s="8"/>
    </row>
    <row r="8058" spans="1:5" ht="15" customHeight="1" outlineLevel="2" x14ac:dyDescent="0.25">
      <c r="A8058" s="3" t="str">
        <f>HYPERLINK("http://mystore1.ru/price_items/search?utf8=%E2%9C%93&amp;oem=7606AGN","7606AGN")</f>
        <v>7606AGN</v>
      </c>
      <c r="B8058" s="1" t="s">
        <v>15334</v>
      </c>
      <c r="C8058" s="9" t="s">
        <v>5046</v>
      </c>
      <c r="D8058" s="14" t="s">
        <v>15335</v>
      </c>
      <c r="E8058" s="9" t="s">
        <v>8</v>
      </c>
    </row>
    <row r="8059" spans="1:5" ht="15" customHeight="1" outlineLevel="2" x14ac:dyDescent="0.25">
      <c r="A8059" s="3" t="str">
        <f>HYPERLINK("http://mystore1.ru/price_items/search?utf8=%E2%9C%93&amp;oem=7606AGNBL","7606AGNBL")</f>
        <v>7606AGNBL</v>
      </c>
      <c r="B8059" s="1" t="s">
        <v>15336</v>
      </c>
      <c r="C8059" s="9" t="s">
        <v>1499</v>
      </c>
      <c r="D8059" s="14" t="s">
        <v>15337</v>
      </c>
      <c r="E8059" s="9" t="s">
        <v>8</v>
      </c>
    </row>
    <row r="8060" spans="1:5" ht="15" customHeight="1" outlineLevel="2" x14ac:dyDescent="0.25">
      <c r="A8060" s="3" t="str">
        <f>HYPERLINK("http://mystore1.ru/price_items/search?utf8=%E2%9C%93&amp;oem=7606AGNBLHV2P","7606AGNBLHV2P")</f>
        <v>7606AGNBLHV2P</v>
      </c>
      <c r="B8060" s="1" t="s">
        <v>15338</v>
      </c>
      <c r="C8060" s="9" t="s">
        <v>1499</v>
      </c>
      <c r="D8060" s="14" t="s">
        <v>15339</v>
      </c>
      <c r="E8060" s="9" t="s">
        <v>8</v>
      </c>
    </row>
    <row r="8061" spans="1:5" ht="15" customHeight="1" outlineLevel="2" x14ac:dyDescent="0.25">
      <c r="A8061" s="3" t="str">
        <f>HYPERLINK("http://mystore1.ru/price_items/search?utf8=%E2%9C%93&amp;oem=7606AGNBLV2P","7606AGNBLV2P")</f>
        <v>7606AGNBLV2P</v>
      </c>
      <c r="B8061" s="1" t="s">
        <v>15340</v>
      </c>
      <c r="C8061" s="9" t="s">
        <v>1499</v>
      </c>
      <c r="D8061" s="14" t="s">
        <v>15341</v>
      </c>
      <c r="E8061" s="9" t="s">
        <v>8</v>
      </c>
    </row>
    <row r="8062" spans="1:5" ht="15" customHeight="1" outlineLevel="2" x14ac:dyDescent="0.25">
      <c r="A8062" s="3" t="str">
        <f>HYPERLINK("http://mystore1.ru/price_items/search?utf8=%E2%9C%93&amp;oem=7606AGNGN","7606AGNGN")</f>
        <v>7606AGNGN</v>
      </c>
      <c r="B8062" s="1" t="s">
        <v>15342</v>
      </c>
      <c r="C8062" s="9" t="s">
        <v>926</v>
      </c>
      <c r="D8062" s="14" t="s">
        <v>15343</v>
      </c>
      <c r="E8062" s="9" t="s">
        <v>8</v>
      </c>
    </row>
    <row r="8063" spans="1:5" ht="15" customHeight="1" outlineLevel="2" x14ac:dyDescent="0.25">
      <c r="A8063" s="3" t="str">
        <f>HYPERLINK("http://mystore1.ru/price_items/search?utf8=%E2%9C%93&amp;oem=7606AGNGNV2P","7606AGNGNV2P")</f>
        <v>7606AGNGNV2P</v>
      </c>
      <c r="B8063" s="1" t="s">
        <v>15344</v>
      </c>
      <c r="C8063" s="9" t="s">
        <v>1499</v>
      </c>
      <c r="D8063" s="14" t="s">
        <v>15345</v>
      </c>
      <c r="E8063" s="9" t="s">
        <v>8</v>
      </c>
    </row>
    <row r="8064" spans="1:5" ht="15" customHeight="1" outlineLevel="2" x14ac:dyDescent="0.25">
      <c r="A8064" s="3" t="str">
        <f>HYPERLINK("http://mystore1.ru/price_items/search?utf8=%E2%9C%93&amp;oem=7606AGNHV1P","7606AGNHV1P")</f>
        <v>7606AGNHV1P</v>
      </c>
      <c r="B8064" s="1" t="s">
        <v>15346</v>
      </c>
      <c r="C8064" s="9" t="s">
        <v>956</v>
      </c>
      <c r="D8064" s="14" t="s">
        <v>15347</v>
      </c>
      <c r="E8064" s="9" t="s">
        <v>8</v>
      </c>
    </row>
    <row r="8065" spans="1:5" ht="15" customHeight="1" outlineLevel="2" x14ac:dyDescent="0.25">
      <c r="A8065" s="3" t="str">
        <f>HYPERLINK("http://mystore1.ru/price_items/search?utf8=%E2%9C%93&amp;oem=7606AGNHV2P","7606AGNHV2P")</f>
        <v>7606AGNHV2P</v>
      </c>
      <c r="B8065" s="1" t="s">
        <v>15348</v>
      </c>
      <c r="C8065" s="9" t="s">
        <v>1499</v>
      </c>
      <c r="D8065" s="14" t="s">
        <v>15349</v>
      </c>
      <c r="E8065" s="9" t="s">
        <v>8</v>
      </c>
    </row>
    <row r="8066" spans="1:5" ht="15" customHeight="1" outlineLevel="2" x14ac:dyDescent="0.25">
      <c r="A8066" s="3" t="str">
        <f>HYPERLINK("http://mystore1.ru/price_items/search?utf8=%E2%9C%93&amp;oem=7606AGNV2P","7606AGNV2P")</f>
        <v>7606AGNV2P</v>
      </c>
      <c r="B8066" s="1" t="s">
        <v>15350</v>
      </c>
      <c r="C8066" s="9" t="s">
        <v>1499</v>
      </c>
      <c r="D8066" s="14" t="s">
        <v>15351</v>
      </c>
      <c r="E8066" s="9" t="s">
        <v>8</v>
      </c>
    </row>
    <row r="8067" spans="1:5" ht="15" customHeight="1" outlineLevel="2" x14ac:dyDescent="0.25">
      <c r="A8067" s="3" t="str">
        <f>HYPERLINK("http://mystore1.ru/price_items/search?utf8=%E2%9C%93&amp;oem=7606AGSVW2P","7606AGSVW2P")</f>
        <v>7606AGSVW2P</v>
      </c>
      <c r="B8067" s="1" t="s">
        <v>15352</v>
      </c>
      <c r="C8067" s="9" t="s">
        <v>1590</v>
      </c>
      <c r="D8067" s="14" t="s">
        <v>15353</v>
      </c>
      <c r="E8067" s="9" t="s">
        <v>8</v>
      </c>
    </row>
    <row r="8068" spans="1:5" ht="15" customHeight="1" outlineLevel="2" x14ac:dyDescent="0.25">
      <c r="A8068" s="3" t="str">
        <f>HYPERLINK("http://mystore1.ru/price_items/search?utf8=%E2%9C%93&amp;oem=7606ASMVT","7606ASMVT")</f>
        <v>7606ASMVT</v>
      </c>
      <c r="B8068" s="1" t="s">
        <v>15354</v>
      </c>
      <c r="C8068" s="9" t="s">
        <v>25</v>
      </c>
      <c r="D8068" s="14" t="s">
        <v>15355</v>
      </c>
      <c r="E8068" s="9" t="s">
        <v>27</v>
      </c>
    </row>
    <row r="8069" spans="1:5" ht="15" customHeight="1" outlineLevel="2" x14ac:dyDescent="0.25">
      <c r="A8069" s="3" t="str">
        <f>HYPERLINK("http://mystore1.ru/price_items/search?utf8=%E2%9C%93&amp;oem=7606BGNV","7606BGNV")</f>
        <v>7606BGNV</v>
      </c>
      <c r="B8069" s="1" t="s">
        <v>15356</v>
      </c>
      <c r="C8069" s="9" t="s">
        <v>5046</v>
      </c>
      <c r="D8069" s="14" t="s">
        <v>15357</v>
      </c>
      <c r="E8069" s="9" t="s">
        <v>30</v>
      </c>
    </row>
    <row r="8070" spans="1:5" ht="15" customHeight="1" outlineLevel="2" x14ac:dyDescent="0.25">
      <c r="A8070" s="3" t="str">
        <f>HYPERLINK("http://mystore1.ru/price_items/search?utf8=%E2%9C%93&amp;oem=7606BGNVB","7606BGNVB")</f>
        <v>7606BGNVB</v>
      </c>
      <c r="B8070" s="1" t="s">
        <v>15358</v>
      </c>
      <c r="C8070" s="9" t="s">
        <v>5046</v>
      </c>
      <c r="D8070" s="14" t="s">
        <v>15359</v>
      </c>
      <c r="E8070" s="9" t="s">
        <v>30</v>
      </c>
    </row>
    <row r="8071" spans="1:5" ht="15" customHeight="1" outlineLevel="2" x14ac:dyDescent="0.25">
      <c r="A8071" s="3" t="str">
        <f>HYPERLINK("http://mystore1.ru/price_items/search?utf8=%E2%9C%93&amp;oem=7606BSMV","7606BSMV")</f>
        <v>7606BSMV</v>
      </c>
      <c r="B8071" s="1" t="s">
        <v>15360</v>
      </c>
      <c r="C8071" s="9" t="s">
        <v>25</v>
      </c>
      <c r="D8071" s="14" t="s">
        <v>15361</v>
      </c>
      <c r="E8071" s="9" t="s">
        <v>27</v>
      </c>
    </row>
    <row r="8072" spans="1:5" ht="15" customHeight="1" outlineLevel="2" x14ac:dyDescent="0.25">
      <c r="A8072" s="3" t="str">
        <f>HYPERLINK("http://mystore1.ru/price_items/search?utf8=%E2%9C%93&amp;oem=7606LGNV5FD","7606LGNV5FD")</f>
        <v>7606LGNV5FD</v>
      </c>
      <c r="B8072" s="1" t="s">
        <v>15362</v>
      </c>
      <c r="C8072" s="9" t="s">
        <v>5046</v>
      </c>
      <c r="D8072" s="14" t="s">
        <v>15363</v>
      </c>
      <c r="E8072" s="9" t="s">
        <v>11</v>
      </c>
    </row>
    <row r="8073" spans="1:5" ht="15" customHeight="1" outlineLevel="2" x14ac:dyDescent="0.25">
      <c r="A8073" s="3" t="str">
        <f>HYPERLINK("http://mystore1.ru/price_items/search?utf8=%E2%9C%93&amp;oem=7606LGNV5RD","7606LGNV5RD")</f>
        <v>7606LGNV5RD</v>
      </c>
      <c r="B8073" s="1" t="s">
        <v>15364</v>
      </c>
      <c r="C8073" s="9" t="s">
        <v>5046</v>
      </c>
      <c r="D8073" s="14" t="s">
        <v>15365</v>
      </c>
      <c r="E8073" s="9" t="s">
        <v>11</v>
      </c>
    </row>
    <row r="8074" spans="1:5" ht="15" customHeight="1" outlineLevel="2" x14ac:dyDescent="0.25">
      <c r="A8074" s="3" t="str">
        <f>HYPERLINK("http://mystore1.ru/price_items/search?utf8=%E2%9C%93&amp;oem=7606RGNV5FD","7606RGNV5FD")</f>
        <v>7606RGNV5FD</v>
      </c>
      <c r="B8074" s="1" t="s">
        <v>15366</v>
      </c>
      <c r="C8074" s="9" t="s">
        <v>5046</v>
      </c>
      <c r="D8074" s="14" t="s">
        <v>15367</v>
      </c>
      <c r="E8074" s="9" t="s">
        <v>11</v>
      </c>
    </row>
    <row r="8075" spans="1:5" ht="15" customHeight="1" outlineLevel="2" x14ac:dyDescent="0.25">
      <c r="A8075" s="3" t="str">
        <f>HYPERLINK("http://mystore1.ru/price_items/search?utf8=%E2%9C%93&amp;oem=7606RGNV5RD","7606RGNV5RD")</f>
        <v>7606RGNV5RD</v>
      </c>
      <c r="B8075" s="1" t="s">
        <v>15368</v>
      </c>
      <c r="C8075" s="9" t="s">
        <v>5046</v>
      </c>
      <c r="D8075" s="14" t="s">
        <v>15369</v>
      </c>
      <c r="E8075" s="9" t="s">
        <v>11</v>
      </c>
    </row>
    <row r="8076" spans="1:5" outlineLevel="1" x14ac:dyDescent="0.25">
      <c r="A8076" s="2"/>
      <c r="B8076" s="6" t="s">
        <v>15370</v>
      </c>
      <c r="C8076" s="8"/>
      <c r="D8076" s="8"/>
      <c r="E8076" s="8"/>
    </row>
    <row r="8077" spans="1:5" ht="15" customHeight="1" outlineLevel="2" x14ac:dyDescent="0.25">
      <c r="A8077" s="3" t="str">
        <f>HYPERLINK("http://mystore1.ru/price_items/search?utf8=%E2%9C%93&amp;oem=7612AGSBLVZ","7612AGSBLVZ")</f>
        <v>7612AGSBLVZ</v>
      </c>
      <c r="B8077" s="1" t="s">
        <v>15371</v>
      </c>
      <c r="C8077" s="9" t="s">
        <v>1880</v>
      </c>
      <c r="D8077" s="14" t="s">
        <v>15372</v>
      </c>
      <c r="E8077" s="9" t="s">
        <v>8</v>
      </c>
    </row>
    <row r="8078" spans="1:5" ht="15" customHeight="1" outlineLevel="2" x14ac:dyDescent="0.25">
      <c r="A8078" s="3" t="str">
        <f>HYPERLINK("http://mystore1.ru/price_items/search?utf8=%E2%9C%93&amp;oem=7612RGSV5FD","7612RGSV5FD")</f>
        <v>7612RGSV5FD</v>
      </c>
      <c r="B8078" s="1" t="s">
        <v>15373</v>
      </c>
      <c r="C8078" s="9" t="s">
        <v>1880</v>
      </c>
      <c r="D8078" s="14" t="s">
        <v>15374</v>
      </c>
      <c r="E8078" s="9" t="s">
        <v>11</v>
      </c>
    </row>
    <row r="8079" spans="1:5" ht="15" customHeight="1" outlineLevel="2" x14ac:dyDescent="0.25">
      <c r="A8079" s="3" t="str">
        <f>HYPERLINK("http://mystore1.ru/price_items/search?utf8=%E2%9C%93&amp;oem=7612AGSMVZ1B","7612AGSMVZ1B")</f>
        <v>7612AGSMVZ1B</v>
      </c>
      <c r="B8079" s="1" t="s">
        <v>15375</v>
      </c>
      <c r="C8079" s="9" t="s">
        <v>642</v>
      </c>
      <c r="D8079" s="14" t="s">
        <v>15376</v>
      </c>
      <c r="E8079" s="9" t="s">
        <v>8</v>
      </c>
    </row>
    <row r="8080" spans="1:5" ht="15" customHeight="1" outlineLevel="2" x14ac:dyDescent="0.25">
      <c r="A8080" s="3" t="str">
        <f>HYPERLINK("http://mystore1.ru/price_items/search?utf8=%E2%9C%93&amp;oem=7612AGSVZ","7612AGSVZ")</f>
        <v>7612AGSVZ</v>
      </c>
      <c r="B8080" s="1" t="s">
        <v>15377</v>
      </c>
      <c r="C8080" s="9" t="s">
        <v>642</v>
      </c>
      <c r="D8080" s="14" t="s">
        <v>15378</v>
      </c>
      <c r="E8080" s="9" t="s">
        <v>8</v>
      </c>
    </row>
    <row r="8081" spans="1:5" outlineLevel="1" x14ac:dyDescent="0.25">
      <c r="A8081" s="2"/>
      <c r="B8081" s="6" t="s">
        <v>15379</v>
      </c>
      <c r="C8081" s="8"/>
      <c r="D8081" s="8"/>
      <c r="E8081" s="8"/>
    </row>
    <row r="8082" spans="1:5" ht="15" customHeight="1" outlineLevel="2" x14ac:dyDescent="0.25">
      <c r="A8082" s="3" t="str">
        <f>HYPERLINK("http://mystore1.ru/price_items/search?utf8=%E2%9C%93&amp;oem=7607AGNZ","7607AGNZ")</f>
        <v>7607AGNZ</v>
      </c>
      <c r="B8082" s="1" t="s">
        <v>15380</v>
      </c>
      <c r="C8082" s="9" t="s">
        <v>1171</v>
      </c>
      <c r="D8082" s="14" t="s">
        <v>15381</v>
      </c>
      <c r="E8082" s="9" t="s">
        <v>8</v>
      </c>
    </row>
    <row r="8083" spans="1:5" ht="15" customHeight="1" outlineLevel="2" x14ac:dyDescent="0.25">
      <c r="A8083" s="3" t="str">
        <f>HYPERLINK("http://mystore1.ru/price_items/search?utf8=%E2%9C%93&amp;oem=7607BGNHZ","7607BGNHZ")</f>
        <v>7607BGNHZ</v>
      </c>
      <c r="B8083" s="1" t="s">
        <v>15382</v>
      </c>
      <c r="C8083" s="9" t="s">
        <v>1171</v>
      </c>
      <c r="D8083" s="14" t="s">
        <v>15383</v>
      </c>
      <c r="E8083" s="9" t="s">
        <v>30</v>
      </c>
    </row>
    <row r="8084" spans="1:5" ht="15" customHeight="1" outlineLevel="2" x14ac:dyDescent="0.25">
      <c r="A8084" s="3" t="str">
        <f>HYPERLINK("http://mystore1.ru/price_items/search?utf8=%E2%9C%93&amp;oem=7607LGNH3FD","7607LGNH3FD")</f>
        <v>7607LGNH3FD</v>
      </c>
      <c r="B8084" s="1" t="s">
        <v>15384</v>
      </c>
      <c r="C8084" s="9" t="s">
        <v>1171</v>
      </c>
      <c r="D8084" s="14" t="s">
        <v>15385</v>
      </c>
      <c r="E8084" s="9" t="s">
        <v>11</v>
      </c>
    </row>
    <row r="8085" spans="1:5" ht="15" customHeight="1" outlineLevel="2" x14ac:dyDescent="0.25">
      <c r="A8085" s="3" t="str">
        <f>HYPERLINK("http://mystore1.ru/price_items/search?utf8=%E2%9C%93&amp;oem=7607RGNH3FD","7607RGNH3FD")</f>
        <v>7607RGNH3FD</v>
      </c>
      <c r="B8085" s="1" t="s">
        <v>15386</v>
      </c>
      <c r="C8085" s="9" t="s">
        <v>1171</v>
      </c>
      <c r="D8085" s="14" t="s">
        <v>15387</v>
      </c>
      <c r="E8085" s="9" t="s">
        <v>11</v>
      </c>
    </row>
    <row r="8086" spans="1:5" outlineLevel="1" x14ac:dyDescent="0.25">
      <c r="A8086" s="2"/>
      <c r="B8086" s="6" t="s">
        <v>15388</v>
      </c>
      <c r="C8086" s="7"/>
      <c r="D8086" s="8"/>
      <c r="E8086" s="8"/>
    </row>
    <row r="8087" spans="1:5" ht="15" customHeight="1" outlineLevel="2" x14ac:dyDescent="0.25">
      <c r="A8087" s="3" t="str">
        <f>HYPERLINK("http://mystore1.ru/price_items/search?utf8=%E2%9C%93&amp;oem=7610AGSMVZ","7610AGSMVZ")</f>
        <v>7610AGSMVZ</v>
      </c>
      <c r="B8087" s="1" t="s">
        <v>15389</v>
      </c>
      <c r="C8087" s="9" t="s">
        <v>4782</v>
      </c>
      <c r="D8087" s="14" t="s">
        <v>15390</v>
      </c>
      <c r="E8087" s="9" t="s">
        <v>8</v>
      </c>
    </row>
    <row r="8088" spans="1:5" ht="15" customHeight="1" outlineLevel="2" x14ac:dyDescent="0.25">
      <c r="A8088" s="3" t="str">
        <f>HYPERLINK("http://mystore1.ru/price_items/search?utf8=%E2%9C%93&amp;oem=7610AGSVZ","7610AGSVZ")</f>
        <v>7610AGSVZ</v>
      </c>
      <c r="B8088" s="1" t="s">
        <v>15391</v>
      </c>
      <c r="C8088" s="9" t="s">
        <v>4782</v>
      </c>
      <c r="D8088" s="14" t="s">
        <v>15392</v>
      </c>
      <c r="E8088" s="9" t="s">
        <v>8</v>
      </c>
    </row>
    <row r="8089" spans="1:5" ht="15" customHeight="1" outlineLevel="2" x14ac:dyDescent="0.25">
      <c r="A8089" s="3" t="str">
        <f>HYPERLINK("http://mystore1.ru/price_items/search?utf8=%E2%9C%93&amp;oem=7610LGSH3FD","7610LGSH3FD")</f>
        <v>7610LGSH3FD</v>
      </c>
      <c r="B8089" s="1" t="s">
        <v>15393</v>
      </c>
      <c r="C8089" s="9" t="s">
        <v>4782</v>
      </c>
      <c r="D8089" s="14" t="s">
        <v>15394</v>
      </c>
      <c r="E8089" s="9" t="s">
        <v>11</v>
      </c>
    </row>
    <row r="8090" spans="1:5" ht="15" customHeight="1" outlineLevel="2" x14ac:dyDescent="0.25">
      <c r="A8090" s="3" t="str">
        <f>HYPERLINK("http://mystore1.ru/price_items/search?utf8=%E2%9C%93&amp;oem=7610LGSH5FD","7610LGSH5FD")</f>
        <v>7610LGSH5FD</v>
      </c>
      <c r="B8090" s="1" t="s">
        <v>15395</v>
      </c>
      <c r="C8090" s="9" t="s">
        <v>4782</v>
      </c>
      <c r="D8090" s="14" t="s">
        <v>15396</v>
      </c>
      <c r="E8090" s="9" t="s">
        <v>11</v>
      </c>
    </row>
    <row r="8091" spans="1:5" ht="15" customHeight="1" outlineLevel="2" x14ac:dyDescent="0.25">
      <c r="A8091" s="3" t="str">
        <f>HYPERLINK("http://mystore1.ru/price_items/search?utf8=%E2%9C%93&amp;oem=7610LGSH5RDW","7610LGSH5RDW")</f>
        <v>7610LGSH5RDW</v>
      </c>
      <c r="B8091" s="1" t="s">
        <v>15397</v>
      </c>
      <c r="C8091" s="9" t="s">
        <v>4782</v>
      </c>
      <c r="D8091" s="14" t="s">
        <v>15398</v>
      </c>
      <c r="E8091" s="9" t="s">
        <v>11</v>
      </c>
    </row>
    <row r="8092" spans="1:5" ht="15" customHeight="1" outlineLevel="2" x14ac:dyDescent="0.25">
      <c r="A8092" s="3" t="str">
        <f>HYPERLINK("http://mystore1.ru/price_items/search?utf8=%E2%9C%93&amp;oem=7610RGSH3FD","7610RGSH3FD")</f>
        <v>7610RGSH3FD</v>
      </c>
      <c r="B8092" s="1" t="s">
        <v>15399</v>
      </c>
      <c r="C8092" s="9" t="s">
        <v>4782</v>
      </c>
      <c r="D8092" s="14" t="s">
        <v>15400</v>
      </c>
      <c r="E8092" s="9" t="s">
        <v>11</v>
      </c>
    </row>
    <row r="8093" spans="1:5" ht="15" customHeight="1" outlineLevel="2" x14ac:dyDescent="0.25">
      <c r="A8093" s="3" t="str">
        <f>HYPERLINK("http://mystore1.ru/price_items/search?utf8=%E2%9C%93&amp;oem=7610RGSH5FD","7610RGSH5FD")</f>
        <v>7610RGSH5FD</v>
      </c>
      <c r="B8093" s="1" t="s">
        <v>15401</v>
      </c>
      <c r="C8093" s="9" t="s">
        <v>4782</v>
      </c>
      <c r="D8093" s="14" t="s">
        <v>15402</v>
      </c>
      <c r="E8093" s="9" t="s">
        <v>11</v>
      </c>
    </row>
    <row r="8094" spans="1:5" ht="15" customHeight="1" outlineLevel="2" x14ac:dyDescent="0.25">
      <c r="A8094" s="3" t="str">
        <f>HYPERLINK("http://mystore1.ru/price_items/search?utf8=%E2%9C%93&amp;oem=7610RGSH5RDW","7610RGSH5RDW")</f>
        <v>7610RGSH5RDW</v>
      </c>
      <c r="B8094" s="1" t="s">
        <v>15403</v>
      </c>
      <c r="C8094" s="9" t="s">
        <v>4782</v>
      </c>
      <c r="D8094" s="14" t="s">
        <v>15404</v>
      </c>
      <c r="E8094" s="9" t="s">
        <v>11</v>
      </c>
    </row>
    <row r="8095" spans="1:5" outlineLevel="1" x14ac:dyDescent="0.25">
      <c r="A8095" s="2"/>
      <c r="B8095" s="6" t="s">
        <v>15405</v>
      </c>
      <c r="C8095" s="8"/>
      <c r="D8095" s="8"/>
      <c r="E8095" s="8"/>
    </row>
    <row r="8096" spans="1:5" ht="15" customHeight="1" outlineLevel="2" x14ac:dyDescent="0.25">
      <c r="A8096" s="3" t="str">
        <f>HYPERLINK("http://mystore1.ru/price_items/search?utf8=%E2%9C%93&amp;oem=7601ACL","7601ACL")</f>
        <v>7601ACL</v>
      </c>
      <c r="B8096" s="1" t="s">
        <v>15406</v>
      </c>
      <c r="C8096" s="9" t="s">
        <v>9250</v>
      </c>
      <c r="D8096" s="14" t="s">
        <v>15407</v>
      </c>
      <c r="E8096" s="9" t="s">
        <v>8</v>
      </c>
    </row>
    <row r="8097" spans="1:5" ht="15" customHeight="1" outlineLevel="2" x14ac:dyDescent="0.25">
      <c r="A8097" s="3" t="str">
        <f>HYPERLINK("http://mystore1.ru/price_items/search?utf8=%E2%9C%93&amp;oem=7601AGN","7601AGN")</f>
        <v>7601AGN</v>
      </c>
      <c r="B8097" s="1" t="s">
        <v>15408</v>
      </c>
      <c r="C8097" s="9" t="s">
        <v>9250</v>
      </c>
      <c r="D8097" s="14" t="s">
        <v>15409</v>
      </c>
      <c r="E8097" s="9" t="s">
        <v>8</v>
      </c>
    </row>
    <row r="8098" spans="1:5" ht="15" customHeight="1" outlineLevel="2" x14ac:dyDescent="0.25">
      <c r="A8098" s="3" t="str">
        <f>HYPERLINK("http://mystore1.ru/price_items/search?utf8=%E2%9C%93&amp;oem=7601ASRH","7601ASRH")</f>
        <v>7601ASRH</v>
      </c>
      <c r="B8098" s="1" t="s">
        <v>15410</v>
      </c>
      <c r="C8098" s="9" t="s">
        <v>25</v>
      </c>
      <c r="D8098" s="14" t="s">
        <v>15411</v>
      </c>
      <c r="E8098" s="9" t="s">
        <v>27</v>
      </c>
    </row>
    <row r="8099" spans="1:5" ht="15" customHeight="1" outlineLevel="2" x14ac:dyDescent="0.25">
      <c r="A8099" s="3" t="str">
        <f>HYPERLINK("http://mystore1.ru/price_items/search?utf8=%E2%9C%93&amp;oem=7601BCLH","7601BCLH")</f>
        <v>7601BCLH</v>
      </c>
      <c r="B8099" s="1" t="s">
        <v>15412</v>
      </c>
      <c r="C8099" s="9" t="s">
        <v>9250</v>
      </c>
      <c r="D8099" s="14" t="s">
        <v>15413</v>
      </c>
      <c r="E8099" s="9" t="s">
        <v>30</v>
      </c>
    </row>
    <row r="8100" spans="1:5" ht="15" customHeight="1" outlineLevel="2" x14ac:dyDescent="0.25">
      <c r="A8100" s="3" t="str">
        <f>HYPERLINK("http://mystore1.ru/price_items/search?utf8=%E2%9C%93&amp;oem=7601LCLH3FD","7601LCLH3FD")</f>
        <v>7601LCLH3FD</v>
      </c>
      <c r="B8100" s="1" t="s">
        <v>15414</v>
      </c>
      <c r="C8100" s="9" t="s">
        <v>9250</v>
      </c>
      <c r="D8100" s="14" t="s">
        <v>15415</v>
      </c>
      <c r="E8100" s="9" t="s">
        <v>11</v>
      </c>
    </row>
    <row r="8101" spans="1:5" ht="15" customHeight="1" outlineLevel="2" x14ac:dyDescent="0.25">
      <c r="A8101" s="3" t="str">
        <f>HYPERLINK("http://mystore1.ru/price_items/search?utf8=%E2%9C%93&amp;oem=7601LCLH3RQ","7601LCLH3RQ")</f>
        <v>7601LCLH3RQ</v>
      </c>
      <c r="B8101" s="1" t="s">
        <v>15416</v>
      </c>
      <c r="C8101" s="9" t="s">
        <v>9250</v>
      </c>
      <c r="D8101" s="14" t="s">
        <v>15417</v>
      </c>
      <c r="E8101" s="9" t="s">
        <v>11</v>
      </c>
    </row>
    <row r="8102" spans="1:5" ht="15" customHeight="1" outlineLevel="2" x14ac:dyDescent="0.25">
      <c r="A8102" s="3" t="str">
        <f>HYPERLINK("http://mystore1.ru/price_items/search?utf8=%E2%9C%93&amp;oem=7601LCLH5FD","7601LCLH5FD")</f>
        <v>7601LCLH5FD</v>
      </c>
      <c r="B8102" s="1" t="s">
        <v>15418</v>
      </c>
      <c r="C8102" s="9" t="s">
        <v>9250</v>
      </c>
      <c r="D8102" s="14" t="s">
        <v>15419</v>
      </c>
      <c r="E8102" s="9" t="s">
        <v>11</v>
      </c>
    </row>
    <row r="8103" spans="1:5" ht="15" customHeight="1" outlineLevel="2" x14ac:dyDescent="0.25">
      <c r="A8103" s="3" t="str">
        <f>HYPERLINK("http://mystore1.ru/price_items/search?utf8=%E2%9C%93&amp;oem=7601LGNH3FD","7601LGNH3FD")</f>
        <v>7601LGNH3FD</v>
      </c>
      <c r="B8103" s="1" t="s">
        <v>15420</v>
      </c>
      <c r="C8103" s="9" t="s">
        <v>9250</v>
      </c>
      <c r="D8103" s="14" t="s">
        <v>15421</v>
      </c>
      <c r="E8103" s="9" t="s">
        <v>11</v>
      </c>
    </row>
    <row r="8104" spans="1:5" ht="15" customHeight="1" outlineLevel="2" x14ac:dyDescent="0.25">
      <c r="A8104" s="3" t="str">
        <f>HYPERLINK("http://mystore1.ru/price_items/search?utf8=%E2%9C%93&amp;oem=7601LGNH5FD","7601LGNH5FD")</f>
        <v>7601LGNH5FD</v>
      </c>
      <c r="B8104" s="1" t="s">
        <v>15422</v>
      </c>
      <c r="C8104" s="9" t="s">
        <v>9250</v>
      </c>
      <c r="D8104" s="14" t="s">
        <v>15423</v>
      </c>
      <c r="E8104" s="9" t="s">
        <v>11</v>
      </c>
    </row>
    <row r="8105" spans="1:5" ht="15" customHeight="1" outlineLevel="2" x14ac:dyDescent="0.25">
      <c r="A8105" s="3" t="str">
        <f>HYPERLINK("http://mystore1.ru/price_items/search?utf8=%E2%9C%93&amp;oem=7601RCLH3FD","7601RCLH3FD")</f>
        <v>7601RCLH3FD</v>
      </c>
      <c r="B8105" s="1" t="s">
        <v>15424</v>
      </c>
      <c r="C8105" s="9" t="s">
        <v>9250</v>
      </c>
      <c r="D8105" s="14" t="s">
        <v>15425</v>
      </c>
      <c r="E8105" s="9" t="s">
        <v>11</v>
      </c>
    </row>
    <row r="8106" spans="1:5" ht="15" customHeight="1" outlineLevel="2" x14ac:dyDescent="0.25">
      <c r="A8106" s="3" t="str">
        <f>HYPERLINK("http://mystore1.ru/price_items/search?utf8=%E2%9C%93&amp;oem=7601RCLH5RV","7601RCLH5RV")</f>
        <v>7601RCLH5RV</v>
      </c>
      <c r="B8106" s="1" t="s">
        <v>15426</v>
      </c>
      <c r="C8106" s="9" t="s">
        <v>9250</v>
      </c>
      <c r="D8106" s="14" t="s">
        <v>15427</v>
      </c>
      <c r="E8106" s="9" t="s">
        <v>11</v>
      </c>
    </row>
    <row r="8107" spans="1:5" ht="15" customHeight="1" outlineLevel="2" x14ac:dyDescent="0.25">
      <c r="A8107" s="3" t="str">
        <f>HYPERLINK("http://mystore1.ru/price_items/search?utf8=%E2%9C%93&amp;oem=7601RGNH3FD","7601RGNH3FD")</f>
        <v>7601RGNH3FD</v>
      </c>
      <c r="B8107" s="1" t="s">
        <v>15428</v>
      </c>
      <c r="C8107" s="9" t="s">
        <v>9250</v>
      </c>
      <c r="D8107" s="14" t="s">
        <v>15429</v>
      </c>
      <c r="E8107" s="9" t="s">
        <v>11</v>
      </c>
    </row>
    <row r="8108" spans="1:5" ht="15" customHeight="1" outlineLevel="2" x14ac:dyDescent="0.25">
      <c r="A8108" s="3" t="str">
        <f>HYPERLINK("http://mystore1.ru/price_items/search?utf8=%E2%9C%93&amp;oem=7601RGNH5FD","7601RGNH5FD")</f>
        <v>7601RGNH5FD</v>
      </c>
      <c r="B8108" s="1" t="s">
        <v>15430</v>
      </c>
      <c r="C8108" s="9" t="s">
        <v>9250</v>
      </c>
      <c r="D8108" s="14" t="s">
        <v>15431</v>
      </c>
      <c r="E8108" s="9" t="s">
        <v>11</v>
      </c>
    </row>
    <row r="8109" spans="1:5" outlineLevel="1" x14ac:dyDescent="0.25">
      <c r="A8109" s="2"/>
      <c r="B8109" s="6" t="s">
        <v>15432</v>
      </c>
      <c r="C8109" s="7"/>
      <c r="D8109" s="8"/>
      <c r="E8109" s="8"/>
    </row>
    <row r="8110" spans="1:5" ht="15" customHeight="1" outlineLevel="2" x14ac:dyDescent="0.25">
      <c r="A8110" s="3" t="str">
        <f>HYPERLINK("http://mystore1.ru/price_items/search?utf8=%E2%9C%93&amp;oem=7609AGNGNMZ","7609AGNGNMZ")</f>
        <v>7609AGNGNMZ</v>
      </c>
      <c r="B8110" s="1" t="s">
        <v>15433</v>
      </c>
      <c r="C8110" s="9" t="s">
        <v>7022</v>
      </c>
      <c r="D8110" s="14" t="s">
        <v>15434</v>
      </c>
      <c r="E8110" s="9" t="s">
        <v>8</v>
      </c>
    </row>
    <row r="8111" spans="1:5" ht="15" customHeight="1" outlineLevel="2" x14ac:dyDescent="0.25">
      <c r="A8111" s="3" t="str">
        <f>HYPERLINK("http://mystore1.ru/price_items/search?utf8=%E2%9C%93&amp;oem=7609AGNGNZ","7609AGNGNZ")</f>
        <v>7609AGNGNZ</v>
      </c>
      <c r="B8111" s="1" t="s">
        <v>15435</v>
      </c>
      <c r="C8111" s="9" t="s">
        <v>7022</v>
      </c>
      <c r="D8111" s="14" t="s">
        <v>15436</v>
      </c>
      <c r="E8111" s="9" t="s">
        <v>8</v>
      </c>
    </row>
    <row r="8112" spans="1:5" ht="15" customHeight="1" outlineLevel="2" x14ac:dyDescent="0.25">
      <c r="A8112" s="3" t="str">
        <f>HYPERLINK("http://mystore1.ru/price_items/search?utf8=%E2%9C%93&amp;oem=7609AGNGYZ","7609AGNGYZ")</f>
        <v>7609AGNGYZ</v>
      </c>
      <c r="B8112" s="1" t="s">
        <v>15437</v>
      </c>
      <c r="C8112" s="9" t="s">
        <v>7022</v>
      </c>
      <c r="D8112" s="14" t="s">
        <v>15438</v>
      </c>
      <c r="E8112" s="9" t="s">
        <v>8</v>
      </c>
    </row>
    <row r="8113" spans="1:5" ht="15" customHeight="1" outlineLevel="2" x14ac:dyDescent="0.25">
      <c r="A8113" s="3" t="str">
        <f>HYPERLINK("http://mystore1.ru/price_items/search?utf8=%E2%9C%93&amp;oem=7609AGNMZ","7609AGNMZ")</f>
        <v>7609AGNMZ</v>
      </c>
      <c r="B8113" s="1" t="s">
        <v>15439</v>
      </c>
      <c r="C8113" s="9" t="s">
        <v>7022</v>
      </c>
      <c r="D8113" s="14" t="s">
        <v>15440</v>
      </c>
      <c r="E8113" s="9" t="s">
        <v>8</v>
      </c>
    </row>
    <row r="8114" spans="1:5" ht="15" customHeight="1" outlineLevel="2" x14ac:dyDescent="0.25">
      <c r="A8114" s="3" t="str">
        <f>HYPERLINK("http://mystore1.ru/price_items/search?utf8=%E2%9C%93&amp;oem=7609AGNZ","7609AGNZ")</f>
        <v>7609AGNZ</v>
      </c>
      <c r="B8114" s="1" t="s">
        <v>15441</v>
      </c>
      <c r="C8114" s="9" t="s">
        <v>7022</v>
      </c>
      <c r="D8114" s="14" t="s">
        <v>15442</v>
      </c>
      <c r="E8114" s="9" t="s">
        <v>8</v>
      </c>
    </row>
    <row r="8115" spans="1:5" ht="15" customHeight="1" outlineLevel="2" x14ac:dyDescent="0.25">
      <c r="A8115" s="3" t="str">
        <f>HYPERLINK("http://mystore1.ru/price_items/search?utf8=%E2%9C%93&amp;oem=7609LGNS4FD","7609LGNS4FD")</f>
        <v>7609LGNS4FD</v>
      </c>
      <c r="B8115" s="1" t="s">
        <v>15443</v>
      </c>
      <c r="C8115" s="9" t="s">
        <v>7022</v>
      </c>
      <c r="D8115" s="14" t="s">
        <v>15444</v>
      </c>
      <c r="E8115" s="9" t="s">
        <v>11</v>
      </c>
    </row>
    <row r="8116" spans="1:5" ht="15" customHeight="1" outlineLevel="2" x14ac:dyDescent="0.25">
      <c r="A8116" s="3" t="str">
        <f>HYPERLINK("http://mystore1.ru/price_items/search?utf8=%E2%9C%93&amp;oem=7609LGNS4RD","7609LGNS4RD")</f>
        <v>7609LGNS4RD</v>
      </c>
      <c r="B8116" s="1" t="s">
        <v>15445</v>
      </c>
      <c r="C8116" s="9" t="s">
        <v>7022</v>
      </c>
      <c r="D8116" s="14" t="s">
        <v>15446</v>
      </c>
      <c r="E8116" s="9" t="s">
        <v>11</v>
      </c>
    </row>
    <row r="8117" spans="1:5" ht="15" customHeight="1" outlineLevel="2" x14ac:dyDescent="0.25">
      <c r="A8117" s="3" t="str">
        <f>HYPERLINK("http://mystore1.ru/price_items/search?utf8=%E2%9C%93&amp;oem=7609RGNS4FD","7609RGNS4FD")</f>
        <v>7609RGNS4FD</v>
      </c>
      <c r="B8117" s="1" t="s">
        <v>15447</v>
      </c>
      <c r="C8117" s="9" t="s">
        <v>7022</v>
      </c>
      <c r="D8117" s="14" t="s">
        <v>15448</v>
      </c>
      <c r="E8117" s="9" t="s">
        <v>11</v>
      </c>
    </row>
    <row r="8118" spans="1:5" ht="15" customHeight="1" outlineLevel="2" x14ac:dyDescent="0.25">
      <c r="A8118" s="3" t="str">
        <f>HYPERLINK("http://mystore1.ru/price_items/search?utf8=%E2%9C%93&amp;oem=7609RGNS4RD","7609RGNS4RD")</f>
        <v>7609RGNS4RD</v>
      </c>
      <c r="B8118" s="1" t="s">
        <v>15449</v>
      </c>
      <c r="C8118" s="9" t="s">
        <v>7022</v>
      </c>
      <c r="D8118" s="14" t="s">
        <v>15450</v>
      </c>
      <c r="E8118" s="9" t="s">
        <v>11</v>
      </c>
    </row>
    <row r="8119" spans="1:5" outlineLevel="1" x14ac:dyDescent="0.25">
      <c r="A8119" s="2"/>
      <c r="B8119" s="6" t="s">
        <v>15451</v>
      </c>
      <c r="C8119" s="8"/>
      <c r="D8119" s="8"/>
      <c r="E8119" s="8"/>
    </row>
    <row r="8120" spans="1:5" ht="15" customHeight="1" outlineLevel="2" x14ac:dyDescent="0.25">
      <c r="A8120" s="3" t="str">
        <f>HYPERLINK("http://mystore1.ru/price_items/search?utf8=%E2%9C%93&amp;oem=7604ACLW","7604ACLW")</f>
        <v>7604ACLW</v>
      </c>
      <c r="B8120" s="1" t="s">
        <v>15452</v>
      </c>
      <c r="C8120" s="9" t="s">
        <v>2015</v>
      </c>
      <c r="D8120" s="14" t="s">
        <v>15453</v>
      </c>
      <c r="E8120" s="9" t="s">
        <v>8</v>
      </c>
    </row>
    <row r="8121" spans="1:5" ht="15" customHeight="1" outlineLevel="2" x14ac:dyDescent="0.25">
      <c r="A8121" s="3" t="str">
        <f>HYPERLINK("http://mystore1.ru/price_items/search?utf8=%E2%9C%93&amp;oem=7604AGNGNW","7604AGNGNW")</f>
        <v>7604AGNGNW</v>
      </c>
      <c r="B8121" s="1" t="s">
        <v>15454</v>
      </c>
      <c r="C8121" s="9" t="s">
        <v>2015</v>
      </c>
      <c r="D8121" s="14" t="s">
        <v>15455</v>
      </c>
      <c r="E8121" s="9" t="s">
        <v>8</v>
      </c>
    </row>
    <row r="8122" spans="1:5" ht="15" customHeight="1" outlineLevel="2" x14ac:dyDescent="0.25">
      <c r="A8122" s="3" t="str">
        <f>HYPERLINK("http://mystore1.ru/price_items/search?utf8=%E2%9C%93&amp;oem=7604AGNGNW1J","7604AGNGNW1J")</f>
        <v>7604AGNGNW1J</v>
      </c>
      <c r="B8122" s="1" t="s">
        <v>15456</v>
      </c>
      <c r="C8122" s="9" t="s">
        <v>2015</v>
      </c>
      <c r="D8122" s="14" t="s">
        <v>15457</v>
      </c>
      <c r="E8122" s="9" t="s">
        <v>8</v>
      </c>
    </row>
    <row r="8123" spans="1:5" ht="15" customHeight="1" outlineLevel="2" x14ac:dyDescent="0.25">
      <c r="A8123" s="3" t="str">
        <f>HYPERLINK("http://mystore1.ru/price_items/search?utf8=%E2%9C%93&amp;oem=7604AGNW","7604AGNW")</f>
        <v>7604AGNW</v>
      </c>
      <c r="B8123" s="1" t="s">
        <v>15458</v>
      </c>
      <c r="C8123" s="9" t="s">
        <v>2015</v>
      </c>
      <c r="D8123" s="14" t="s">
        <v>15459</v>
      </c>
      <c r="E8123" s="9" t="s">
        <v>8</v>
      </c>
    </row>
    <row r="8124" spans="1:5" ht="15" customHeight="1" outlineLevel="2" x14ac:dyDescent="0.25">
      <c r="A8124" s="3" t="str">
        <f>HYPERLINK("http://mystore1.ru/price_items/search?utf8=%E2%9C%93&amp;oem=7604AGNW1D","7604AGNW1D")</f>
        <v>7604AGNW1D</v>
      </c>
      <c r="B8124" s="1" t="s">
        <v>15460</v>
      </c>
      <c r="C8124" s="9" t="s">
        <v>2015</v>
      </c>
      <c r="D8124" s="14" t="s">
        <v>15461</v>
      </c>
      <c r="E8124" s="9" t="s">
        <v>8</v>
      </c>
    </row>
    <row r="8125" spans="1:5" ht="15" customHeight="1" outlineLevel="2" x14ac:dyDescent="0.25">
      <c r="A8125" s="3" t="str">
        <f>HYPERLINK("http://mystore1.ru/price_items/search?utf8=%E2%9C%93&amp;oem=7604AKCH","7604AKCH")</f>
        <v>7604AKCH</v>
      </c>
      <c r="B8125" s="1" t="s">
        <v>15462</v>
      </c>
      <c r="C8125" s="9" t="s">
        <v>25</v>
      </c>
      <c r="D8125" s="14" t="s">
        <v>15463</v>
      </c>
      <c r="E8125" s="9" t="s">
        <v>27</v>
      </c>
    </row>
    <row r="8126" spans="1:5" ht="15" customHeight="1" outlineLevel="2" x14ac:dyDescent="0.25">
      <c r="A8126" s="3" t="str">
        <f>HYPERLINK("http://mystore1.ru/price_items/search?utf8=%E2%9C%93&amp;oem=7604ASMHT","7604ASMHT")</f>
        <v>7604ASMHT</v>
      </c>
      <c r="B8126" s="1" t="s">
        <v>15464</v>
      </c>
      <c r="C8126" s="9" t="s">
        <v>25</v>
      </c>
      <c r="D8126" s="14" t="s">
        <v>15465</v>
      </c>
      <c r="E8126" s="9" t="s">
        <v>27</v>
      </c>
    </row>
    <row r="8127" spans="1:5" ht="15" customHeight="1" outlineLevel="2" x14ac:dyDescent="0.25">
      <c r="A8127" s="3" t="str">
        <f>HYPERLINK("http://mystore1.ru/price_items/search?utf8=%E2%9C%93&amp;oem=7604BGNEW","7604BGNEW")</f>
        <v>7604BGNEW</v>
      </c>
      <c r="B8127" s="1" t="s">
        <v>15466</v>
      </c>
      <c r="C8127" s="9" t="s">
        <v>2015</v>
      </c>
      <c r="D8127" s="14" t="s">
        <v>15467</v>
      </c>
      <c r="E8127" s="9" t="s">
        <v>30</v>
      </c>
    </row>
    <row r="8128" spans="1:5" ht="15" customHeight="1" outlineLevel="2" x14ac:dyDescent="0.25">
      <c r="A8128" s="3" t="str">
        <f>HYPERLINK("http://mystore1.ru/price_items/search?utf8=%E2%9C%93&amp;oem=7604BGNHBZ","7604BGNHBZ")</f>
        <v>7604BGNHBZ</v>
      </c>
      <c r="B8128" s="1" t="s">
        <v>15468</v>
      </c>
      <c r="C8128" s="9" t="s">
        <v>2015</v>
      </c>
      <c r="D8128" s="14" t="s">
        <v>15469</v>
      </c>
      <c r="E8128" s="9" t="s">
        <v>30</v>
      </c>
    </row>
    <row r="8129" spans="1:5" ht="15" customHeight="1" outlineLevel="2" x14ac:dyDescent="0.25">
      <c r="A8129" s="3" t="str">
        <f>HYPERLINK("http://mystore1.ru/price_items/search?utf8=%E2%9C%93&amp;oem=7604BGNHBZ1H","7604BGNHBZ1H")</f>
        <v>7604BGNHBZ1H</v>
      </c>
      <c r="B8129" s="1" t="s">
        <v>15470</v>
      </c>
      <c r="C8129" s="9" t="s">
        <v>2015</v>
      </c>
      <c r="D8129" s="14" t="s">
        <v>15471</v>
      </c>
      <c r="E8129" s="9" t="s">
        <v>30</v>
      </c>
    </row>
    <row r="8130" spans="1:5" ht="15" customHeight="1" outlineLevel="2" x14ac:dyDescent="0.25">
      <c r="A8130" s="3" t="str">
        <f>HYPERLINK("http://mystore1.ru/price_items/search?utf8=%E2%9C%93&amp;oem=7604BGNHZ1H","7604BGNHZ1H")</f>
        <v>7604BGNHZ1H</v>
      </c>
      <c r="B8130" s="1" t="s">
        <v>15472</v>
      </c>
      <c r="C8130" s="9" t="s">
        <v>2015</v>
      </c>
      <c r="D8130" s="14" t="s">
        <v>15473</v>
      </c>
      <c r="E8130" s="9" t="s">
        <v>30</v>
      </c>
    </row>
    <row r="8131" spans="1:5" ht="15" customHeight="1" outlineLevel="2" x14ac:dyDescent="0.25">
      <c r="A8131" s="3" t="str">
        <f>HYPERLINK("http://mystore1.ru/price_items/search?utf8=%E2%9C%93&amp;oem=7604BGNSZ","7604BGNSZ")</f>
        <v>7604BGNSZ</v>
      </c>
      <c r="B8131" s="1" t="s">
        <v>15474</v>
      </c>
      <c r="C8131" s="9" t="s">
        <v>2015</v>
      </c>
      <c r="D8131" s="14" t="s">
        <v>15475</v>
      </c>
      <c r="E8131" s="9" t="s">
        <v>30</v>
      </c>
    </row>
    <row r="8132" spans="1:5" ht="15" customHeight="1" outlineLevel="2" x14ac:dyDescent="0.25">
      <c r="A8132" s="3" t="str">
        <f>HYPERLINK("http://mystore1.ru/price_items/search?utf8=%E2%9C%93&amp;oem=7604BGNVL","7604BGNVL")</f>
        <v>7604BGNVL</v>
      </c>
      <c r="B8132" s="1" t="s">
        <v>15476</v>
      </c>
      <c r="C8132" s="9" t="s">
        <v>2015</v>
      </c>
      <c r="D8132" s="14" t="s">
        <v>15477</v>
      </c>
      <c r="E8132" s="9" t="s">
        <v>30</v>
      </c>
    </row>
    <row r="8133" spans="1:5" ht="15" customHeight="1" outlineLevel="2" x14ac:dyDescent="0.25">
      <c r="A8133" s="3" t="str">
        <f>HYPERLINK("http://mystore1.ru/price_items/search?utf8=%E2%9C%93&amp;oem=7604LGNH3FD","7604LGNH3FD")</f>
        <v>7604LGNH3FD</v>
      </c>
      <c r="B8133" s="1" t="s">
        <v>15478</v>
      </c>
      <c r="C8133" s="9" t="s">
        <v>2015</v>
      </c>
      <c r="D8133" s="14" t="s">
        <v>15479</v>
      </c>
      <c r="E8133" s="9" t="s">
        <v>11</v>
      </c>
    </row>
    <row r="8134" spans="1:5" ht="15" customHeight="1" outlineLevel="2" x14ac:dyDescent="0.25">
      <c r="A8134" s="3" t="str">
        <f>HYPERLINK("http://mystore1.ru/price_items/search?utf8=%E2%9C%93&amp;oem=7604LGNH5FD","7604LGNH5FD")</f>
        <v>7604LGNH5FD</v>
      </c>
      <c r="B8134" s="1" t="s">
        <v>15480</v>
      </c>
      <c r="C8134" s="9" t="s">
        <v>2015</v>
      </c>
      <c r="D8134" s="14" t="s">
        <v>15479</v>
      </c>
      <c r="E8134" s="9" t="s">
        <v>11</v>
      </c>
    </row>
    <row r="8135" spans="1:5" ht="15" customHeight="1" outlineLevel="2" x14ac:dyDescent="0.25">
      <c r="A8135" s="3" t="str">
        <f>HYPERLINK("http://mystore1.ru/price_items/search?utf8=%E2%9C%93&amp;oem=7604LGNH5RD","7604LGNH5RD")</f>
        <v>7604LGNH5RD</v>
      </c>
      <c r="B8135" s="1" t="s">
        <v>15481</v>
      </c>
      <c r="C8135" s="9" t="s">
        <v>2015</v>
      </c>
      <c r="D8135" s="14" t="s">
        <v>15482</v>
      </c>
      <c r="E8135" s="9" t="s">
        <v>11</v>
      </c>
    </row>
    <row r="8136" spans="1:5" ht="15" customHeight="1" outlineLevel="2" x14ac:dyDescent="0.25">
      <c r="A8136" s="3" t="str">
        <f>HYPERLINK("http://mystore1.ru/price_items/search?utf8=%E2%9C%93&amp;oem=7604LGNS4FD","7604LGNS4FD")</f>
        <v>7604LGNS4FD</v>
      </c>
      <c r="B8136" s="1" t="s">
        <v>15483</v>
      </c>
      <c r="C8136" s="9" t="s">
        <v>2015</v>
      </c>
      <c r="D8136" s="14" t="s">
        <v>15484</v>
      </c>
      <c r="E8136" s="9" t="s">
        <v>11</v>
      </c>
    </row>
    <row r="8137" spans="1:5" ht="15" customHeight="1" outlineLevel="2" x14ac:dyDescent="0.25">
      <c r="A8137" s="3" t="str">
        <f>HYPERLINK("http://mystore1.ru/price_items/search?utf8=%E2%9C%93&amp;oem=7604RCLS4FD","7604RCLS4FD")</f>
        <v>7604RCLS4FD</v>
      </c>
      <c r="B8137" s="1" t="s">
        <v>15485</v>
      </c>
      <c r="C8137" s="9" t="s">
        <v>2015</v>
      </c>
      <c r="D8137" s="14" t="s">
        <v>15486</v>
      </c>
      <c r="E8137" s="9" t="s">
        <v>11</v>
      </c>
    </row>
    <row r="8138" spans="1:5" ht="15" customHeight="1" outlineLevel="2" x14ac:dyDescent="0.25">
      <c r="A8138" s="3" t="str">
        <f>HYPERLINK("http://mystore1.ru/price_items/search?utf8=%E2%9C%93&amp;oem=7604RGNH3FD","7604RGNH3FD")</f>
        <v>7604RGNH3FD</v>
      </c>
      <c r="B8138" s="1" t="s">
        <v>15487</v>
      </c>
      <c r="C8138" s="9" t="s">
        <v>2015</v>
      </c>
      <c r="D8138" s="14" t="s">
        <v>15488</v>
      </c>
      <c r="E8138" s="9" t="s">
        <v>11</v>
      </c>
    </row>
    <row r="8139" spans="1:5" ht="15" customHeight="1" outlineLevel="2" x14ac:dyDescent="0.25">
      <c r="A8139" s="3" t="str">
        <f>HYPERLINK("http://mystore1.ru/price_items/search?utf8=%E2%9C%93&amp;oem=7604RGNH5FD","7604RGNH5FD")</f>
        <v>7604RGNH5FD</v>
      </c>
      <c r="B8139" s="1" t="s">
        <v>15489</v>
      </c>
      <c r="C8139" s="9" t="s">
        <v>2015</v>
      </c>
      <c r="D8139" s="14" t="s">
        <v>15488</v>
      </c>
      <c r="E8139" s="9" t="s">
        <v>11</v>
      </c>
    </row>
    <row r="8140" spans="1:5" ht="15" customHeight="1" outlineLevel="2" x14ac:dyDescent="0.25">
      <c r="A8140" s="3" t="str">
        <f>HYPERLINK("http://mystore1.ru/price_items/search?utf8=%E2%9C%93&amp;oem=7604RGNH5RD","7604RGNH5RD")</f>
        <v>7604RGNH5RD</v>
      </c>
      <c r="B8140" s="1" t="s">
        <v>15490</v>
      </c>
      <c r="C8140" s="9" t="s">
        <v>2015</v>
      </c>
      <c r="D8140" s="14" t="s">
        <v>15491</v>
      </c>
      <c r="E8140" s="9" t="s">
        <v>11</v>
      </c>
    </row>
    <row r="8141" spans="1:5" ht="15" customHeight="1" outlineLevel="2" x14ac:dyDescent="0.25">
      <c r="A8141" s="3" t="str">
        <f>HYPERLINK("http://mystore1.ru/price_items/search?utf8=%E2%9C%93&amp;oem=7604RGNS4FD","7604RGNS4FD")</f>
        <v>7604RGNS4FD</v>
      </c>
      <c r="B8141" s="1" t="s">
        <v>15492</v>
      </c>
      <c r="C8141" s="9" t="s">
        <v>2015</v>
      </c>
      <c r="D8141" s="14" t="s">
        <v>15493</v>
      </c>
      <c r="E8141" s="9" t="s">
        <v>11</v>
      </c>
    </row>
    <row r="8142" spans="1:5" outlineLevel="1" x14ac:dyDescent="0.25">
      <c r="A8142" s="2"/>
      <c r="B8142" s="6" t="s">
        <v>15494</v>
      </c>
      <c r="C8142" s="8"/>
      <c r="D8142" s="8"/>
      <c r="E8142" s="8"/>
    </row>
    <row r="8143" spans="1:5" ht="15" customHeight="1" outlineLevel="2" x14ac:dyDescent="0.25">
      <c r="A8143" s="3" t="str">
        <f>HYPERLINK("http://mystore1.ru/price_items/search?utf8=%E2%9C%93&amp;oem=7600ACL","7600ACL")</f>
        <v>7600ACL</v>
      </c>
      <c r="B8143" s="1" t="s">
        <v>15495</v>
      </c>
      <c r="C8143" s="9" t="s">
        <v>3331</v>
      </c>
      <c r="D8143" s="14" t="s">
        <v>15496</v>
      </c>
      <c r="E8143" s="9" t="s">
        <v>8</v>
      </c>
    </row>
    <row r="8144" spans="1:5" ht="15" customHeight="1" outlineLevel="2" x14ac:dyDescent="0.25">
      <c r="A8144" s="3" t="str">
        <f>HYPERLINK("http://mystore1.ru/price_items/search?utf8=%E2%9C%93&amp;oem=7600AGN","7600AGN")</f>
        <v>7600AGN</v>
      </c>
      <c r="B8144" s="1" t="s">
        <v>15497</v>
      </c>
      <c r="C8144" s="9" t="s">
        <v>3331</v>
      </c>
      <c r="D8144" s="14" t="s">
        <v>15498</v>
      </c>
      <c r="E8144" s="9" t="s">
        <v>8</v>
      </c>
    </row>
    <row r="8145" spans="1:5" outlineLevel="1" x14ac:dyDescent="0.25">
      <c r="A8145" s="2"/>
      <c r="B8145" s="6" t="s">
        <v>15499</v>
      </c>
      <c r="C8145" s="8"/>
      <c r="D8145" s="8"/>
      <c r="E8145" s="8"/>
    </row>
    <row r="8146" spans="1:5" ht="15" customHeight="1" outlineLevel="2" x14ac:dyDescent="0.25">
      <c r="A8146" s="3" t="str">
        <f>HYPERLINK("http://mystore1.ru/price_items/search?utf8=%E2%9C%93&amp;oem=7603ACLW","7603ACLW")</f>
        <v>7603ACLW</v>
      </c>
      <c r="B8146" s="1" t="s">
        <v>15500</v>
      </c>
      <c r="C8146" s="9" t="s">
        <v>2171</v>
      </c>
      <c r="D8146" s="14" t="s">
        <v>15501</v>
      </c>
      <c r="E8146" s="9" t="s">
        <v>8</v>
      </c>
    </row>
    <row r="8147" spans="1:5" ht="15" customHeight="1" outlineLevel="2" x14ac:dyDescent="0.25">
      <c r="A8147" s="3" t="str">
        <f>HYPERLINK("http://mystore1.ru/price_items/search?utf8=%E2%9C%93&amp;oem=7603AGNGNW","7603AGNGNW")</f>
        <v>7603AGNGNW</v>
      </c>
      <c r="B8147" s="1" t="s">
        <v>15502</v>
      </c>
      <c r="C8147" s="9" t="s">
        <v>2171</v>
      </c>
      <c r="D8147" s="14" t="s">
        <v>15503</v>
      </c>
      <c r="E8147" s="9" t="s">
        <v>8</v>
      </c>
    </row>
    <row r="8148" spans="1:5" ht="15" customHeight="1" outlineLevel="2" x14ac:dyDescent="0.25">
      <c r="A8148" s="3" t="str">
        <f>HYPERLINK("http://mystore1.ru/price_items/search?utf8=%E2%9C%93&amp;oem=7603AGNGNW1C","7603AGNGNW1C")</f>
        <v>7603AGNGNW1C</v>
      </c>
      <c r="B8148" s="1" t="s">
        <v>15504</v>
      </c>
      <c r="C8148" s="9" t="s">
        <v>2171</v>
      </c>
      <c r="D8148" s="14" t="s">
        <v>15505</v>
      </c>
      <c r="E8148" s="9" t="s">
        <v>8</v>
      </c>
    </row>
    <row r="8149" spans="1:5" ht="15" customHeight="1" outlineLevel="2" x14ac:dyDescent="0.25">
      <c r="A8149" s="3" t="str">
        <f>HYPERLINK("http://mystore1.ru/price_items/search?utf8=%E2%9C%93&amp;oem=7603AGNW","7603AGNW")</f>
        <v>7603AGNW</v>
      </c>
      <c r="B8149" s="1" t="s">
        <v>15506</v>
      </c>
      <c r="C8149" s="9" t="s">
        <v>2171</v>
      </c>
      <c r="D8149" s="14" t="s">
        <v>15507</v>
      </c>
      <c r="E8149" s="9" t="s">
        <v>8</v>
      </c>
    </row>
    <row r="8150" spans="1:5" ht="15" customHeight="1" outlineLevel="2" x14ac:dyDescent="0.25">
      <c r="A8150" s="3" t="str">
        <f>HYPERLINK("http://mystore1.ru/price_items/search?utf8=%E2%9C%93&amp;oem=7603AGNW1C","7603AGNW1C")</f>
        <v>7603AGNW1C</v>
      </c>
      <c r="B8150" s="1" t="s">
        <v>15508</v>
      </c>
      <c r="C8150" s="9" t="s">
        <v>2171</v>
      </c>
      <c r="D8150" s="14" t="s">
        <v>15509</v>
      </c>
      <c r="E8150" s="9" t="s">
        <v>8</v>
      </c>
    </row>
    <row r="8151" spans="1:5" ht="15" customHeight="1" outlineLevel="2" x14ac:dyDescent="0.25">
      <c r="A8151" s="3" t="str">
        <f>HYPERLINK("http://mystore1.ru/price_items/search?utf8=%E2%9C%93&amp;oem=7603AKCH","7603AKCH")</f>
        <v>7603AKCH</v>
      </c>
      <c r="B8151" s="1" t="s">
        <v>15510</v>
      </c>
      <c r="C8151" s="9" t="s">
        <v>25</v>
      </c>
      <c r="D8151" s="14" t="s">
        <v>15511</v>
      </c>
      <c r="E8151" s="9" t="s">
        <v>27</v>
      </c>
    </row>
    <row r="8152" spans="1:5" ht="15" customHeight="1" outlineLevel="2" x14ac:dyDescent="0.25">
      <c r="A8152" s="3" t="str">
        <f>HYPERLINK("http://mystore1.ru/price_items/search?utf8=%E2%9C%93&amp;oem=7603ASMHT","7603ASMHT")</f>
        <v>7603ASMHT</v>
      </c>
      <c r="B8152" s="1" t="s">
        <v>15512</v>
      </c>
      <c r="C8152" s="9" t="s">
        <v>25</v>
      </c>
      <c r="D8152" s="14" t="s">
        <v>15513</v>
      </c>
      <c r="E8152" s="9" t="s">
        <v>27</v>
      </c>
    </row>
    <row r="8153" spans="1:5" ht="15" customHeight="1" outlineLevel="2" x14ac:dyDescent="0.25">
      <c r="A8153" s="3" t="str">
        <f>HYPERLINK("http://mystore1.ru/price_items/search?utf8=%E2%9C%93&amp;oem=7603BGNHZ","7603BGNHZ")</f>
        <v>7603BGNHZ</v>
      </c>
      <c r="B8153" s="1" t="s">
        <v>15514</v>
      </c>
      <c r="C8153" s="9" t="s">
        <v>2171</v>
      </c>
      <c r="D8153" s="14" t="s">
        <v>15515</v>
      </c>
      <c r="E8153" s="9" t="s">
        <v>30</v>
      </c>
    </row>
    <row r="8154" spans="1:5" ht="15" customHeight="1" outlineLevel="2" x14ac:dyDescent="0.25">
      <c r="A8154" s="3" t="str">
        <f>HYPERLINK("http://mystore1.ru/price_items/search?utf8=%E2%9C%93&amp;oem=7603LGNH5FD","7603LGNH5FD")</f>
        <v>7603LGNH5FD</v>
      </c>
      <c r="B8154" s="1" t="s">
        <v>15516</v>
      </c>
      <c r="C8154" s="9" t="s">
        <v>2171</v>
      </c>
      <c r="D8154" s="14" t="s">
        <v>15517</v>
      </c>
      <c r="E8154" s="9" t="s">
        <v>11</v>
      </c>
    </row>
    <row r="8155" spans="1:5" ht="15" customHeight="1" outlineLevel="2" x14ac:dyDescent="0.25">
      <c r="A8155" s="3" t="str">
        <f>HYPERLINK("http://mystore1.ru/price_items/search?utf8=%E2%9C%93&amp;oem=7603LGNH5RV","7603LGNH5RV")</f>
        <v>7603LGNH5RV</v>
      </c>
      <c r="B8155" s="1" t="s">
        <v>15518</v>
      </c>
      <c r="C8155" s="9" t="s">
        <v>2171</v>
      </c>
      <c r="D8155" s="14" t="s">
        <v>15519</v>
      </c>
      <c r="E8155" s="9" t="s">
        <v>11</v>
      </c>
    </row>
    <row r="8156" spans="1:5" ht="15" customHeight="1" outlineLevel="2" x14ac:dyDescent="0.25">
      <c r="A8156" s="3" t="str">
        <f>HYPERLINK("http://mystore1.ru/price_items/search?utf8=%E2%9C%93&amp;oem=7603RGNH5FD","7603RGNH5FD")</f>
        <v>7603RGNH5FD</v>
      </c>
      <c r="B8156" s="1" t="s">
        <v>15520</v>
      </c>
      <c r="C8156" s="9" t="s">
        <v>2171</v>
      </c>
      <c r="D8156" s="14" t="s">
        <v>15521</v>
      </c>
      <c r="E8156" s="9" t="s">
        <v>11</v>
      </c>
    </row>
    <row r="8157" spans="1:5" ht="15" customHeight="1" outlineLevel="2" x14ac:dyDescent="0.25">
      <c r="A8157" s="3" t="str">
        <f>HYPERLINK("http://mystore1.ru/price_items/search?utf8=%E2%9C%93&amp;oem=7603RGNH5RV","7603RGNH5RV")</f>
        <v>7603RGNH5RV</v>
      </c>
      <c r="B8157" s="1" t="s">
        <v>15522</v>
      </c>
      <c r="C8157" s="9" t="s">
        <v>2171</v>
      </c>
      <c r="D8157" s="14" t="s">
        <v>15523</v>
      </c>
      <c r="E8157" s="9" t="s">
        <v>11</v>
      </c>
    </row>
    <row r="8158" spans="1:5" outlineLevel="1" x14ac:dyDescent="0.25">
      <c r="A8158" s="2"/>
      <c r="B8158" s="6" t="s">
        <v>15524</v>
      </c>
      <c r="C8158" s="8"/>
      <c r="D8158" s="8"/>
      <c r="E8158" s="8"/>
    </row>
    <row r="8159" spans="1:5" outlineLevel="2" x14ac:dyDescent="0.25">
      <c r="A8159" s="3" t="str">
        <f>HYPERLINK("http://mystore1.ru/price_items/search?utf8=%E2%9C%93&amp;oem=7608AGNMVZ","7608AGNMVZ")</f>
        <v>7608AGNMVZ</v>
      </c>
      <c r="B8159" s="1" t="s">
        <v>15525</v>
      </c>
      <c r="C8159" s="9" t="s">
        <v>727</v>
      </c>
      <c r="D8159" s="14" t="s">
        <v>15526</v>
      </c>
      <c r="E8159" s="9" t="s">
        <v>8</v>
      </c>
    </row>
    <row r="8160" spans="1:5" outlineLevel="2" x14ac:dyDescent="0.25">
      <c r="A8160" s="3" t="str">
        <f>HYPERLINK("http://mystore1.ru/price_items/search?utf8=%E2%9C%93&amp;oem=7608AGNVZ","7608AGNVZ")</f>
        <v>7608AGNVZ</v>
      </c>
      <c r="B8160" s="1" t="s">
        <v>15527</v>
      </c>
      <c r="C8160" s="9" t="s">
        <v>727</v>
      </c>
      <c r="D8160" s="14" t="s">
        <v>15528</v>
      </c>
      <c r="E8160" s="9" t="s">
        <v>8</v>
      </c>
    </row>
    <row r="8161" spans="1:5" outlineLevel="2" x14ac:dyDescent="0.25">
      <c r="A8161" s="3" t="str">
        <f>HYPERLINK("http://mystore1.ru/price_items/search?utf8=%E2%9C%93&amp;oem=7608BGNHZ","7608BGNHZ")</f>
        <v>7608BGNHZ</v>
      </c>
      <c r="B8161" s="1" t="s">
        <v>15529</v>
      </c>
      <c r="C8161" s="9" t="s">
        <v>727</v>
      </c>
      <c r="D8161" s="14" t="s">
        <v>15530</v>
      </c>
      <c r="E8161" s="9" t="s">
        <v>30</v>
      </c>
    </row>
    <row r="8162" spans="1:5" outlineLevel="2" x14ac:dyDescent="0.25">
      <c r="A8162" s="3" t="str">
        <f>HYPERLINK("http://mystore1.ru/price_items/search?utf8=%E2%9C%93&amp;oem=7608LGNS4FD","7608LGNS4FD")</f>
        <v>7608LGNS4FD</v>
      </c>
      <c r="B8162" s="1" t="s">
        <v>15531</v>
      </c>
      <c r="C8162" s="9" t="s">
        <v>727</v>
      </c>
      <c r="D8162" s="14" t="s">
        <v>15532</v>
      </c>
      <c r="E8162" s="9" t="s">
        <v>11</v>
      </c>
    </row>
    <row r="8163" spans="1:5" outlineLevel="2" x14ac:dyDescent="0.25">
      <c r="A8163" s="3" t="str">
        <f>HYPERLINK("http://mystore1.ru/price_items/search?utf8=%E2%9C%93&amp;oem=7608LGNS4RD","7608LGNS4RD")</f>
        <v>7608LGNS4RD</v>
      </c>
      <c r="B8163" s="1" t="s">
        <v>15533</v>
      </c>
      <c r="C8163" s="9" t="s">
        <v>727</v>
      </c>
      <c r="D8163" s="14" t="s">
        <v>15534</v>
      </c>
      <c r="E8163" s="9" t="s">
        <v>11</v>
      </c>
    </row>
    <row r="8164" spans="1:5" outlineLevel="2" x14ac:dyDescent="0.25">
      <c r="A8164" s="3" t="str">
        <f>HYPERLINK("http://mystore1.ru/price_items/search?utf8=%E2%9C%93&amp;oem=7608LGSH5RVZ","7608LGSH5RVZ")</f>
        <v>7608LGSH5RVZ</v>
      </c>
      <c r="B8164" s="1" t="s">
        <v>15535</v>
      </c>
      <c r="C8164" s="9" t="s">
        <v>727</v>
      </c>
      <c r="D8164" s="14" t="s">
        <v>15536</v>
      </c>
      <c r="E8164" s="9" t="s">
        <v>11</v>
      </c>
    </row>
    <row r="8165" spans="1:5" outlineLevel="2" x14ac:dyDescent="0.25">
      <c r="A8165" s="3" t="str">
        <f>HYPERLINK("http://mystore1.ru/price_items/search?utf8=%E2%9C%93&amp;oem=7608LGSS4RVZ","7608LGSS4RVZ")</f>
        <v>7608LGSS4RVZ</v>
      </c>
      <c r="B8165" s="1" t="s">
        <v>15537</v>
      </c>
      <c r="C8165" s="9" t="s">
        <v>727</v>
      </c>
      <c r="D8165" s="14" t="s">
        <v>15538</v>
      </c>
      <c r="E8165" s="9" t="s">
        <v>11</v>
      </c>
    </row>
    <row r="8166" spans="1:5" outlineLevel="2" x14ac:dyDescent="0.25">
      <c r="A8166" s="3" t="str">
        <f>HYPERLINK("http://mystore1.ru/price_items/search?utf8=%E2%9C%93&amp;oem=7608RGNS4FD","7608RGNS4FD")</f>
        <v>7608RGNS4FD</v>
      </c>
      <c r="B8166" s="1" t="s">
        <v>15539</v>
      </c>
      <c r="C8166" s="9" t="s">
        <v>727</v>
      </c>
      <c r="D8166" s="14" t="s">
        <v>15540</v>
      </c>
      <c r="E8166" s="9" t="s">
        <v>11</v>
      </c>
    </row>
    <row r="8167" spans="1:5" outlineLevel="2" x14ac:dyDescent="0.25">
      <c r="A8167" s="3" t="str">
        <f>HYPERLINK("http://mystore1.ru/price_items/search?utf8=%E2%9C%93&amp;oem=7608RGNS4RD","7608RGNS4RD")</f>
        <v>7608RGNS4RD</v>
      </c>
      <c r="B8167" s="1" t="s">
        <v>15541</v>
      </c>
      <c r="C8167" s="9" t="s">
        <v>727</v>
      </c>
      <c r="D8167" s="14" t="s">
        <v>15542</v>
      </c>
      <c r="E8167" s="9" t="s">
        <v>11</v>
      </c>
    </row>
    <row r="8168" spans="1:5" outlineLevel="2" x14ac:dyDescent="0.25">
      <c r="A8168" s="3" t="str">
        <f>HYPERLINK("http://mystore1.ru/price_items/search?utf8=%E2%9C%93&amp;oem=7608RGSH5RVZ","7608RGSH5RVZ")</f>
        <v>7608RGSH5RVZ</v>
      </c>
      <c r="B8168" s="1" t="s">
        <v>15543</v>
      </c>
      <c r="C8168" s="9" t="s">
        <v>727</v>
      </c>
      <c r="D8168" s="14" t="s">
        <v>15544</v>
      </c>
      <c r="E8168" s="9" t="s">
        <v>11</v>
      </c>
    </row>
    <row r="8169" spans="1:5" outlineLevel="2" x14ac:dyDescent="0.25">
      <c r="A8169" s="3" t="str">
        <f>HYPERLINK("http://mystore1.ru/price_items/search?utf8=%E2%9C%93&amp;oem=7608RGSS4RVZ","7608RGSS4RVZ")</f>
        <v>7608RGSS4RVZ</v>
      </c>
      <c r="B8169" s="1" t="s">
        <v>15545</v>
      </c>
      <c r="C8169" s="9" t="s">
        <v>727</v>
      </c>
      <c r="D8169" s="14" t="s">
        <v>15546</v>
      </c>
      <c r="E8169" s="9" t="s">
        <v>11</v>
      </c>
    </row>
    <row r="8170" spans="1:5" x14ac:dyDescent="0.25">
      <c r="A8170" s="61" t="s">
        <v>15547</v>
      </c>
      <c r="B8170" s="61"/>
      <c r="C8170" s="61"/>
      <c r="D8170" s="61"/>
      <c r="E8170" s="61"/>
    </row>
    <row r="8171" spans="1:5" outlineLevel="1" x14ac:dyDescent="0.25">
      <c r="A8171" s="2"/>
      <c r="B8171" s="6" t="s">
        <v>15548</v>
      </c>
      <c r="C8171" s="8"/>
      <c r="D8171" s="8"/>
      <c r="E8171" s="8"/>
    </row>
    <row r="8172" spans="1:5" ht="15" customHeight="1" outlineLevel="2" x14ac:dyDescent="0.25">
      <c r="A8172" s="3" t="str">
        <f>HYPERLINK("http://mystore1.ru/price_items/search?utf8=%E2%9C%93&amp;oem=7808ACLBVZ1D","7808ACLBVZ1D")</f>
        <v>7808ACLBVZ1D</v>
      </c>
      <c r="B8172" s="1" t="s">
        <v>15549</v>
      </c>
      <c r="C8172" s="9" t="s">
        <v>5361</v>
      </c>
      <c r="D8172" s="14" t="s">
        <v>15550</v>
      </c>
      <c r="E8172" s="9" t="s">
        <v>8</v>
      </c>
    </row>
    <row r="8173" spans="1:5" ht="15" customHeight="1" outlineLevel="2" x14ac:dyDescent="0.25">
      <c r="A8173" s="3" t="str">
        <f>HYPERLINK("http://mystore1.ru/price_items/search?utf8=%E2%9C%93&amp;oem=7808ACLVZ","7808ACLVZ")</f>
        <v>7808ACLVZ</v>
      </c>
      <c r="B8173" s="1" t="s">
        <v>15551</v>
      </c>
      <c r="C8173" s="9" t="s">
        <v>5361</v>
      </c>
      <c r="D8173" s="14" t="s">
        <v>15552</v>
      </c>
      <c r="E8173" s="9" t="s">
        <v>8</v>
      </c>
    </row>
    <row r="8174" spans="1:5" ht="15" customHeight="1" outlineLevel="2" x14ac:dyDescent="0.25">
      <c r="A8174" s="3" t="str">
        <f>HYPERLINK("http://mystore1.ru/price_items/search?utf8=%E2%9C%93&amp;oem=7808ACLVZ1D","7808ACLVZ1D")</f>
        <v>7808ACLVZ1D</v>
      </c>
      <c r="B8174" s="1" t="s">
        <v>15553</v>
      </c>
      <c r="C8174" s="9" t="s">
        <v>5361</v>
      </c>
      <c r="D8174" s="14" t="s">
        <v>15554</v>
      </c>
      <c r="E8174" s="9" t="s">
        <v>8</v>
      </c>
    </row>
    <row r="8175" spans="1:5" ht="15" customHeight="1" outlineLevel="2" x14ac:dyDescent="0.25">
      <c r="A8175" s="3" t="str">
        <f>HYPERLINK("http://mystore1.ru/price_items/search?utf8=%E2%9C%93&amp;oem=7808ACLVZ1H","7808ACLVZ1H")</f>
        <v>7808ACLVZ1H</v>
      </c>
      <c r="B8175" s="1" t="s">
        <v>15555</v>
      </c>
      <c r="C8175" s="9" t="s">
        <v>5361</v>
      </c>
      <c r="D8175" s="14" t="s">
        <v>15556</v>
      </c>
      <c r="E8175" s="9" t="s">
        <v>8</v>
      </c>
    </row>
    <row r="8176" spans="1:5" ht="15" customHeight="1" outlineLevel="2" x14ac:dyDescent="0.25">
      <c r="A8176" s="3" t="str">
        <f>HYPERLINK("http://mystore1.ru/price_items/search?utf8=%E2%9C%93&amp;oem=7808AGSBVZ1D","7808AGSBVZ1D")</f>
        <v>7808AGSBVZ1D</v>
      </c>
      <c r="B8176" s="1" t="s">
        <v>15557</v>
      </c>
      <c r="C8176" s="9" t="s">
        <v>5361</v>
      </c>
      <c r="D8176" s="14" t="s">
        <v>15558</v>
      </c>
      <c r="E8176" s="9" t="s">
        <v>8</v>
      </c>
    </row>
    <row r="8177" spans="1:5" ht="15" customHeight="1" outlineLevel="2" x14ac:dyDescent="0.25">
      <c r="A8177" s="3" t="str">
        <f>HYPERLINK("http://mystore1.ru/price_items/search?utf8=%E2%9C%93&amp;oem=7808AGSGNBVZ1D","7808AGSGNBVZ1D")</f>
        <v>7808AGSGNBVZ1D</v>
      </c>
      <c r="B8177" s="1" t="s">
        <v>15559</v>
      </c>
      <c r="C8177" s="9" t="s">
        <v>5361</v>
      </c>
      <c r="D8177" s="14" t="s">
        <v>15560</v>
      </c>
      <c r="E8177" s="9" t="s">
        <v>8</v>
      </c>
    </row>
    <row r="8178" spans="1:5" ht="15" customHeight="1" outlineLevel="2" x14ac:dyDescent="0.25">
      <c r="A8178" s="3" t="str">
        <f>HYPERLINK("http://mystore1.ru/price_items/search?utf8=%E2%9C%93&amp;oem=7808AGSGNVZ","7808AGSGNVZ")</f>
        <v>7808AGSGNVZ</v>
      </c>
      <c r="B8178" s="1" t="s">
        <v>15561</v>
      </c>
      <c r="C8178" s="9" t="s">
        <v>5361</v>
      </c>
      <c r="D8178" s="14" t="s">
        <v>15562</v>
      </c>
      <c r="E8178" s="9" t="s">
        <v>8</v>
      </c>
    </row>
    <row r="8179" spans="1:5" ht="15" customHeight="1" outlineLevel="2" x14ac:dyDescent="0.25">
      <c r="A8179" s="3" t="str">
        <f>HYPERLINK("http://mystore1.ru/price_items/search?utf8=%E2%9C%93&amp;oem=7808AGSGNVZ1D","7808AGSGNVZ1D")</f>
        <v>7808AGSGNVZ1D</v>
      </c>
      <c r="B8179" s="1" t="s">
        <v>15563</v>
      </c>
      <c r="C8179" s="9" t="s">
        <v>5361</v>
      </c>
      <c r="D8179" s="14" t="s">
        <v>15564</v>
      </c>
      <c r="E8179" s="9" t="s">
        <v>8</v>
      </c>
    </row>
    <row r="8180" spans="1:5" ht="15" customHeight="1" outlineLevel="2" x14ac:dyDescent="0.25">
      <c r="A8180" s="3" t="str">
        <f>HYPERLINK("http://mystore1.ru/price_items/search?utf8=%E2%9C%93&amp;oem=7808AGSGNVZ1H","7808AGSGNVZ1H")</f>
        <v>7808AGSGNVZ1H</v>
      </c>
      <c r="B8180" s="1" t="s">
        <v>15565</v>
      </c>
      <c r="C8180" s="9" t="s">
        <v>5361</v>
      </c>
      <c r="D8180" s="14" t="s">
        <v>15566</v>
      </c>
      <c r="E8180" s="9" t="s">
        <v>8</v>
      </c>
    </row>
    <row r="8181" spans="1:5" ht="15" customHeight="1" outlineLevel="2" x14ac:dyDescent="0.25">
      <c r="A8181" s="3" t="str">
        <f>HYPERLINK("http://mystore1.ru/price_items/search?utf8=%E2%9C%93&amp;oem=7808AGSGYBVZ1D","7808AGSGYBVZ1D")</f>
        <v>7808AGSGYBVZ1D</v>
      </c>
      <c r="B8181" s="1" t="s">
        <v>15567</v>
      </c>
      <c r="C8181" s="9" t="s">
        <v>5361</v>
      </c>
      <c r="D8181" s="14" t="s">
        <v>15568</v>
      </c>
      <c r="E8181" s="9" t="s">
        <v>8</v>
      </c>
    </row>
    <row r="8182" spans="1:5" ht="15" customHeight="1" outlineLevel="2" x14ac:dyDescent="0.25">
      <c r="A8182" s="3" t="str">
        <f>HYPERLINK("http://mystore1.ru/price_items/search?utf8=%E2%9C%93&amp;oem=7808AGSGYVZ","7808AGSGYVZ")</f>
        <v>7808AGSGYVZ</v>
      </c>
      <c r="B8182" s="1" t="s">
        <v>15569</v>
      </c>
      <c r="C8182" s="9" t="s">
        <v>5361</v>
      </c>
      <c r="D8182" s="14" t="s">
        <v>15570</v>
      </c>
      <c r="E8182" s="9" t="s">
        <v>8</v>
      </c>
    </row>
    <row r="8183" spans="1:5" ht="15" customHeight="1" outlineLevel="2" x14ac:dyDescent="0.25">
      <c r="A8183" s="3" t="str">
        <f>HYPERLINK("http://mystore1.ru/price_items/search?utf8=%E2%9C%93&amp;oem=7808AGSGYVZ1D","7808AGSGYVZ1D")</f>
        <v>7808AGSGYVZ1D</v>
      </c>
      <c r="B8183" s="1" t="s">
        <v>15571</v>
      </c>
      <c r="C8183" s="9" t="s">
        <v>2589</v>
      </c>
      <c r="D8183" s="14" t="s">
        <v>15572</v>
      </c>
      <c r="E8183" s="9" t="s">
        <v>8</v>
      </c>
    </row>
    <row r="8184" spans="1:5" ht="15" customHeight="1" outlineLevel="2" x14ac:dyDescent="0.25">
      <c r="A8184" s="3" t="str">
        <f>HYPERLINK("http://mystore1.ru/price_items/search?utf8=%E2%9C%93&amp;oem=7808AGSGYVZ1H","7808AGSGYVZ1H")</f>
        <v>7808AGSGYVZ1H</v>
      </c>
      <c r="B8184" s="1" t="s">
        <v>15573</v>
      </c>
      <c r="C8184" s="9" t="s">
        <v>5361</v>
      </c>
      <c r="D8184" s="14" t="s">
        <v>15574</v>
      </c>
      <c r="E8184" s="9" t="s">
        <v>8</v>
      </c>
    </row>
    <row r="8185" spans="1:5" ht="15" customHeight="1" outlineLevel="2" x14ac:dyDescent="0.25">
      <c r="A8185" s="3" t="str">
        <f>HYPERLINK("http://mystore1.ru/price_items/search?utf8=%E2%9C%93&amp;oem=7808AGSVZ","7808AGSVZ")</f>
        <v>7808AGSVZ</v>
      </c>
      <c r="B8185" s="1" t="s">
        <v>15575</v>
      </c>
      <c r="C8185" s="9" t="s">
        <v>5361</v>
      </c>
      <c r="D8185" s="14" t="s">
        <v>15576</v>
      </c>
      <c r="E8185" s="9" t="s">
        <v>8</v>
      </c>
    </row>
    <row r="8186" spans="1:5" ht="15" customHeight="1" outlineLevel="2" x14ac:dyDescent="0.25">
      <c r="A8186" s="3" t="str">
        <f>HYPERLINK("http://mystore1.ru/price_items/search?utf8=%E2%9C%93&amp;oem=7808AGSVZ1D","7808AGSVZ1D")</f>
        <v>7808AGSVZ1D</v>
      </c>
      <c r="B8186" s="1" t="s">
        <v>15577</v>
      </c>
      <c r="C8186" s="9" t="s">
        <v>5361</v>
      </c>
      <c r="D8186" s="14" t="s">
        <v>15578</v>
      </c>
      <c r="E8186" s="9" t="s">
        <v>8</v>
      </c>
    </row>
    <row r="8187" spans="1:5" ht="15" customHeight="1" outlineLevel="2" x14ac:dyDescent="0.25">
      <c r="A8187" s="3" t="str">
        <f>HYPERLINK("http://mystore1.ru/price_items/search?utf8=%E2%9C%93&amp;oem=7808AGSVZ1H","7808AGSVZ1H")</f>
        <v>7808AGSVZ1H</v>
      </c>
      <c r="B8187" s="1" t="s">
        <v>15579</v>
      </c>
      <c r="C8187" s="9" t="s">
        <v>5361</v>
      </c>
      <c r="D8187" s="14" t="s">
        <v>15580</v>
      </c>
      <c r="E8187" s="9" t="s">
        <v>8</v>
      </c>
    </row>
    <row r="8188" spans="1:5" ht="15" customHeight="1" outlineLevel="2" x14ac:dyDescent="0.25">
      <c r="A8188" s="3" t="str">
        <f>HYPERLINK("http://mystore1.ru/price_items/search?utf8=%E2%9C%93&amp;oem=7808BCLEW","7808BCLEW")</f>
        <v>7808BCLEW</v>
      </c>
      <c r="B8188" s="1" t="s">
        <v>15581</v>
      </c>
      <c r="C8188" s="9" t="s">
        <v>377</v>
      </c>
      <c r="D8188" s="14" t="s">
        <v>15582</v>
      </c>
      <c r="E8188" s="9" t="s">
        <v>30</v>
      </c>
    </row>
    <row r="8189" spans="1:5" ht="15" customHeight="1" outlineLevel="2" x14ac:dyDescent="0.25">
      <c r="A8189" s="3" t="str">
        <f>HYPERLINK("http://mystore1.ru/price_items/search?utf8=%E2%9C%93&amp;oem=7808BCLHW","7808BCLHW")</f>
        <v>7808BCLHW</v>
      </c>
      <c r="B8189" s="1" t="s">
        <v>15583</v>
      </c>
      <c r="C8189" s="9" t="s">
        <v>5361</v>
      </c>
      <c r="D8189" s="14" t="s">
        <v>15584</v>
      </c>
      <c r="E8189" s="9" t="s">
        <v>30</v>
      </c>
    </row>
    <row r="8190" spans="1:5" ht="15" customHeight="1" outlineLevel="2" x14ac:dyDescent="0.25">
      <c r="A8190" s="3" t="str">
        <f>HYPERLINK("http://mystore1.ru/price_items/search?utf8=%E2%9C%93&amp;oem=7808BCLS","7808BCLS")</f>
        <v>7808BCLS</v>
      </c>
      <c r="B8190" s="1" t="s">
        <v>15585</v>
      </c>
      <c r="C8190" s="9" t="s">
        <v>457</v>
      </c>
      <c r="D8190" s="14" t="s">
        <v>15586</v>
      </c>
      <c r="E8190" s="9" t="s">
        <v>30</v>
      </c>
    </row>
    <row r="8191" spans="1:5" ht="15" customHeight="1" outlineLevel="2" x14ac:dyDescent="0.25">
      <c r="A8191" s="3" t="str">
        <f>HYPERLINK("http://mystore1.ru/price_items/search?utf8=%E2%9C%93&amp;oem=7808BGSEW","7808BGSEW")</f>
        <v>7808BGSEW</v>
      </c>
      <c r="B8191" s="1" t="s">
        <v>15587</v>
      </c>
      <c r="C8191" s="9" t="s">
        <v>377</v>
      </c>
      <c r="D8191" s="14" t="s">
        <v>15588</v>
      </c>
      <c r="E8191" s="9" t="s">
        <v>30</v>
      </c>
    </row>
    <row r="8192" spans="1:5" ht="15" customHeight="1" outlineLevel="2" x14ac:dyDescent="0.25">
      <c r="A8192" s="3" t="str">
        <f>HYPERLINK("http://mystore1.ru/price_items/search?utf8=%E2%9C%93&amp;oem=7808BGSHW","7808BGSHW")</f>
        <v>7808BGSHW</v>
      </c>
      <c r="B8192" s="1" t="s">
        <v>15589</v>
      </c>
      <c r="C8192" s="9" t="s">
        <v>5361</v>
      </c>
      <c r="D8192" s="14" t="s">
        <v>15590</v>
      </c>
      <c r="E8192" s="9" t="s">
        <v>30</v>
      </c>
    </row>
    <row r="8193" spans="1:5" ht="15" customHeight="1" outlineLevel="2" x14ac:dyDescent="0.25">
      <c r="A8193" s="3" t="str">
        <f>HYPERLINK("http://mystore1.ru/price_items/search?utf8=%E2%9C%93&amp;oem=7808BGSS","7808BGSS")</f>
        <v>7808BGSS</v>
      </c>
      <c r="B8193" s="1" t="s">
        <v>15591</v>
      </c>
      <c r="C8193" s="9" t="s">
        <v>457</v>
      </c>
      <c r="D8193" s="14" t="s">
        <v>15592</v>
      </c>
      <c r="E8193" s="9" t="s">
        <v>30</v>
      </c>
    </row>
    <row r="8194" spans="1:5" ht="15" customHeight="1" outlineLevel="2" x14ac:dyDescent="0.25">
      <c r="A8194" s="3" t="str">
        <f>HYPERLINK("http://mystore1.ru/price_items/search?utf8=%E2%9C%93&amp;oem=7808BGPHW","7808BGPHW")</f>
        <v>7808BGPHW</v>
      </c>
      <c r="B8194" s="1" t="s">
        <v>15593</v>
      </c>
      <c r="C8194" s="9" t="s">
        <v>377</v>
      </c>
      <c r="D8194" s="14" t="s">
        <v>15594</v>
      </c>
      <c r="E8194" s="9" t="s">
        <v>30</v>
      </c>
    </row>
    <row r="8195" spans="1:5" ht="15" customHeight="1" outlineLevel="2" x14ac:dyDescent="0.25">
      <c r="A8195" s="3" t="str">
        <f>HYPERLINK("http://mystore1.ru/price_items/search?utf8=%E2%9C%93&amp;oem=7808LCLE5RD","7808LCLE5RD")</f>
        <v>7808LCLE5RD</v>
      </c>
      <c r="B8195" s="1" t="s">
        <v>15595</v>
      </c>
      <c r="C8195" s="9" t="s">
        <v>377</v>
      </c>
      <c r="D8195" s="14" t="s">
        <v>15596</v>
      </c>
      <c r="E8195" s="9" t="s">
        <v>11</v>
      </c>
    </row>
    <row r="8196" spans="1:5" ht="15" customHeight="1" outlineLevel="2" x14ac:dyDescent="0.25">
      <c r="A8196" s="3" t="str">
        <f>HYPERLINK("http://mystore1.ru/price_items/search?utf8=%E2%9C%93&amp;oem=7808LCLE5RQZ","7808LCLE5RQZ")</f>
        <v>7808LCLE5RQZ</v>
      </c>
      <c r="B8196" s="1" t="s">
        <v>15597</v>
      </c>
      <c r="C8196" s="9" t="s">
        <v>377</v>
      </c>
      <c r="D8196" s="14" t="s">
        <v>15598</v>
      </c>
      <c r="E8196" s="9" t="s">
        <v>11</v>
      </c>
    </row>
    <row r="8197" spans="1:5" ht="15" customHeight="1" outlineLevel="2" x14ac:dyDescent="0.25">
      <c r="A8197" s="3" t="str">
        <f>HYPERLINK("http://mystore1.ru/price_items/search?utf8=%E2%9C%93&amp;oem=7808LCLH5FD","7808LCLH5FD")</f>
        <v>7808LCLH5FD</v>
      </c>
      <c r="B8197" s="1" t="s">
        <v>15599</v>
      </c>
      <c r="C8197" s="9" t="s">
        <v>5361</v>
      </c>
      <c r="D8197" s="14" t="s">
        <v>15600</v>
      </c>
      <c r="E8197" s="9" t="s">
        <v>11</v>
      </c>
    </row>
    <row r="8198" spans="1:5" ht="15" customHeight="1" outlineLevel="2" x14ac:dyDescent="0.25">
      <c r="A8198" s="3" t="str">
        <f>HYPERLINK("http://mystore1.ru/price_items/search?utf8=%E2%9C%93&amp;oem=7808LCLH5RD","7808LCLH5RD")</f>
        <v>7808LCLH5RD</v>
      </c>
      <c r="B8198" s="1" t="s">
        <v>15601</v>
      </c>
      <c r="C8198" s="9" t="s">
        <v>5361</v>
      </c>
      <c r="D8198" s="14" t="s">
        <v>15602</v>
      </c>
      <c r="E8198" s="9" t="s">
        <v>11</v>
      </c>
    </row>
    <row r="8199" spans="1:5" ht="15" customHeight="1" outlineLevel="2" x14ac:dyDescent="0.25">
      <c r="A8199" s="3" t="str">
        <f>HYPERLINK("http://mystore1.ru/price_items/search?utf8=%E2%9C%93&amp;oem=7808LGSE5RD","7808LGSE5RD")</f>
        <v>7808LGSE5RD</v>
      </c>
      <c r="B8199" s="1" t="s">
        <v>15603</v>
      </c>
      <c r="C8199" s="9" t="s">
        <v>377</v>
      </c>
      <c r="D8199" s="14" t="s">
        <v>15604</v>
      </c>
      <c r="E8199" s="9" t="s">
        <v>11</v>
      </c>
    </row>
    <row r="8200" spans="1:5" ht="15" customHeight="1" outlineLevel="2" x14ac:dyDescent="0.25">
      <c r="A8200" s="3" t="str">
        <f>HYPERLINK("http://mystore1.ru/price_items/search?utf8=%E2%9C%93&amp;oem=7808LGSE5RQZ","7808LGSE5RQZ")</f>
        <v>7808LGSE5RQZ</v>
      </c>
      <c r="B8200" s="1" t="s">
        <v>15605</v>
      </c>
      <c r="C8200" s="9" t="s">
        <v>377</v>
      </c>
      <c r="D8200" s="14" t="s">
        <v>15598</v>
      </c>
      <c r="E8200" s="9" t="s">
        <v>11</v>
      </c>
    </row>
    <row r="8201" spans="1:5" ht="15" customHeight="1" outlineLevel="2" x14ac:dyDescent="0.25">
      <c r="A8201" s="3" t="str">
        <f>HYPERLINK("http://mystore1.ru/price_items/search?utf8=%E2%9C%93&amp;oem=7808LGSH5FD","7808LGSH5FD")</f>
        <v>7808LGSH5FD</v>
      </c>
      <c r="B8201" s="1" t="s">
        <v>15606</v>
      </c>
      <c r="C8201" s="9" t="s">
        <v>5361</v>
      </c>
      <c r="D8201" s="14" t="s">
        <v>15607</v>
      </c>
      <c r="E8201" s="9" t="s">
        <v>11</v>
      </c>
    </row>
    <row r="8202" spans="1:5" ht="15" customHeight="1" outlineLevel="2" x14ac:dyDescent="0.25">
      <c r="A8202" s="3" t="str">
        <f>HYPERLINK("http://mystore1.ru/price_items/search?utf8=%E2%9C%93&amp;oem=7808LGSH5RD","7808LGSH5RD")</f>
        <v>7808LGSH5RD</v>
      </c>
      <c r="B8202" s="1" t="s">
        <v>15608</v>
      </c>
      <c r="C8202" s="9" t="s">
        <v>5361</v>
      </c>
      <c r="D8202" s="14" t="s">
        <v>15609</v>
      </c>
      <c r="E8202" s="9" t="s">
        <v>11</v>
      </c>
    </row>
    <row r="8203" spans="1:5" ht="15" customHeight="1" outlineLevel="2" x14ac:dyDescent="0.25">
      <c r="A8203" s="3" t="str">
        <f>HYPERLINK("http://mystore1.ru/price_items/search?utf8=%E2%9C%93&amp;oem=7808LGSH5RVZ","7808LGSH5RVZ")</f>
        <v>7808LGSH5RVZ</v>
      </c>
      <c r="B8203" s="1" t="s">
        <v>15610</v>
      </c>
      <c r="C8203" s="9" t="s">
        <v>5361</v>
      </c>
      <c r="D8203" s="14" t="s">
        <v>15611</v>
      </c>
      <c r="E8203" s="9" t="s">
        <v>11</v>
      </c>
    </row>
    <row r="8204" spans="1:5" ht="15" customHeight="1" outlineLevel="2" x14ac:dyDescent="0.25">
      <c r="A8204" s="3" t="str">
        <f>HYPERLINK("http://mystore1.ru/price_items/search?utf8=%E2%9C%93&amp;oem=7808RCLE5RD","7808RCLE5RD")</f>
        <v>7808RCLE5RD</v>
      </c>
      <c r="B8204" s="1" t="s">
        <v>15612</v>
      </c>
      <c r="C8204" s="9" t="s">
        <v>377</v>
      </c>
      <c r="D8204" s="14" t="s">
        <v>15613</v>
      </c>
      <c r="E8204" s="9" t="s">
        <v>11</v>
      </c>
    </row>
    <row r="8205" spans="1:5" ht="15" customHeight="1" outlineLevel="2" x14ac:dyDescent="0.25">
      <c r="A8205" s="3" t="str">
        <f>HYPERLINK("http://mystore1.ru/price_items/search?utf8=%E2%9C%93&amp;oem=7808RCLE5RQZ","7808RCLE5RQZ")</f>
        <v>7808RCLE5RQZ</v>
      </c>
      <c r="B8205" s="1" t="s">
        <v>15614</v>
      </c>
      <c r="C8205" s="9" t="s">
        <v>377</v>
      </c>
      <c r="D8205" s="14" t="s">
        <v>15615</v>
      </c>
      <c r="E8205" s="9" t="s">
        <v>11</v>
      </c>
    </row>
    <row r="8206" spans="1:5" ht="15" customHeight="1" outlineLevel="2" x14ac:dyDescent="0.25">
      <c r="A8206" s="3" t="str">
        <f>HYPERLINK("http://mystore1.ru/price_items/search?utf8=%E2%9C%93&amp;oem=7808RCLH5FD","7808RCLH5FD")</f>
        <v>7808RCLH5FD</v>
      </c>
      <c r="B8206" s="1" t="s">
        <v>15616</v>
      </c>
      <c r="C8206" s="9" t="s">
        <v>5361</v>
      </c>
      <c r="D8206" s="14" t="s">
        <v>15617</v>
      </c>
      <c r="E8206" s="9" t="s">
        <v>11</v>
      </c>
    </row>
    <row r="8207" spans="1:5" ht="15" customHeight="1" outlineLevel="2" x14ac:dyDescent="0.25">
      <c r="A8207" s="3" t="str">
        <f>HYPERLINK("http://mystore1.ru/price_items/search?utf8=%E2%9C%93&amp;oem=7808RCLH5RD","7808RCLH5RD")</f>
        <v>7808RCLH5RD</v>
      </c>
      <c r="B8207" s="1" t="s">
        <v>15618</v>
      </c>
      <c r="C8207" s="9" t="s">
        <v>5361</v>
      </c>
      <c r="D8207" s="14" t="s">
        <v>15619</v>
      </c>
      <c r="E8207" s="9" t="s">
        <v>11</v>
      </c>
    </row>
    <row r="8208" spans="1:5" ht="15" customHeight="1" outlineLevel="2" x14ac:dyDescent="0.25">
      <c r="A8208" s="3" t="str">
        <f>HYPERLINK("http://mystore1.ru/price_items/search?utf8=%E2%9C%93&amp;oem=7808RGSE5RD","7808RGSE5RD")</f>
        <v>7808RGSE5RD</v>
      </c>
      <c r="B8208" s="1" t="s">
        <v>15620</v>
      </c>
      <c r="C8208" s="9" t="s">
        <v>377</v>
      </c>
      <c r="D8208" s="14" t="s">
        <v>15621</v>
      </c>
      <c r="E8208" s="9" t="s">
        <v>11</v>
      </c>
    </row>
    <row r="8209" spans="1:5" ht="15" customHeight="1" outlineLevel="2" x14ac:dyDescent="0.25">
      <c r="A8209" s="3" t="str">
        <f>HYPERLINK("http://mystore1.ru/price_items/search?utf8=%E2%9C%93&amp;oem=7808RGSE5RQZ","7808RGSE5RQZ")</f>
        <v>7808RGSE5RQZ</v>
      </c>
      <c r="B8209" s="1" t="s">
        <v>15622</v>
      </c>
      <c r="C8209" s="9" t="s">
        <v>377</v>
      </c>
      <c r="D8209" s="14" t="s">
        <v>15615</v>
      </c>
      <c r="E8209" s="9" t="s">
        <v>11</v>
      </c>
    </row>
    <row r="8210" spans="1:5" ht="15" customHeight="1" outlineLevel="2" x14ac:dyDescent="0.25">
      <c r="A8210" s="3" t="str">
        <f>HYPERLINK("http://mystore1.ru/price_items/search?utf8=%E2%9C%93&amp;oem=7808RGSH5FD","7808RGSH5FD")</f>
        <v>7808RGSH5FD</v>
      </c>
      <c r="B8210" s="1" t="s">
        <v>15623</v>
      </c>
      <c r="C8210" s="9" t="s">
        <v>5361</v>
      </c>
      <c r="D8210" s="14" t="s">
        <v>15624</v>
      </c>
      <c r="E8210" s="9" t="s">
        <v>11</v>
      </c>
    </row>
    <row r="8211" spans="1:5" ht="15" customHeight="1" outlineLevel="2" x14ac:dyDescent="0.25">
      <c r="A8211" s="3" t="str">
        <f>HYPERLINK("http://mystore1.ru/price_items/search?utf8=%E2%9C%93&amp;oem=7808RGSH5RD","7808RGSH5RD")</f>
        <v>7808RGSH5RD</v>
      </c>
      <c r="B8211" s="1" t="s">
        <v>15625</v>
      </c>
      <c r="C8211" s="9" t="s">
        <v>5361</v>
      </c>
      <c r="D8211" s="14" t="s">
        <v>15626</v>
      </c>
      <c r="E8211" s="9" t="s">
        <v>11</v>
      </c>
    </row>
    <row r="8212" spans="1:5" ht="15" customHeight="1" outlineLevel="2" x14ac:dyDescent="0.25">
      <c r="A8212" s="3" t="str">
        <f>HYPERLINK("http://mystore1.ru/price_items/search?utf8=%E2%9C%93&amp;oem=7808RGSH5RVZ","7808RGSH5RVZ")</f>
        <v>7808RGSH5RVZ</v>
      </c>
      <c r="B8212" s="1" t="s">
        <v>15627</v>
      </c>
      <c r="C8212" s="9" t="s">
        <v>5361</v>
      </c>
      <c r="D8212" s="14" t="s">
        <v>15628</v>
      </c>
      <c r="E8212" s="9" t="s">
        <v>11</v>
      </c>
    </row>
    <row r="8213" spans="1:5" outlineLevel="1" x14ac:dyDescent="0.25">
      <c r="A8213" s="2"/>
      <c r="B8213" s="6" t="s">
        <v>15629</v>
      </c>
      <c r="C8213" s="8"/>
      <c r="D8213" s="8"/>
      <c r="E8213" s="8"/>
    </row>
    <row r="8214" spans="1:5" ht="15" customHeight="1" outlineLevel="2" x14ac:dyDescent="0.25">
      <c r="A8214" s="3" t="str">
        <f>HYPERLINK("http://mystore1.ru/price_items/search?utf8=%E2%9C%93&amp;oem=7811ACLVW","7811ACLVW")</f>
        <v>7811ACLVW</v>
      </c>
      <c r="B8214" s="1" t="s">
        <v>15630</v>
      </c>
      <c r="C8214" s="9" t="s">
        <v>511</v>
      </c>
      <c r="D8214" s="14" t="s">
        <v>15631</v>
      </c>
      <c r="E8214" s="9" t="s">
        <v>8</v>
      </c>
    </row>
    <row r="8215" spans="1:5" ht="15" customHeight="1" outlineLevel="2" x14ac:dyDescent="0.25">
      <c r="A8215" s="3" t="str">
        <f>HYPERLINK("http://mystore1.ru/price_items/search?utf8=%E2%9C%93&amp;oem=7811AGSGYVW","7811AGSGYVW")</f>
        <v>7811AGSGYVW</v>
      </c>
      <c r="B8215" s="1" t="s">
        <v>15632</v>
      </c>
      <c r="C8215" s="9" t="s">
        <v>511</v>
      </c>
      <c r="D8215" s="14" t="s">
        <v>15633</v>
      </c>
      <c r="E8215" s="9" t="s">
        <v>8</v>
      </c>
    </row>
    <row r="8216" spans="1:5" ht="15" customHeight="1" outlineLevel="2" x14ac:dyDescent="0.25">
      <c r="A8216" s="3" t="str">
        <f>HYPERLINK("http://mystore1.ru/price_items/search?utf8=%E2%9C%93&amp;oem=7811AGSVW","7811AGSVW")</f>
        <v>7811AGSVW</v>
      </c>
      <c r="B8216" s="1" t="s">
        <v>15634</v>
      </c>
      <c r="C8216" s="9" t="s">
        <v>511</v>
      </c>
      <c r="D8216" s="14" t="s">
        <v>15635</v>
      </c>
      <c r="E8216" s="9" t="s">
        <v>8</v>
      </c>
    </row>
    <row r="8217" spans="1:5" ht="15" customHeight="1" outlineLevel="2" x14ac:dyDescent="0.25">
      <c r="A8217" s="3" t="str">
        <f>HYPERLINK("http://mystore1.ru/price_items/search?utf8=%E2%9C%93&amp;oem=7811BCLEW","7811BCLEW")</f>
        <v>7811BCLEW</v>
      </c>
      <c r="B8217" s="1" t="s">
        <v>15636</v>
      </c>
      <c r="C8217" s="9" t="s">
        <v>511</v>
      </c>
      <c r="D8217" s="14" t="s">
        <v>15637</v>
      </c>
      <c r="E8217" s="9" t="s">
        <v>30</v>
      </c>
    </row>
    <row r="8218" spans="1:5" ht="15" customHeight="1" outlineLevel="2" x14ac:dyDescent="0.25">
      <c r="A8218" s="3" t="str">
        <f>HYPERLINK("http://mystore1.ru/price_items/search?utf8=%E2%9C%93&amp;oem=7811BCLHBW","7811BCLHBW")</f>
        <v>7811BCLHBW</v>
      </c>
      <c r="B8218" s="1" t="s">
        <v>15638</v>
      </c>
      <c r="C8218" s="9" t="s">
        <v>511</v>
      </c>
      <c r="D8218" s="14" t="s">
        <v>15639</v>
      </c>
      <c r="E8218" s="9" t="s">
        <v>30</v>
      </c>
    </row>
    <row r="8219" spans="1:5" ht="15" customHeight="1" outlineLevel="2" x14ac:dyDescent="0.25">
      <c r="A8219" s="3" t="str">
        <f>HYPERLINK("http://mystore1.ru/price_items/search?utf8=%E2%9C%93&amp;oem=7811BGDEI1B","7811BGDEI1B")</f>
        <v>7811BGDEI1B</v>
      </c>
      <c r="B8219" s="1" t="s">
        <v>15640</v>
      </c>
      <c r="C8219" s="9" t="s">
        <v>511</v>
      </c>
      <c r="D8219" s="14" t="s">
        <v>15641</v>
      </c>
      <c r="E8219" s="9" t="s">
        <v>30</v>
      </c>
    </row>
    <row r="8220" spans="1:5" ht="15" customHeight="1" outlineLevel="2" x14ac:dyDescent="0.25">
      <c r="A8220" s="3" t="str">
        <f>HYPERLINK("http://mystore1.ru/price_items/search?utf8=%E2%9C%93&amp;oem=7811BGDHBW","7811BGDHBW")</f>
        <v>7811BGDHBW</v>
      </c>
      <c r="B8220" s="1" t="s">
        <v>15642</v>
      </c>
      <c r="C8220" s="9" t="s">
        <v>511</v>
      </c>
      <c r="D8220" s="14" t="s">
        <v>15643</v>
      </c>
      <c r="E8220" s="9" t="s">
        <v>30</v>
      </c>
    </row>
    <row r="8221" spans="1:5" ht="15" customHeight="1" outlineLevel="2" x14ac:dyDescent="0.25">
      <c r="A8221" s="3" t="str">
        <f>HYPERLINK("http://mystore1.ru/price_items/search?utf8=%E2%9C%93&amp;oem=7811BGDMBW","7811BGDMBW")</f>
        <v>7811BGDMBW</v>
      </c>
      <c r="B8221" s="1" t="s">
        <v>15644</v>
      </c>
      <c r="C8221" s="9" t="s">
        <v>511</v>
      </c>
      <c r="D8221" s="14" t="s">
        <v>15645</v>
      </c>
      <c r="E8221" s="9" t="s">
        <v>30</v>
      </c>
    </row>
    <row r="8222" spans="1:5" ht="15" customHeight="1" outlineLevel="2" x14ac:dyDescent="0.25">
      <c r="A8222" s="3" t="str">
        <f>HYPERLINK("http://mystore1.ru/price_items/search?utf8=%E2%9C%93&amp;oem=7811BGSEI1B","7811BGSEI1B")</f>
        <v>7811BGSEI1B</v>
      </c>
      <c r="B8222" s="1" t="s">
        <v>15646</v>
      </c>
      <c r="C8222" s="9" t="s">
        <v>511</v>
      </c>
      <c r="D8222" s="14" t="s">
        <v>15647</v>
      </c>
      <c r="E8222" s="9" t="s">
        <v>30</v>
      </c>
    </row>
    <row r="8223" spans="1:5" ht="15" customHeight="1" outlineLevel="2" x14ac:dyDescent="0.25">
      <c r="A8223" s="3" t="str">
        <f>HYPERLINK("http://mystore1.ru/price_items/search?utf8=%E2%9C%93&amp;oem=7811BGSHBW","7811BGSHBW")</f>
        <v>7811BGSHBW</v>
      </c>
      <c r="B8223" s="1" t="s">
        <v>15648</v>
      </c>
      <c r="C8223" s="9" t="s">
        <v>511</v>
      </c>
      <c r="D8223" s="14" t="s">
        <v>15649</v>
      </c>
      <c r="E8223" s="9" t="s">
        <v>30</v>
      </c>
    </row>
    <row r="8224" spans="1:5" ht="15" customHeight="1" outlineLevel="2" x14ac:dyDescent="0.25">
      <c r="A8224" s="3" t="str">
        <f>HYPERLINK("http://mystore1.ru/price_items/search?utf8=%E2%9C%93&amp;oem=7811BGSMBW","7811BGSMBW")</f>
        <v>7811BGSMBW</v>
      </c>
      <c r="B8224" s="1" t="s">
        <v>15650</v>
      </c>
      <c r="C8224" s="9" t="s">
        <v>511</v>
      </c>
      <c r="D8224" s="14" t="s">
        <v>15651</v>
      </c>
      <c r="E8224" s="9" t="s">
        <v>30</v>
      </c>
    </row>
    <row r="8225" spans="1:5" ht="15" customHeight="1" outlineLevel="2" x14ac:dyDescent="0.25">
      <c r="A8225" s="3" t="str">
        <f>HYPERLINK("http://mystore1.ru/price_items/search?utf8=%E2%9C%93&amp;oem=7811LCLE5RD","7811LCLE5RD")</f>
        <v>7811LCLE5RD</v>
      </c>
      <c r="B8225" s="1" t="s">
        <v>15652</v>
      </c>
      <c r="C8225" s="9" t="s">
        <v>511</v>
      </c>
      <c r="D8225" s="14" t="s">
        <v>15653</v>
      </c>
      <c r="E8225" s="9" t="s">
        <v>11</v>
      </c>
    </row>
    <row r="8226" spans="1:5" ht="15" customHeight="1" outlineLevel="2" x14ac:dyDescent="0.25">
      <c r="A8226" s="3" t="str">
        <f>HYPERLINK("http://mystore1.ru/price_items/search?utf8=%E2%9C%93&amp;oem=7811LCLM5FDW","7811LCLM5FDW")</f>
        <v>7811LCLM5FDW</v>
      </c>
      <c r="B8226" s="1" t="s">
        <v>15654</v>
      </c>
      <c r="C8226" s="9" t="s">
        <v>511</v>
      </c>
      <c r="D8226" s="14" t="s">
        <v>15655</v>
      </c>
      <c r="E8226" s="9" t="s">
        <v>11</v>
      </c>
    </row>
    <row r="8227" spans="1:5" ht="15" customHeight="1" outlineLevel="2" x14ac:dyDescent="0.25">
      <c r="A8227" s="3" t="str">
        <f>HYPERLINK("http://mystore1.ru/price_items/search?utf8=%E2%9C%93&amp;oem=7811LCLM5FDW1H","7811LCLM5FDW1H")</f>
        <v>7811LCLM5FDW1H</v>
      </c>
      <c r="B8227" s="1" t="s">
        <v>15656</v>
      </c>
      <c r="C8227" s="9" t="s">
        <v>511</v>
      </c>
      <c r="D8227" s="14" t="s">
        <v>15657</v>
      </c>
      <c r="E8227" s="9" t="s">
        <v>11</v>
      </c>
    </row>
    <row r="8228" spans="1:5" ht="15" customHeight="1" outlineLevel="2" x14ac:dyDescent="0.25">
      <c r="A8228" s="3" t="str">
        <f>HYPERLINK("http://mystore1.ru/price_items/search?utf8=%E2%9C%93&amp;oem=7811LCLM5RD","7811LCLM5RD")</f>
        <v>7811LCLM5RD</v>
      </c>
      <c r="B8228" s="1" t="s">
        <v>15658</v>
      </c>
      <c r="C8228" s="9" t="s">
        <v>511</v>
      </c>
      <c r="D8228" s="14" t="s">
        <v>15659</v>
      </c>
      <c r="E8228" s="9" t="s">
        <v>11</v>
      </c>
    </row>
    <row r="8229" spans="1:5" ht="15" customHeight="1" outlineLevel="2" x14ac:dyDescent="0.25">
      <c r="A8229" s="3" t="str">
        <f>HYPERLINK("http://mystore1.ru/price_items/search?utf8=%E2%9C%93&amp;oem=7811LCLM5RQW","7811LCLM5RQW")</f>
        <v>7811LCLM5RQW</v>
      </c>
      <c r="B8229" s="1" t="s">
        <v>15660</v>
      </c>
      <c r="C8229" s="9" t="s">
        <v>511</v>
      </c>
      <c r="D8229" s="14" t="s">
        <v>15661</v>
      </c>
      <c r="E8229" s="9" t="s">
        <v>11</v>
      </c>
    </row>
    <row r="8230" spans="1:5" ht="15" customHeight="1" outlineLevel="2" x14ac:dyDescent="0.25">
      <c r="A8230" s="3" t="str">
        <f>HYPERLINK("http://mystore1.ru/price_items/search?utf8=%E2%9C%93&amp;oem=7811LGDE5RD","7811LGDE5RD")</f>
        <v>7811LGDE5RD</v>
      </c>
      <c r="B8230" s="1" t="s">
        <v>15662</v>
      </c>
      <c r="C8230" s="9" t="s">
        <v>511</v>
      </c>
      <c r="D8230" s="14" t="s">
        <v>15663</v>
      </c>
      <c r="E8230" s="9" t="s">
        <v>11</v>
      </c>
    </row>
    <row r="8231" spans="1:5" ht="15" customHeight="1" outlineLevel="2" x14ac:dyDescent="0.25">
      <c r="A8231" s="3" t="str">
        <f>HYPERLINK("http://mystore1.ru/price_items/search?utf8=%E2%9C%93&amp;oem=7811LGDM5RD","7811LGDM5RD")</f>
        <v>7811LGDM5RD</v>
      </c>
      <c r="B8231" s="1" t="s">
        <v>15664</v>
      </c>
      <c r="C8231" s="9" t="s">
        <v>511</v>
      </c>
      <c r="D8231" s="14" t="s">
        <v>15665</v>
      </c>
      <c r="E8231" s="9" t="s">
        <v>11</v>
      </c>
    </row>
    <row r="8232" spans="1:5" ht="15" customHeight="1" outlineLevel="2" x14ac:dyDescent="0.25">
      <c r="A8232" s="3" t="str">
        <f>HYPERLINK("http://mystore1.ru/price_items/search?utf8=%E2%9C%93&amp;oem=7811LGDM5RQW","7811LGDM5RQW")</f>
        <v>7811LGDM5RQW</v>
      </c>
      <c r="B8232" s="1" t="s">
        <v>15666</v>
      </c>
      <c r="C8232" s="9" t="s">
        <v>511</v>
      </c>
      <c r="D8232" s="14" t="s">
        <v>15667</v>
      </c>
      <c r="E8232" s="9" t="s">
        <v>11</v>
      </c>
    </row>
    <row r="8233" spans="1:5" ht="15" customHeight="1" outlineLevel="2" x14ac:dyDescent="0.25">
      <c r="A8233" s="3" t="str">
        <f>HYPERLINK("http://mystore1.ru/price_items/search?utf8=%E2%9C%93&amp;oem=7811LGSE5RD","7811LGSE5RD")</f>
        <v>7811LGSE5RD</v>
      </c>
      <c r="B8233" s="1" t="s">
        <v>15668</v>
      </c>
      <c r="C8233" s="9" t="s">
        <v>511</v>
      </c>
      <c r="D8233" s="14" t="s">
        <v>15669</v>
      </c>
      <c r="E8233" s="9" t="s">
        <v>11</v>
      </c>
    </row>
    <row r="8234" spans="1:5" ht="15" customHeight="1" outlineLevel="2" x14ac:dyDescent="0.25">
      <c r="A8234" s="3" t="str">
        <f>HYPERLINK("http://mystore1.ru/price_items/search?utf8=%E2%9C%93&amp;oem=7811LGSH5FDW","7811LGSH5FDW")</f>
        <v>7811LGSH5FDW</v>
      </c>
      <c r="B8234" s="1" t="s">
        <v>15670</v>
      </c>
      <c r="C8234" s="9" t="s">
        <v>511</v>
      </c>
      <c r="D8234" s="14" t="s">
        <v>15671</v>
      </c>
      <c r="E8234" s="9" t="s">
        <v>11</v>
      </c>
    </row>
    <row r="8235" spans="1:5" ht="15" customHeight="1" outlineLevel="2" x14ac:dyDescent="0.25">
      <c r="A8235" s="3" t="str">
        <f>HYPERLINK("http://mystore1.ru/price_items/search?utf8=%E2%9C%93&amp;oem=7811LGSH5RD","7811LGSH5RD")</f>
        <v>7811LGSH5RD</v>
      </c>
      <c r="B8235" s="1" t="s">
        <v>15672</v>
      </c>
      <c r="C8235" s="9" t="s">
        <v>511</v>
      </c>
      <c r="D8235" s="14" t="s">
        <v>15669</v>
      </c>
      <c r="E8235" s="9" t="s">
        <v>11</v>
      </c>
    </row>
    <row r="8236" spans="1:5" ht="15" customHeight="1" outlineLevel="2" x14ac:dyDescent="0.25">
      <c r="A8236" s="3" t="str">
        <f>HYPERLINK("http://mystore1.ru/price_items/search?utf8=%E2%9C%93&amp;oem=7811LGSH5RVZ","7811LGSH5RVZ")</f>
        <v>7811LGSH5RVZ</v>
      </c>
      <c r="B8236" s="1" t="s">
        <v>15673</v>
      </c>
      <c r="C8236" s="9" t="s">
        <v>511</v>
      </c>
      <c r="D8236" s="14" t="s">
        <v>15674</v>
      </c>
      <c r="E8236" s="9" t="s">
        <v>11</v>
      </c>
    </row>
    <row r="8237" spans="1:5" ht="15" customHeight="1" outlineLevel="2" x14ac:dyDescent="0.25">
      <c r="A8237" s="3" t="str">
        <f>HYPERLINK("http://mystore1.ru/price_items/search?utf8=%E2%9C%93&amp;oem=7811LGSM5FDW","7811LGSM5FDW")</f>
        <v>7811LGSM5FDW</v>
      </c>
      <c r="B8237" s="1" t="s">
        <v>15675</v>
      </c>
      <c r="C8237" s="9" t="s">
        <v>511</v>
      </c>
      <c r="D8237" s="14" t="s">
        <v>15671</v>
      </c>
      <c r="E8237" s="9" t="s">
        <v>11</v>
      </c>
    </row>
    <row r="8238" spans="1:5" ht="15" customHeight="1" outlineLevel="2" x14ac:dyDescent="0.25">
      <c r="A8238" s="3" t="str">
        <f>HYPERLINK("http://mystore1.ru/price_items/search?utf8=%E2%9C%93&amp;oem=7811LGSM5FDW1H","7811LGSM5FDW1H")</f>
        <v>7811LGSM5FDW1H</v>
      </c>
      <c r="B8238" s="1" t="s">
        <v>15676</v>
      </c>
      <c r="C8238" s="9" t="s">
        <v>511</v>
      </c>
      <c r="D8238" s="14" t="s">
        <v>15677</v>
      </c>
      <c r="E8238" s="9" t="s">
        <v>11</v>
      </c>
    </row>
    <row r="8239" spans="1:5" ht="15" customHeight="1" outlineLevel="2" x14ac:dyDescent="0.25">
      <c r="A8239" s="3" t="str">
        <f>HYPERLINK("http://mystore1.ru/price_items/search?utf8=%E2%9C%93&amp;oem=7811LGSM5RD","7811LGSM5RD")</f>
        <v>7811LGSM5RD</v>
      </c>
      <c r="B8239" s="1" t="s">
        <v>15678</v>
      </c>
      <c r="C8239" s="9" t="s">
        <v>511</v>
      </c>
      <c r="D8239" s="14" t="s">
        <v>15679</v>
      </c>
      <c r="E8239" s="9" t="s">
        <v>11</v>
      </c>
    </row>
    <row r="8240" spans="1:5" ht="15" customHeight="1" outlineLevel="2" x14ac:dyDescent="0.25">
      <c r="A8240" s="3" t="str">
        <f>HYPERLINK("http://mystore1.ru/price_items/search?utf8=%E2%9C%93&amp;oem=7811LGSM5RQW","7811LGSM5RQW")</f>
        <v>7811LGSM5RQW</v>
      </c>
      <c r="B8240" s="1" t="s">
        <v>15680</v>
      </c>
      <c r="C8240" s="9" t="s">
        <v>511</v>
      </c>
      <c r="D8240" s="14" t="s">
        <v>15681</v>
      </c>
      <c r="E8240" s="9" t="s">
        <v>11</v>
      </c>
    </row>
    <row r="8241" spans="1:5" ht="15" customHeight="1" outlineLevel="2" x14ac:dyDescent="0.25">
      <c r="A8241" s="3" t="str">
        <f>HYPERLINK("http://mystore1.ru/price_items/search?utf8=%E2%9C%93&amp;oem=7811RCLE5RD","7811RCLE5RD")</f>
        <v>7811RCLE5RD</v>
      </c>
      <c r="B8241" s="1" t="s">
        <v>15682</v>
      </c>
      <c r="C8241" s="9" t="s">
        <v>511</v>
      </c>
      <c r="D8241" s="14" t="s">
        <v>15683</v>
      </c>
      <c r="E8241" s="9" t="s">
        <v>11</v>
      </c>
    </row>
    <row r="8242" spans="1:5" ht="15" customHeight="1" outlineLevel="2" x14ac:dyDescent="0.25">
      <c r="A8242" s="3" t="str">
        <f>HYPERLINK("http://mystore1.ru/price_items/search?utf8=%E2%9C%93&amp;oem=7811RCLM5FDW","7811RCLM5FDW")</f>
        <v>7811RCLM5FDW</v>
      </c>
      <c r="B8242" s="1" t="s">
        <v>15684</v>
      </c>
      <c r="C8242" s="9" t="s">
        <v>511</v>
      </c>
      <c r="D8242" s="14" t="s">
        <v>15685</v>
      </c>
      <c r="E8242" s="9" t="s">
        <v>11</v>
      </c>
    </row>
    <row r="8243" spans="1:5" ht="15" customHeight="1" outlineLevel="2" x14ac:dyDescent="0.25">
      <c r="A8243" s="3" t="str">
        <f>HYPERLINK("http://mystore1.ru/price_items/search?utf8=%E2%9C%93&amp;oem=7811RCLM5FDW1H","7811RCLM5FDW1H")</f>
        <v>7811RCLM5FDW1H</v>
      </c>
      <c r="B8243" s="1" t="s">
        <v>15686</v>
      </c>
      <c r="C8243" s="9" t="s">
        <v>511</v>
      </c>
      <c r="D8243" s="14" t="s">
        <v>15687</v>
      </c>
      <c r="E8243" s="9" t="s">
        <v>11</v>
      </c>
    </row>
    <row r="8244" spans="1:5" ht="15" customHeight="1" outlineLevel="2" x14ac:dyDescent="0.25">
      <c r="A8244" s="3" t="str">
        <f>HYPERLINK("http://mystore1.ru/price_items/search?utf8=%E2%9C%93&amp;oem=7811RCLM5RD","7811RCLM5RD")</f>
        <v>7811RCLM5RD</v>
      </c>
      <c r="B8244" s="1" t="s">
        <v>15688</v>
      </c>
      <c r="C8244" s="9" t="s">
        <v>511</v>
      </c>
      <c r="D8244" s="14" t="s">
        <v>15683</v>
      </c>
      <c r="E8244" s="9" t="s">
        <v>11</v>
      </c>
    </row>
    <row r="8245" spans="1:5" ht="15" customHeight="1" outlineLevel="2" x14ac:dyDescent="0.25">
      <c r="A8245" s="3" t="str">
        <f>HYPERLINK("http://mystore1.ru/price_items/search?utf8=%E2%9C%93&amp;oem=7811RCLM5RQW","7811RCLM5RQW")</f>
        <v>7811RCLM5RQW</v>
      </c>
      <c r="B8245" s="1" t="s">
        <v>15689</v>
      </c>
      <c r="C8245" s="9" t="s">
        <v>511</v>
      </c>
      <c r="D8245" s="14" t="s">
        <v>15690</v>
      </c>
      <c r="E8245" s="9" t="s">
        <v>11</v>
      </c>
    </row>
    <row r="8246" spans="1:5" ht="15" customHeight="1" outlineLevel="2" x14ac:dyDescent="0.25">
      <c r="A8246" s="3" t="str">
        <f>HYPERLINK("http://mystore1.ru/price_items/search?utf8=%E2%9C%93&amp;oem=7811RGDE5RD","7811RGDE5RD")</f>
        <v>7811RGDE5RD</v>
      </c>
      <c r="B8246" s="1" t="s">
        <v>15691</v>
      </c>
      <c r="C8246" s="9" t="s">
        <v>511</v>
      </c>
      <c r="D8246" s="14" t="s">
        <v>15692</v>
      </c>
      <c r="E8246" s="9" t="s">
        <v>11</v>
      </c>
    </row>
    <row r="8247" spans="1:5" ht="15" customHeight="1" outlineLevel="2" x14ac:dyDescent="0.25">
      <c r="A8247" s="3" t="str">
        <f>HYPERLINK("http://mystore1.ru/price_items/search?utf8=%E2%9C%93&amp;oem=7811RGDM5RD","7811RGDM5RD")</f>
        <v>7811RGDM5RD</v>
      </c>
      <c r="B8247" s="1" t="s">
        <v>15693</v>
      </c>
      <c r="C8247" s="9" t="s">
        <v>511</v>
      </c>
      <c r="D8247" s="14" t="s">
        <v>15694</v>
      </c>
      <c r="E8247" s="9" t="s">
        <v>11</v>
      </c>
    </row>
    <row r="8248" spans="1:5" ht="15" customHeight="1" outlineLevel="2" x14ac:dyDescent="0.25">
      <c r="A8248" s="3" t="str">
        <f>HYPERLINK("http://mystore1.ru/price_items/search?utf8=%E2%9C%93&amp;oem=7811RGDM5RQW","7811RGDM5RQW")</f>
        <v>7811RGDM5RQW</v>
      </c>
      <c r="B8248" s="1" t="s">
        <v>15695</v>
      </c>
      <c r="C8248" s="9" t="s">
        <v>511</v>
      </c>
      <c r="D8248" s="14" t="s">
        <v>15696</v>
      </c>
      <c r="E8248" s="9" t="s">
        <v>11</v>
      </c>
    </row>
    <row r="8249" spans="1:5" ht="15" customHeight="1" outlineLevel="2" x14ac:dyDescent="0.25">
      <c r="A8249" s="3" t="str">
        <f>HYPERLINK("http://mystore1.ru/price_items/search?utf8=%E2%9C%93&amp;oem=7811RGSE5RD","7811RGSE5RD")</f>
        <v>7811RGSE5RD</v>
      </c>
      <c r="B8249" s="1" t="s">
        <v>15697</v>
      </c>
      <c r="C8249" s="9" t="s">
        <v>511</v>
      </c>
      <c r="D8249" s="14" t="s">
        <v>15692</v>
      </c>
      <c r="E8249" s="9" t="s">
        <v>11</v>
      </c>
    </row>
    <row r="8250" spans="1:5" ht="15" customHeight="1" outlineLevel="2" x14ac:dyDescent="0.25">
      <c r="A8250" s="3" t="str">
        <f>HYPERLINK("http://mystore1.ru/price_items/search?utf8=%E2%9C%93&amp;oem=7811RGSE5RQZ","7811RGSE5RQZ")</f>
        <v>7811RGSE5RQZ</v>
      </c>
      <c r="B8250" s="1" t="s">
        <v>15698</v>
      </c>
      <c r="C8250" s="9" t="s">
        <v>511</v>
      </c>
      <c r="D8250" s="14" t="s">
        <v>15699</v>
      </c>
      <c r="E8250" s="9" t="s">
        <v>11</v>
      </c>
    </row>
    <row r="8251" spans="1:5" ht="15" customHeight="1" outlineLevel="2" x14ac:dyDescent="0.25">
      <c r="A8251" s="3" t="str">
        <f>HYPERLINK("http://mystore1.ru/price_items/search?utf8=%E2%9C%93&amp;oem=7811RGSH5FDW","7811RGSH5FDW")</f>
        <v>7811RGSH5FDW</v>
      </c>
      <c r="B8251" s="1" t="s">
        <v>15700</v>
      </c>
      <c r="C8251" s="9" t="s">
        <v>511</v>
      </c>
      <c r="D8251" s="14" t="s">
        <v>15701</v>
      </c>
      <c r="E8251" s="9" t="s">
        <v>11</v>
      </c>
    </row>
    <row r="8252" spans="1:5" ht="15" customHeight="1" outlineLevel="2" x14ac:dyDescent="0.25">
      <c r="A8252" s="3" t="str">
        <f>HYPERLINK("http://mystore1.ru/price_items/search?utf8=%E2%9C%93&amp;oem=7811RGSH5RD","7811RGSH5RD")</f>
        <v>7811RGSH5RD</v>
      </c>
      <c r="B8252" s="1" t="s">
        <v>15702</v>
      </c>
      <c r="C8252" s="9" t="s">
        <v>511</v>
      </c>
      <c r="D8252" s="14" t="s">
        <v>15703</v>
      </c>
      <c r="E8252" s="9" t="s">
        <v>11</v>
      </c>
    </row>
    <row r="8253" spans="1:5" ht="15" customHeight="1" outlineLevel="2" x14ac:dyDescent="0.25">
      <c r="A8253" s="3" t="str">
        <f>HYPERLINK("http://mystore1.ru/price_items/search?utf8=%E2%9C%93&amp;oem=7811RGSH5RVZ","7811RGSH5RVZ")</f>
        <v>7811RGSH5RVZ</v>
      </c>
      <c r="B8253" s="1" t="s">
        <v>15704</v>
      </c>
      <c r="C8253" s="9" t="s">
        <v>511</v>
      </c>
      <c r="D8253" s="14" t="s">
        <v>15705</v>
      </c>
      <c r="E8253" s="9" t="s">
        <v>11</v>
      </c>
    </row>
    <row r="8254" spans="1:5" ht="15" customHeight="1" outlineLevel="2" x14ac:dyDescent="0.25">
      <c r="A8254" s="3" t="str">
        <f>HYPERLINK("http://mystore1.ru/price_items/search?utf8=%E2%9C%93&amp;oem=7811RGSM5FDW","7811RGSM5FDW")</f>
        <v>7811RGSM5FDW</v>
      </c>
      <c r="B8254" s="1" t="s">
        <v>15706</v>
      </c>
      <c r="C8254" s="9" t="s">
        <v>511</v>
      </c>
      <c r="D8254" s="14" t="s">
        <v>15701</v>
      </c>
      <c r="E8254" s="9" t="s">
        <v>11</v>
      </c>
    </row>
    <row r="8255" spans="1:5" ht="15" customHeight="1" outlineLevel="2" x14ac:dyDescent="0.25">
      <c r="A8255" s="3" t="str">
        <f>HYPERLINK("http://mystore1.ru/price_items/search?utf8=%E2%9C%93&amp;oem=7811RGSM5FDW1H","7811RGSM5FDW1H")</f>
        <v>7811RGSM5FDW1H</v>
      </c>
      <c r="B8255" s="1" t="s">
        <v>15707</v>
      </c>
      <c r="C8255" s="9" t="s">
        <v>511</v>
      </c>
      <c r="D8255" s="14" t="s">
        <v>15708</v>
      </c>
      <c r="E8255" s="9" t="s">
        <v>11</v>
      </c>
    </row>
    <row r="8256" spans="1:5" ht="15" customHeight="1" outlineLevel="2" x14ac:dyDescent="0.25">
      <c r="A8256" s="3" t="str">
        <f>HYPERLINK("http://mystore1.ru/price_items/search?utf8=%E2%9C%93&amp;oem=7811RGSM5RD","7811RGSM5RD")</f>
        <v>7811RGSM5RD</v>
      </c>
      <c r="B8256" s="1" t="s">
        <v>15709</v>
      </c>
      <c r="C8256" s="9" t="s">
        <v>511</v>
      </c>
      <c r="D8256" s="14" t="s">
        <v>15710</v>
      </c>
      <c r="E8256" s="9" t="s">
        <v>11</v>
      </c>
    </row>
    <row r="8257" spans="1:5" ht="15" customHeight="1" outlineLevel="2" x14ac:dyDescent="0.25">
      <c r="A8257" s="3" t="str">
        <f>HYPERLINK("http://mystore1.ru/price_items/search?utf8=%E2%9C%93&amp;oem=7811RGSM5RQW","7811RGSM5RQW")</f>
        <v>7811RGSM5RQW</v>
      </c>
      <c r="B8257" s="1" t="s">
        <v>15711</v>
      </c>
      <c r="C8257" s="9" t="s">
        <v>511</v>
      </c>
      <c r="D8257" s="14" t="s">
        <v>15712</v>
      </c>
      <c r="E8257" s="9" t="s">
        <v>11</v>
      </c>
    </row>
    <row r="8258" spans="1:5" outlineLevel="1" x14ac:dyDescent="0.25">
      <c r="A8258" s="2"/>
      <c r="B8258" s="6" t="s">
        <v>15713</v>
      </c>
      <c r="C8258" s="8"/>
      <c r="D8258" s="8"/>
      <c r="E8258" s="8"/>
    </row>
    <row r="8259" spans="1:5" ht="15" customHeight="1" outlineLevel="2" x14ac:dyDescent="0.25">
      <c r="A8259" s="3" t="str">
        <f>HYPERLINK("http://mystore1.ru/price_items/search?utf8=%E2%9C%93&amp;oem=7811ACLAVW","7811ACLAVW")</f>
        <v>7811ACLAVW</v>
      </c>
      <c r="B8259" s="1" t="s">
        <v>15714</v>
      </c>
      <c r="C8259" s="9" t="s">
        <v>601</v>
      </c>
      <c r="D8259" s="14" t="s">
        <v>15715</v>
      </c>
      <c r="E8259" s="9" t="s">
        <v>8</v>
      </c>
    </row>
    <row r="8260" spans="1:5" ht="15" customHeight="1" outlineLevel="2" x14ac:dyDescent="0.25">
      <c r="A8260" s="3" t="str">
        <f>HYPERLINK("http://mystore1.ru/price_items/search?utf8=%E2%9C%93&amp;oem=7811AGSAVW","7811AGSAVW")</f>
        <v>7811AGSAVW</v>
      </c>
      <c r="B8260" s="1" t="s">
        <v>15716</v>
      </c>
      <c r="C8260" s="9" t="s">
        <v>601</v>
      </c>
      <c r="D8260" s="14" t="s">
        <v>15717</v>
      </c>
      <c r="E8260" s="9" t="s">
        <v>8</v>
      </c>
    </row>
    <row r="8261" spans="1:5" outlineLevel="1" x14ac:dyDescent="0.25">
      <c r="A8261" s="2"/>
      <c r="B8261" s="6" t="s">
        <v>15718</v>
      </c>
      <c r="C8261" s="47"/>
      <c r="D8261" s="8"/>
      <c r="E8261" s="8"/>
    </row>
    <row r="8262" spans="1:5" ht="15" customHeight="1" outlineLevel="2" x14ac:dyDescent="0.25">
      <c r="A8262" s="3" t="str">
        <f>HYPERLINK("http://mystore1.ru/price_items/search?utf8=%E2%9C%93&amp;oem=7806ACL","7806ACL")</f>
        <v>7806ACL</v>
      </c>
      <c r="B8262" s="1" t="s">
        <v>15719</v>
      </c>
      <c r="C8262" s="9" t="s">
        <v>9332</v>
      </c>
      <c r="D8262" s="14" t="s">
        <v>15720</v>
      </c>
      <c r="E8262" s="9" t="s">
        <v>8</v>
      </c>
    </row>
    <row r="8263" spans="1:5" ht="15" customHeight="1" outlineLevel="2" x14ac:dyDescent="0.25">
      <c r="A8263" s="3" t="str">
        <f>HYPERLINK("http://mystore1.ru/price_items/search?utf8=%E2%9C%93&amp;oem=7806ACL1P","7806ACL1P")</f>
        <v>7806ACL1P</v>
      </c>
      <c r="B8263" s="1" t="s">
        <v>15721</v>
      </c>
      <c r="C8263" s="9" t="s">
        <v>9332</v>
      </c>
      <c r="D8263" s="14" t="s">
        <v>15722</v>
      </c>
      <c r="E8263" s="9" t="s">
        <v>8</v>
      </c>
    </row>
    <row r="8264" spans="1:5" ht="15" customHeight="1" outlineLevel="2" x14ac:dyDescent="0.25">
      <c r="A8264" s="3" t="str">
        <f>HYPERLINK("http://mystore1.ru/price_items/search?utf8=%E2%9C%93&amp;oem=7806AGN","7806AGN")</f>
        <v>7806AGN</v>
      </c>
      <c r="B8264" s="1" t="s">
        <v>15723</v>
      </c>
      <c r="C8264" s="9" t="s">
        <v>9332</v>
      </c>
      <c r="D8264" s="14" t="s">
        <v>15724</v>
      </c>
      <c r="E8264" s="9" t="s">
        <v>8</v>
      </c>
    </row>
    <row r="8265" spans="1:5" ht="15" customHeight="1" outlineLevel="2" x14ac:dyDescent="0.25">
      <c r="A8265" s="3" t="str">
        <f>HYPERLINK("http://mystore1.ru/price_items/search?utf8=%E2%9C%93&amp;oem=7806AGN1P","7806AGN1P")</f>
        <v>7806AGN1P</v>
      </c>
      <c r="B8265" s="1" t="s">
        <v>15725</v>
      </c>
      <c r="C8265" s="9" t="s">
        <v>9332</v>
      </c>
      <c r="D8265" s="14" t="s">
        <v>15726</v>
      </c>
      <c r="E8265" s="9" t="s">
        <v>8</v>
      </c>
    </row>
    <row r="8266" spans="1:5" ht="15" customHeight="1" outlineLevel="2" x14ac:dyDescent="0.25">
      <c r="A8266" s="3" t="str">
        <f>HYPERLINK("http://mystore1.ru/price_items/search?utf8=%E2%9C%93&amp;oem=7806AGNBL1P","7806AGNBL1P")</f>
        <v>7806AGNBL1P</v>
      </c>
      <c r="B8266" s="1" t="s">
        <v>15727</v>
      </c>
      <c r="C8266" s="9" t="s">
        <v>9332</v>
      </c>
      <c r="D8266" s="14" t="s">
        <v>15728</v>
      </c>
      <c r="E8266" s="9" t="s">
        <v>8</v>
      </c>
    </row>
    <row r="8267" spans="1:5" ht="15" customHeight="1" outlineLevel="2" x14ac:dyDescent="0.25">
      <c r="A8267" s="3" t="str">
        <f>HYPERLINK("http://mystore1.ru/price_items/search?utf8=%E2%9C%93&amp;oem=7806AGNGN","7806AGNGN")</f>
        <v>7806AGNGN</v>
      </c>
      <c r="B8267" s="1" t="s">
        <v>15729</v>
      </c>
      <c r="C8267" s="9" t="s">
        <v>9332</v>
      </c>
      <c r="D8267" s="14" t="s">
        <v>15730</v>
      </c>
      <c r="E8267" s="9" t="s">
        <v>8</v>
      </c>
    </row>
    <row r="8268" spans="1:5" ht="15" customHeight="1" outlineLevel="2" x14ac:dyDescent="0.25">
      <c r="A8268" s="3" t="str">
        <f>HYPERLINK("http://mystore1.ru/price_items/search?utf8=%E2%9C%93&amp;oem=7806AGNGN1P","7806AGNGN1P")</f>
        <v>7806AGNGN1P</v>
      </c>
      <c r="B8268" s="1" t="s">
        <v>15731</v>
      </c>
      <c r="C8268" s="9" t="s">
        <v>9332</v>
      </c>
      <c r="D8268" s="14" t="s">
        <v>15732</v>
      </c>
      <c r="E8268" s="9" t="s">
        <v>8</v>
      </c>
    </row>
    <row r="8269" spans="1:5" ht="15" customHeight="1" outlineLevel="2" x14ac:dyDescent="0.25">
      <c r="A8269" s="3" t="str">
        <f>HYPERLINK("http://mystore1.ru/price_items/search?utf8=%E2%9C%93&amp;oem=7806ASRH","7806ASRH")</f>
        <v>7806ASRH</v>
      </c>
      <c r="B8269" s="1" t="s">
        <v>15733</v>
      </c>
      <c r="C8269" s="9" t="s">
        <v>25</v>
      </c>
      <c r="D8269" s="14" t="s">
        <v>15734</v>
      </c>
      <c r="E8269" s="9" t="s">
        <v>27</v>
      </c>
    </row>
    <row r="8270" spans="1:5" ht="15" customHeight="1" outlineLevel="2" x14ac:dyDescent="0.25">
      <c r="A8270" s="3" t="str">
        <f>HYPERLINK("http://mystore1.ru/price_items/search?utf8=%E2%9C%93&amp;oem=7806BCLH","7806BCLH")</f>
        <v>7806BCLH</v>
      </c>
      <c r="B8270" s="1" t="s">
        <v>15735</v>
      </c>
      <c r="C8270" s="9" t="s">
        <v>9332</v>
      </c>
      <c r="D8270" s="14" t="s">
        <v>15736</v>
      </c>
      <c r="E8270" s="9" t="s">
        <v>30</v>
      </c>
    </row>
    <row r="8271" spans="1:5" ht="15" customHeight="1" outlineLevel="2" x14ac:dyDescent="0.25">
      <c r="A8271" s="3" t="str">
        <f>HYPERLINK("http://mystore1.ru/price_items/search?utf8=%E2%9C%93&amp;oem=7806BCLH1J","7806BCLH1J")</f>
        <v>7806BCLH1J</v>
      </c>
      <c r="B8271" s="1" t="s">
        <v>15737</v>
      </c>
      <c r="C8271" s="9" t="s">
        <v>9332</v>
      </c>
      <c r="D8271" s="14" t="s">
        <v>15738</v>
      </c>
      <c r="E8271" s="9" t="s">
        <v>30</v>
      </c>
    </row>
    <row r="8272" spans="1:5" ht="15" customHeight="1" outlineLevel="2" x14ac:dyDescent="0.25">
      <c r="A8272" s="3" t="str">
        <f>HYPERLINK("http://mystore1.ru/price_items/search?utf8=%E2%9C%93&amp;oem=7806BGNH1J","7806BGNH1J")</f>
        <v>7806BGNH1J</v>
      </c>
      <c r="B8272" s="1" t="s">
        <v>15739</v>
      </c>
      <c r="C8272" s="9" t="s">
        <v>9332</v>
      </c>
      <c r="D8272" s="14" t="s">
        <v>15740</v>
      </c>
      <c r="E8272" s="9" t="s">
        <v>30</v>
      </c>
    </row>
    <row r="8273" spans="1:5" ht="15" customHeight="1" outlineLevel="2" x14ac:dyDescent="0.25">
      <c r="A8273" s="3" t="str">
        <f>HYPERLINK("http://mystore1.ru/price_items/search?utf8=%E2%9C%93&amp;oem=7806LCLE5RQZ1J","7806LCLE5RQZ1J")</f>
        <v>7806LCLE5RQZ1J</v>
      </c>
      <c r="B8273" s="1" t="s">
        <v>15741</v>
      </c>
      <c r="C8273" s="9" t="s">
        <v>9332</v>
      </c>
      <c r="D8273" s="14" t="s">
        <v>15742</v>
      </c>
      <c r="E8273" s="9" t="s">
        <v>11</v>
      </c>
    </row>
    <row r="8274" spans="1:5" ht="15" customHeight="1" outlineLevel="2" x14ac:dyDescent="0.25">
      <c r="A8274" s="3" t="str">
        <f>HYPERLINK("http://mystore1.ru/price_items/search?utf8=%E2%9C%93&amp;oem=7806LCLH5FD","7806LCLH5FD")</f>
        <v>7806LCLH5FD</v>
      </c>
      <c r="B8274" s="1" t="s">
        <v>15743</v>
      </c>
      <c r="C8274" s="9" t="s">
        <v>9332</v>
      </c>
      <c r="D8274" s="14" t="s">
        <v>15744</v>
      </c>
      <c r="E8274" s="9" t="s">
        <v>11</v>
      </c>
    </row>
    <row r="8275" spans="1:5" ht="15" customHeight="1" outlineLevel="2" x14ac:dyDescent="0.25">
      <c r="A8275" s="3" t="str">
        <f>HYPERLINK("http://mystore1.ru/price_items/search?utf8=%E2%9C%93&amp;oem=7806LCLH5FD1J","7806LCLH5FD1J")</f>
        <v>7806LCLH5FD1J</v>
      </c>
      <c r="B8275" s="1" t="s">
        <v>15745</v>
      </c>
      <c r="C8275" s="9" t="s">
        <v>9332</v>
      </c>
      <c r="D8275" s="14" t="s">
        <v>15746</v>
      </c>
      <c r="E8275" s="9" t="s">
        <v>11</v>
      </c>
    </row>
    <row r="8276" spans="1:5" ht="15" customHeight="1" outlineLevel="2" x14ac:dyDescent="0.25">
      <c r="A8276" s="3" t="str">
        <f>HYPERLINK("http://mystore1.ru/price_items/search?utf8=%E2%9C%93&amp;oem=7806LCLH5RD1J","7806LCLH5RD1J")</f>
        <v>7806LCLH5RD1J</v>
      </c>
      <c r="B8276" s="1" t="s">
        <v>15747</v>
      </c>
      <c r="C8276" s="9" t="s">
        <v>9332</v>
      </c>
      <c r="D8276" s="14" t="s">
        <v>15748</v>
      </c>
      <c r="E8276" s="9" t="s">
        <v>11</v>
      </c>
    </row>
    <row r="8277" spans="1:5" ht="15" customHeight="1" outlineLevel="2" x14ac:dyDescent="0.25">
      <c r="A8277" s="3" t="str">
        <f>HYPERLINK("http://mystore1.ru/price_items/search?utf8=%E2%9C%93&amp;oem=7806LCLH5RD","7806LCLH5RD")</f>
        <v>7806LCLH5RD</v>
      </c>
      <c r="B8277" s="1" t="s">
        <v>15749</v>
      </c>
      <c r="C8277" s="9" t="s">
        <v>9332</v>
      </c>
      <c r="D8277" s="14" t="s">
        <v>15750</v>
      </c>
      <c r="E8277" s="9" t="s">
        <v>11</v>
      </c>
    </row>
    <row r="8278" spans="1:5" ht="15" customHeight="1" outlineLevel="2" x14ac:dyDescent="0.25">
      <c r="A8278" s="3" t="str">
        <f>HYPERLINK("http://mystore1.ru/price_items/search?utf8=%E2%9C%93&amp;oem=7806LCLH5RV1J","7806LCLH5RV1J")</f>
        <v>7806LCLH5RV1J</v>
      </c>
      <c r="B8278" s="1" t="s">
        <v>15751</v>
      </c>
      <c r="C8278" s="9" t="s">
        <v>9332</v>
      </c>
      <c r="D8278" s="14" t="s">
        <v>15752</v>
      </c>
      <c r="E8278" s="9" t="s">
        <v>11</v>
      </c>
    </row>
    <row r="8279" spans="1:5" ht="15" customHeight="1" outlineLevel="2" x14ac:dyDescent="0.25">
      <c r="A8279" s="3" t="str">
        <f>HYPERLINK("http://mystore1.ru/price_items/search?utf8=%E2%9C%93&amp;oem=7806LGNE5RQZ1J","7806LGNE5RQZ1J")</f>
        <v>7806LGNE5RQZ1J</v>
      </c>
      <c r="B8279" s="1" t="s">
        <v>15753</v>
      </c>
      <c r="C8279" s="9" t="s">
        <v>9332</v>
      </c>
      <c r="D8279" s="14" t="s">
        <v>15754</v>
      </c>
      <c r="E8279" s="9" t="s">
        <v>11</v>
      </c>
    </row>
    <row r="8280" spans="1:5" ht="15" customHeight="1" outlineLevel="2" x14ac:dyDescent="0.25">
      <c r="A8280" s="3" t="str">
        <f>HYPERLINK("http://mystore1.ru/price_items/search?utf8=%E2%9C%93&amp;oem=7806LGNH5FD","7806LGNH5FD")</f>
        <v>7806LGNH5FD</v>
      </c>
      <c r="B8280" s="1" t="s">
        <v>15755</v>
      </c>
      <c r="C8280" s="9" t="s">
        <v>9332</v>
      </c>
      <c r="D8280" s="14" t="s">
        <v>15756</v>
      </c>
      <c r="E8280" s="9" t="s">
        <v>11</v>
      </c>
    </row>
    <row r="8281" spans="1:5" ht="15" customHeight="1" outlineLevel="2" x14ac:dyDescent="0.25">
      <c r="A8281" s="3" t="str">
        <f>HYPERLINK("http://mystore1.ru/price_items/search?utf8=%E2%9C%93&amp;oem=7806LGNH5FD1J","7806LGNH5FD1J")</f>
        <v>7806LGNH5FD1J</v>
      </c>
      <c r="B8281" s="1" t="s">
        <v>15757</v>
      </c>
      <c r="C8281" s="9" t="s">
        <v>9332</v>
      </c>
      <c r="D8281" s="14" t="s">
        <v>15758</v>
      </c>
      <c r="E8281" s="9" t="s">
        <v>11</v>
      </c>
    </row>
    <row r="8282" spans="1:5" ht="15" customHeight="1" outlineLevel="2" x14ac:dyDescent="0.25">
      <c r="A8282" s="3" t="str">
        <f>HYPERLINK("http://mystore1.ru/price_items/search?utf8=%E2%9C%93&amp;oem=7806LGNH5RD","7806LGNH5RD")</f>
        <v>7806LGNH5RD</v>
      </c>
      <c r="B8282" s="1" t="s">
        <v>15759</v>
      </c>
      <c r="C8282" s="9" t="s">
        <v>9332</v>
      </c>
      <c r="D8282" s="14" t="s">
        <v>15760</v>
      </c>
      <c r="E8282" s="9" t="s">
        <v>11</v>
      </c>
    </row>
    <row r="8283" spans="1:5" ht="15" customHeight="1" outlineLevel="2" x14ac:dyDescent="0.25">
      <c r="A8283" s="3" t="str">
        <f>HYPERLINK("http://mystore1.ru/price_items/search?utf8=%E2%9C%93&amp;oem=7806LGNH5RD1J","7806LGNH5RD1J")</f>
        <v>7806LGNH5RD1J</v>
      </c>
      <c r="B8283" s="1" t="s">
        <v>15761</v>
      </c>
      <c r="C8283" s="9" t="s">
        <v>9332</v>
      </c>
      <c r="D8283" s="14" t="s">
        <v>15762</v>
      </c>
      <c r="E8283" s="9" t="s">
        <v>11</v>
      </c>
    </row>
    <row r="8284" spans="1:5" ht="15" customHeight="1" outlineLevel="2" x14ac:dyDescent="0.25">
      <c r="A8284" s="3" t="str">
        <f>HYPERLINK("http://mystore1.ru/price_items/search?utf8=%E2%9C%93&amp;oem=7806LGNH5RV1J","7806LGNH5RV1J")</f>
        <v>7806LGNH5RV1J</v>
      </c>
      <c r="B8284" s="1" t="s">
        <v>15763</v>
      </c>
      <c r="C8284" s="9" t="s">
        <v>9332</v>
      </c>
      <c r="D8284" s="14" t="s">
        <v>15764</v>
      </c>
      <c r="E8284" s="9" t="s">
        <v>11</v>
      </c>
    </row>
    <row r="8285" spans="1:5" ht="15" customHeight="1" outlineLevel="2" x14ac:dyDescent="0.25">
      <c r="A8285" s="3" t="str">
        <f>HYPERLINK("http://mystore1.ru/price_items/search?utf8=%E2%9C%93&amp;oem=7806RCLE5RQZ1J","7806RCLE5RQZ1J")</f>
        <v>7806RCLE5RQZ1J</v>
      </c>
      <c r="B8285" s="1" t="s">
        <v>15765</v>
      </c>
      <c r="C8285" s="9" t="s">
        <v>9332</v>
      </c>
      <c r="D8285" s="14" t="s">
        <v>15766</v>
      </c>
      <c r="E8285" s="9" t="s">
        <v>11</v>
      </c>
    </row>
    <row r="8286" spans="1:5" ht="15" customHeight="1" outlineLevel="2" x14ac:dyDescent="0.25">
      <c r="A8286" s="3" t="str">
        <f>HYPERLINK("http://mystore1.ru/price_items/search?utf8=%E2%9C%93&amp;oem=7806RCLH5FD","7806RCLH5FD")</f>
        <v>7806RCLH5FD</v>
      </c>
      <c r="B8286" s="1" t="s">
        <v>15767</v>
      </c>
      <c r="C8286" s="9" t="s">
        <v>9332</v>
      </c>
      <c r="D8286" s="14" t="s">
        <v>15768</v>
      </c>
      <c r="E8286" s="9" t="s">
        <v>11</v>
      </c>
    </row>
    <row r="8287" spans="1:5" ht="15" customHeight="1" outlineLevel="2" x14ac:dyDescent="0.25">
      <c r="A8287" s="3" t="str">
        <f>HYPERLINK("http://mystore1.ru/price_items/search?utf8=%E2%9C%93&amp;oem=7806RCLH5FD1J","7806RCLH5FD1J")</f>
        <v>7806RCLH5FD1J</v>
      </c>
      <c r="B8287" s="1" t="s">
        <v>15769</v>
      </c>
      <c r="C8287" s="9" t="s">
        <v>9332</v>
      </c>
      <c r="D8287" s="14" t="s">
        <v>15770</v>
      </c>
      <c r="E8287" s="9" t="s">
        <v>11</v>
      </c>
    </row>
    <row r="8288" spans="1:5" ht="15" customHeight="1" outlineLevel="2" x14ac:dyDescent="0.25">
      <c r="A8288" s="3" t="str">
        <f>HYPERLINK("http://mystore1.ru/price_items/search?utf8=%E2%9C%93&amp;oem=7806RCLH5RD1J","7806RCLH5RD1J")</f>
        <v>7806RCLH5RD1J</v>
      </c>
      <c r="B8288" s="1" t="s">
        <v>15771</v>
      </c>
      <c r="C8288" s="9" t="s">
        <v>9332</v>
      </c>
      <c r="D8288" s="14" t="s">
        <v>15772</v>
      </c>
      <c r="E8288" s="9" t="s">
        <v>11</v>
      </c>
    </row>
    <row r="8289" spans="1:5" ht="15" customHeight="1" outlineLevel="2" x14ac:dyDescent="0.25">
      <c r="A8289" s="3" t="str">
        <f>HYPERLINK("http://mystore1.ru/price_items/search?utf8=%E2%9C%93&amp;oem=7806RCLH5RV1J","7806RCLH5RV1J")</f>
        <v>7806RCLH5RV1J</v>
      </c>
      <c r="B8289" s="1" t="s">
        <v>15773</v>
      </c>
      <c r="C8289" s="9" t="s">
        <v>9332</v>
      </c>
      <c r="D8289" s="14" t="s">
        <v>15774</v>
      </c>
      <c r="E8289" s="9" t="s">
        <v>11</v>
      </c>
    </row>
    <row r="8290" spans="1:5" ht="15" customHeight="1" outlineLevel="2" x14ac:dyDescent="0.25">
      <c r="A8290" s="3" t="str">
        <f>HYPERLINK("http://mystore1.ru/price_items/search?utf8=%E2%9C%93&amp;oem=7806RGNE5RQZ1J","7806RGNE5RQZ1J")</f>
        <v>7806RGNE5RQZ1J</v>
      </c>
      <c r="B8290" s="1" t="s">
        <v>15775</v>
      </c>
      <c r="C8290" s="9" t="s">
        <v>9332</v>
      </c>
      <c r="D8290" s="14" t="s">
        <v>15776</v>
      </c>
      <c r="E8290" s="9" t="s">
        <v>11</v>
      </c>
    </row>
    <row r="8291" spans="1:5" ht="15" customHeight="1" outlineLevel="2" x14ac:dyDescent="0.25">
      <c r="A8291" s="3" t="str">
        <f>HYPERLINK("http://mystore1.ru/price_items/search?utf8=%E2%9C%93&amp;oem=7806RGNH5FD","7806RGNH5FD")</f>
        <v>7806RGNH5FD</v>
      </c>
      <c r="B8291" s="1" t="s">
        <v>15777</v>
      </c>
      <c r="C8291" s="9" t="s">
        <v>9332</v>
      </c>
      <c r="D8291" s="14" t="s">
        <v>15778</v>
      </c>
      <c r="E8291" s="9" t="s">
        <v>11</v>
      </c>
    </row>
    <row r="8292" spans="1:5" ht="15" customHeight="1" outlineLevel="2" x14ac:dyDescent="0.25">
      <c r="A8292" s="3" t="str">
        <f>HYPERLINK("http://mystore1.ru/price_items/search?utf8=%E2%9C%93&amp;oem=7806RGNH5FD1J","7806RGNH5FD1J")</f>
        <v>7806RGNH5FD1J</v>
      </c>
      <c r="B8292" s="1" t="s">
        <v>15779</v>
      </c>
      <c r="C8292" s="9" t="s">
        <v>9332</v>
      </c>
      <c r="D8292" s="14" t="s">
        <v>15780</v>
      </c>
      <c r="E8292" s="9" t="s">
        <v>11</v>
      </c>
    </row>
    <row r="8293" spans="1:5" ht="15" customHeight="1" outlineLevel="2" x14ac:dyDescent="0.25">
      <c r="A8293" s="3" t="str">
        <f>HYPERLINK("http://mystore1.ru/price_items/search?utf8=%E2%9C%93&amp;oem=7806RGNH5RD","7806RGNH5RD")</f>
        <v>7806RGNH5RD</v>
      </c>
      <c r="B8293" s="1" t="s">
        <v>15781</v>
      </c>
      <c r="C8293" s="9" t="s">
        <v>9332</v>
      </c>
      <c r="D8293" s="14" t="s">
        <v>15782</v>
      </c>
      <c r="E8293" s="9" t="s">
        <v>11</v>
      </c>
    </row>
    <row r="8294" spans="1:5" ht="15" customHeight="1" outlineLevel="2" x14ac:dyDescent="0.25">
      <c r="A8294" s="3" t="str">
        <f>HYPERLINK("http://mystore1.ru/price_items/search?utf8=%E2%9C%93&amp;oem=7806RGNH5RD1J","7806RGNH5RD1J")</f>
        <v>7806RGNH5RD1J</v>
      </c>
      <c r="B8294" s="1" t="s">
        <v>15783</v>
      </c>
      <c r="C8294" s="9" t="s">
        <v>9332</v>
      </c>
      <c r="D8294" s="14" t="s">
        <v>15784</v>
      </c>
      <c r="E8294" s="9" t="s">
        <v>11</v>
      </c>
    </row>
    <row r="8295" spans="1:5" ht="15" customHeight="1" outlineLevel="2" x14ac:dyDescent="0.25">
      <c r="A8295" s="3" t="str">
        <f>HYPERLINK("http://mystore1.ru/price_items/search?utf8=%E2%9C%93&amp;oem=7806RGNH5RV1J","7806RGNH5RV1J")</f>
        <v>7806RGNH5RV1J</v>
      </c>
      <c r="B8295" s="1" t="s">
        <v>15785</v>
      </c>
      <c r="C8295" s="9" t="s">
        <v>9332</v>
      </c>
      <c r="D8295" s="14" t="s">
        <v>15786</v>
      </c>
      <c r="E8295" s="9" t="s">
        <v>11</v>
      </c>
    </row>
    <row r="8296" spans="1:5" outlineLevel="1" x14ac:dyDescent="0.25">
      <c r="A8296" s="2"/>
      <c r="B8296" s="6" t="s">
        <v>15787</v>
      </c>
      <c r="C8296" s="8"/>
      <c r="D8296" s="8"/>
      <c r="E8296" s="8"/>
    </row>
    <row r="8297" spans="1:5" ht="15" customHeight="1" outlineLevel="2" x14ac:dyDescent="0.25">
      <c r="A8297" s="3" t="str">
        <f>HYPERLINK("http://mystore1.ru/price_items/search?utf8=%E2%9C%93&amp;oem=7807AGNGNVW1K","7807AGNGNVW1K")</f>
        <v>7807AGNGNVW1K</v>
      </c>
      <c r="B8297" s="1" t="s">
        <v>15788</v>
      </c>
      <c r="C8297" s="9" t="s">
        <v>570</v>
      </c>
      <c r="D8297" s="14" t="s">
        <v>15789</v>
      </c>
      <c r="E8297" s="9" t="s">
        <v>8</v>
      </c>
    </row>
    <row r="8298" spans="1:5" ht="15" customHeight="1" outlineLevel="2" x14ac:dyDescent="0.25">
      <c r="A8298" s="3" t="str">
        <f>HYPERLINK("http://mystore1.ru/price_items/search?utf8=%E2%9C%93&amp;oem=7807AGNGYMVW1K","7807AGNGYMVW1K")</f>
        <v>7807AGNGYMVW1K</v>
      </c>
      <c r="B8298" s="1" t="s">
        <v>15790</v>
      </c>
      <c r="C8298" s="9" t="s">
        <v>570</v>
      </c>
      <c r="D8298" s="14" t="s">
        <v>15791</v>
      </c>
      <c r="E8298" s="9" t="s">
        <v>8</v>
      </c>
    </row>
    <row r="8299" spans="1:5" ht="15" customHeight="1" outlineLevel="2" x14ac:dyDescent="0.25">
      <c r="A8299" s="3" t="str">
        <f>HYPERLINK("http://mystore1.ru/price_items/search?utf8=%E2%9C%93&amp;oem=7807AGNGYVW1K","7807AGNGYVW1K")</f>
        <v>7807AGNGYVW1K</v>
      </c>
      <c r="B8299" s="1" t="s">
        <v>15792</v>
      </c>
      <c r="C8299" s="9" t="s">
        <v>570</v>
      </c>
      <c r="D8299" s="14" t="s">
        <v>15793</v>
      </c>
      <c r="E8299" s="9" t="s">
        <v>8</v>
      </c>
    </row>
    <row r="8300" spans="1:5" ht="15" customHeight="1" outlineLevel="2" x14ac:dyDescent="0.25">
      <c r="A8300" s="3" t="str">
        <f>HYPERLINK("http://mystore1.ru/price_items/search?utf8=%E2%9C%93&amp;oem=7807AGNVW1K","7807AGNVW1K")</f>
        <v>7807AGNVW1K</v>
      </c>
      <c r="B8300" s="1" t="s">
        <v>15794</v>
      </c>
      <c r="C8300" s="9" t="s">
        <v>570</v>
      </c>
      <c r="D8300" s="14" t="s">
        <v>15795</v>
      </c>
      <c r="E8300" s="9" t="s">
        <v>8</v>
      </c>
    </row>
    <row r="8301" spans="1:5" ht="15" customHeight="1" outlineLevel="2" x14ac:dyDescent="0.25">
      <c r="A8301" s="3" t="str">
        <f>HYPERLINK("http://mystore1.ru/price_items/search?utf8=%E2%9C%93&amp;oem=7807AKMH","7807AKMH")</f>
        <v>7807AKMH</v>
      </c>
      <c r="B8301" s="1" t="s">
        <v>15796</v>
      </c>
      <c r="C8301" s="9" t="s">
        <v>25</v>
      </c>
      <c r="D8301" s="14" t="s">
        <v>15797</v>
      </c>
      <c r="E8301" s="9" t="s">
        <v>27</v>
      </c>
    </row>
    <row r="8302" spans="1:5" ht="15" customHeight="1" outlineLevel="2" x14ac:dyDescent="0.25">
      <c r="A8302" s="3" t="str">
        <f>HYPERLINK("http://mystore1.ru/price_items/search?utf8=%E2%9C%93&amp;oem=7807ASMHT","7807ASMHT")</f>
        <v>7807ASMHT</v>
      </c>
      <c r="B8302" s="1" t="s">
        <v>15798</v>
      </c>
      <c r="C8302" s="9" t="s">
        <v>25</v>
      </c>
      <c r="D8302" s="14" t="s">
        <v>15799</v>
      </c>
      <c r="E8302" s="9" t="s">
        <v>27</v>
      </c>
    </row>
    <row r="8303" spans="1:5" ht="15" customHeight="1" outlineLevel="2" x14ac:dyDescent="0.25">
      <c r="A8303" s="3" t="str">
        <f>HYPERLINK("http://mystore1.ru/price_items/search?utf8=%E2%9C%93&amp;oem=7807BCLEW","7807BCLEW")</f>
        <v>7807BCLEW</v>
      </c>
      <c r="B8303" s="1" t="s">
        <v>15800</v>
      </c>
      <c r="C8303" s="9" t="s">
        <v>570</v>
      </c>
      <c r="D8303" s="14" t="s">
        <v>15801</v>
      </c>
      <c r="E8303" s="9" t="s">
        <v>30</v>
      </c>
    </row>
    <row r="8304" spans="1:5" ht="15" customHeight="1" outlineLevel="2" x14ac:dyDescent="0.25">
      <c r="A8304" s="3" t="str">
        <f>HYPERLINK("http://mystore1.ru/price_items/search?utf8=%E2%9C%93&amp;oem=7807BCLHBZ1V","7807BCLHBZ1V")</f>
        <v>7807BCLHBZ1V</v>
      </c>
      <c r="B8304" s="1" t="s">
        <v>15802</v>
      </c>
      <c r="C8304" s="9" t="s">
        <v>570</v>
      </c>
      <c r="D8304" s="14" t="s">
        <v>15803</v>
      </c>
      <c r="E8304" s="9" t="s">
        <v>30</v>
      </c>
    </row>
    <row r="8305" spans="1:5" ht="15" customHeight="1" outlineLevel="2" x14ac:dyDescent="0.25">
      <c r="A8305" s="3" t="str">
        <f>HYPERLINK("http://mystore1.ru/price_items/search?utf8=%E2%9C%93&amp;oem=7807BCLHBZ6Q","7807BCLHBZ6Q")</f>
        <v>7807BCLHBZ6Q</v>
      </c>
      <c r="B8305" s="1" t="s">
        <v>15804</v>
      </c>
      <c r="C8305" s="9" t="s">
        <v>570</v>
      </c>
      <c r="D8305" s="14" t="s">
        <v>15805</v>
      </c>
      <c r="E8305" s="9" t="s">
        <v>30</v>
      </c>
    </row>
    <row r="8306" spans="1:5" ht="15" customHeight="1" outlineLevel="2" x14ac:dyDescent="0.25">
      <c r="A8306" s="3" t="str">
        <f>HYPERLINK("http://mystore1.ru/price_items/search?utf8=%E2%9C%93&amp;oem=7807BGNEW","7807BGNEW")</f>
        <v>7807BGNEW</v>
      </c>
      <c r="B8306" s="1" t="s">
        <v>15806</v>
      </c>
      <c r="C8306" s="9" t="s">
        <v>570</v>
      </c>
      <c r="D8306" s="14" t="s">
        <v>15807</v>
      </c>
      <c r="E8306" s="9" t="s">
        <v>30</v>
      </c>
    </row>
    <row r="8307" spans="1:5" ht="15" customHeight="1" outlineLevel="2" x14ac:dyDescent="0.25">
      <c r="A8307" s="3" t="str">
        <f>HYPERLINK("http://mystore1.ru/price_items/search?utf8=%E2%9C%93&amp;oem=7807BGNHBZ1V","7807BGNHBZ1V")</f>
        <v>7807BGNHBZ1V</v>
      </c>
      <c r="B8307" s="1" t="s">
        <v>15808</v>
      </c>
      <c r="C8307" s="9" t="s">
        <v>570</v>
      </c>
      <c r="D8307" s="14" t="s">
        <v>15809</v>
      </c>
      <c r="E8307" s="9" t="s">
        <v>30</v>
      </c>
    </row>
    <row r="8308" spans="1:5" ht="15" customHeight="1" outlineLevel="2" x14ac:dyDescent="0.25">
      <c r="A8308" s="3" t="str">
        <f>HYPERLINK("http://mystore1.ru/price_items/search?utf8=%E2%9C%93&amp;oem=7807BGNHBZ6Q","7807BGNHBZ6Q")</f>
        <v>7807BGNHBZ6Q</v>
      </c>
      <c r="B8308" s="1" t="s">
        <v>15810</v>
      </c>
      <c r="C8308" s="9" t="s">
        <v>570</v>
      </c>
      <c r="D8308" s="14" t="s">
        <v>15811</v>
      </c>
      <c r="E8308" s="9" t="s">
        <v>30</v>
      </c>
    </row>
    <row r="8309" spans="1:5" ht="15" customHeight="1" outlineLevel="2" x14ac:dyDescent="0.25">
      <c r="A8309" s="3" t="str">
        <f>HYPERLINK("http://mystore1.ru/price_items/search?utf8=%E2%9C%93&amp;oem=7807BGPEW","7807BGPEW")</f>
        <v>7807BGPEW</v>
      </c>
      <c r="B8309" s="1" t="s">
        <v>15812</v>
      </c>
      <c r="C8309" s="9" t="s">
        <v>570</v>
      </c>
      <c r="D8309" s="14" t="s">
        <v>15813</v>
      </c>
      <c r="E8309" s="9" t="s">
        <v>30</v>
      </c>
    </row>
    <row r="8310" spans="1:5" ht="15" customHeight="1" outlineLevel="2" x14ac:dyDescent="0.25">
      <c r="A8310" s="3" t="str">
        <f>HYPERLINK("http://mystore1.ru/price_items/search?utf8=%E2%9C%93&amp;oem=7807LCLE5RD","7807LCLE5RD")</f>
        <v>7807LCLE5RD</v>
      </c>
      <c r="B8310" s="1" t="s">
        <v>15814</v>
      </c>
      <c r="C8310" s="9" t="s">
        <v>570</v>
      </c>
      <c r="D8310" s="14" t="s">
        <v>15815</v>
      </c>
      <c r="E8310" s="9" t="s">
        <v>11</v>
      </c>
    </row>
    <row r="8311" spans="1:5" ht="15" customHeight="1" outlineLevel="2" x14ac:dyDescent="0.25">
      <c r="A8311" s="3" t="str">
        <f>HYPERLINK("http://mystore1.ru/price_items/search?utf8=%E2%9C%93&amp;oem=7807LCLE5RQZ","7807LCLE5RQZ")</f>
        <v>7807LCLE5RQZ</v>
      </c>
      <c r="B8311" s="1" t="s">
        <v>15816</v>
      </c>
      <c r="C8311" s="9" t="s">
        <v>570</v>
      </c>
      <c r="D8311" s="14" t="s">
        <v>15817</v>
      </c>
      <c r="E8311" s="9" t="s">
        <v>11</v>
      </c>
    </row>
    <row r="8312" spans="1:5" ht="15" customHeight="1" outlineLevel="2" x14ac:dyDescent="0.25">
      <c r="A8312" s="3" t="str">
        <f>HYPERLINK("http://mystore1.ru/price_items/search?utf8=%E2%9C%93&amp;oem=7807LCLE5RV","7807LCLE5RV")</f>
        <v>7807LCLE5RV</v>
      </c>
      <c r="B8312" s="1" t="s">
        <v>15818</v>
      </c>
      <c r="C8312" s="9" t="s">
        <v>570</v>
      </c>
      <c r="D8312" s="14" t="s">
        <v>15819</v>
      </c>
      <c r="E8312" s="9" t="s">
        <v>11</v>
      </c>
    </row>
    <row r="8313" spans="1:5" ht="15" customHeight="1" outlineLevel="2" x14ac:dyDescent="0.25">
      <c r="A8313" s="3" t="str">
        <f>HYPERLINK("http://mystore1.ru/price_items/search?utf8=%E2%9C%93&amp;oem=7807LCLH5FD","7807LCLH5FD")</f>
        <v>7807LCLH5FD</v>
      </c>
      <c r="B8313" s="1" t="s">
        <v>15820</v>
      </c>
      <c r="C8313" s="9" t="s">
        <v>570</v>
      </c>
      <c r="D8313" s="14" t="s">
        <v>15821</v>
      </c>
      <c r="E8313" s="9" t="s">
        <v>11</v>
      </c>
    </row>
    <row r="8314" spans="1:5" ht="15" customHeight="1" outlineLevel="2" x14ac:dyDescent="0.25">
      <c r="A8314" s="3" t="str">
        <f>HYPERLINK("http://mystore1.ru/price_items/search?utf8=%E2%9C%93&amp;oem=7807LCLH5RV","7807LCLH5RV")</f>
        <v>7807LCLH5RV</v>
      </c>
      <c r="B8314" s="1" t="s">
        <v>15822</v>
      </c>
      <c r="C8314" s="9" t="s">
        <v>570</v>
      </c>
      <c r="D8314" s="14" t="s">
        <v>15823</v>
      </c>
      <c r="E8314" s="9" t="s">
        <v>11</v>
      </c>
    </row>
    <row r="8315" spans="1:5" ht="15" customHeight="1" outlineLevel="2" x14ac:dyDescent="0.25">
      <c r="A8315" s="3" t="str">
        <f>HYPERLINK("http://mystore1.ru/price_items/search?utf8=%E2%9C%93&amp;oem=7807LGNE5RD","7807LGNE5RD")</f>
        <v>7807LGNE5RD</v>
      </c>
      <c r="B8315" s="1" t="s">
        <v>15824</v>
      </c>
      <c r="C8315" s="9" t="s">
        <v>570</v>
      </c>
      <c r="D8315" s="14" t="s">
        <v>15825</v>
      </c>
      <c r="E8315" s="9" t="s">
        <v>11</v>
      </c>
    </row>
    <row r="8316" spans="1:5" ht="15" customHeight="1" outlineLevel="2" x14ac:dyDescent="0.25">
      <c r="A8316" s="3" t="str">
        <f>HYPERLINK("http://mystore1.ru/price_items/search?utf8=%E2%9C%93&amp;oem=7807LGNE5RQZ","7807LGNE5RQZ")</f>
        <v>7807LGNE5RQZ</v>
      </c>
      <c r="B8316" s="1" t="s">
        <v>15826</v>
      </c>
      <c r="C8316" s="9" t="s">
        <v>570</v>
      </c>
      <c r="D8316" s="14" t="s">
        <v>15827</v>
      </c>
      <c r="E8316" s="9" t="s">
        <v>11</v>
      </c>
    </row>
    <row r="8317" spans="1:5" ht="15" customHeight="1" outlineLevel="2" x14ac:dyDescent="0.25">
      <c r="A8317" s="3" t="str">
        <f>HYPERLINK("http://mystore1.ru/price_items/search?utf8=%E2%9C%93&amp;oem=7807LGNE5RV","7807LGNE5RV")</f>
        <v>7807LGNE5RV</v>
      </c>
      <c r="B8317" s="1" t="s">
        <v>15828</v>
      </c>
      <c r="C8317" s="9" t="s">
        <v>570</v>
      </c>
      <c r="D8317" s="14" t="s">
        <v>15829</v>
      </c>
      <c r="E8317" s="9" t="s">
        <v>11</v>
      </c>
    </row>
    <row r="8318" spans="1:5" ht="15" customHeight="1" outlineLevel="2" x14ac:dyDescent="0.25">
      <c r="A8318" s="3" t="str">
        <f>HYPERLINK("http://mystore1.ru/price_items/search?utf8=%E2%9C%93&amp;oem=7807LGNH5FD","7807LGNH5FD")</f>
        <v>7807LGNH5FD</v>
      </c>
      <c r="B8318" s="1" t="s">
        <v>15830</v>
      </c>
      <c r="C8318" s="9" t="s">
        <v>570</v>
      </c>
      <c r="D8318" s="14" t="s">
        <v>15831</v>
      </c>
      <c r="E8318" s="9" t="s">
        <v>11</v>
      </c>
    </row>
    <row r="8319" spans="1:5" ht="15" customHeight="1" outlineLevel="2" x14ac:dyDescent="0.25">
      <c r="A8319" s="3" t="str">
        <f>HYPERLINK("http://mystore1.ru/price_items/search?utf8=%E2%9C%93&amp;oem=7807LGNH5RD","7807LGNH5RD")</f>
        <v>7807LGNH5RD</v>
      </c>
      <c r="B8319" s="1" t="s">
        <v>15832</v>
      </c>
      <c r="C8319" s="9" t="s">
        <v>570</v>
      </c>
      <c r="D8319" s="14" t="s">
        <v>15833</v>
      </c>
      <c r="E8319" s="9" t="s">
        <v>11</v>
      </c>
    </row>
    <row r="8320" spans="1:5" ht="15" customHeight="1" outlineLevel="2" x14ac:dyDescent="0.25">
      <c r="A8320" s="3" t="str">
        <f>HYPERLINK("http://mystore1.ru/price_items/search?utf8=%E2%9C%93&amp;oem=7807LGNH5RV","7807LGNH5RV")</f>
        <v>7807LGNH5RV</v>
      </c>
      <c r="B8320" s="1" t="s">
        <v>15834</v>
      </c>
      <c r="C8320" s="9" t="s">
        <v>570</v>
      </c>
      <c r="D8320" s="14" t="s">
        <v>15835</v>
      </c>
      <c r="E8320" s="9" t="s">
        <v>11</v>
      </c>
    </row>
    <row r="8321" spans="1:5" ht="15" customHeight="1" outlineLevel="2" x14ac:dyDescent="0.25">
      <c r="A8321" s="3" t="str">
        <f>HYPERLINK("http://mystore1.ru/price_items/search?utf8=%E2%9C%93&amp;oem=7807RCLE5RD","7807RCLE5RD")</f>
        <v>7807RCLE5RD</v>
      </c>
      <c r="B8321" s="1" t="s">
        <v>15836</v>
      </c>
      <c r="C8321" s="9" t="s">
        <v>570</v>
      </c>
      <c r="D8321" s="14" t="s">
        <v>15837</v>
      </c>
      <c r="E8321" s="9" t="s">
        <v>11</v>
      </c>
    </row>
    <row r="8322" spans="1:5" ht="15" customHeight="1" outlineLevel="2" x14ac:dyDescent="0.25">
      <c r="A8322" s="3" t="str">
        <f>HYPERLINK("http://mystore1.ru/price_items/search?utf8=%E2%9C%93&amp;oem=7807RCLE5RQZ","7807RCLE5RQZ")</f>
        <v>7807RCLE5RQZ</v>
      </c>
      <c r="B8322" s="1" t="s">
        <v>15838</v>
      </c>
      <c r="C8322" s="9" t="s">
        <v>570</v>
      </c>
      <c r="D8322" s="14" t="s">
        <v>15839</v>
      </c>
      <c r="E8322" s="9" t="s">
        <v>11</v>
      </c>
    </row>
    <row r="8323" spans="1:5" ht="15" customHeight="1" outlineLevel="2" x14ac:dyDescent="0.25">
      <c r="A8323" s="3" t="str">
        <f>HYPERLINK("http://mystore1.ru/price_items/search?utf8=%E2%9C%93&amp;oem=7807RCLE5RV","7807RCLE5RV")</f>
        <v>7807RCLE5RV</v>
      </c>
      <c r="B8323" s="1" t="s">
        <v>15840</v>
      </c>
      <c r="C8323" s="9" t="s">
        <v>570</v>
      </c>
      <c r="D8323" s="14" t="s">
        <v>15841</v>
      </c>
      <c r="E8323" s="9" t="s">
        <v>11</v>
      </c>
    </row>
    <row r="8324" spans="1:5" ht="15" customHeight="1" outlineLevel="2" x14ac:dyDescent="0.25">
      <c r="A8324" s="3" t="str">
        <f>HYPERLINK("http://mystore1.ru/price_items/search?utf8=%E2%9C%93&amp;oem=7807RCLH5FD","7807RCLH5FD")</f>
        <v>7807RCLH5FD</v>
      </c>
      <c r="B8324" s="1" t="s">
        <v>15842</v>
      </c>
      <c r="C8324" s="9" t="s">
        <v>570</v>
      </c>
      <c r="D8324" s="14" t="s">
        <v>15843</v>
      </c>
      <c r="E8324" s="9" t="s">
        <v>11</v>
      </c>
    </row>
    <row r="8325" spans="1:5" ht="15" customHeight="1" outlineLevel="2" x14ac:dyDescent="0.25">
      <c r="A8325" s="3" t="str">
        <f>HYPERLINK("http://mystore1.ru/price_items/search?utf8=%E2%9C%93&amp;oem=7807RCLH5RD","7807RCLH5RD")</f>
        <v>7807RCLH5RD</v>
      </c>
      <c r="B8325" s="1" t="s">
        <v>15844</v>
      </c>
      <c r="C8325" s="9" t="s">
        <v>570</v>
      </c>
      <c r="D8325" s="14" t="s">
        <v>15845</v>
      </c>
      <c r="E8325" s="9" t="s">
        <v>11</v>
      </c>
    </row>
    <row r="8326" spans="1:5" ht="15" customHeight="1" outlineLevel="2" x14ac:dyDescent="0.25">
      <c r="A8326" s="3" t="str">
        <f>HYPERLINK("http://mystore1.ru/price_items/search?utf8=%E2%9C%93&amp;oem=7807RCLH5RV","7807RCLH5RV")</f>
        <v>7807RCLH5RV</v>
      </c>
      <c r="B8326" s="1" t="s">
        <v>15846</v>
      </c>
      <c r="C8326" s="9" t="s">
        <v>570</v>
      </c>
      <c r="D8326" s="14" t="s">
        <v>15847</v>
      </c>
      <c r="E8326" s="9" t="s">
        <v>11</v>
      </c>
    </row>
    <row r="8327" spans="1:5" ht="15" customHeight="1" outlineLevel="2" x14ac:dyDescent="0.25">
      <c r="A8327" s="3" t="str">
        <f>HYPERLINK("http://mystore1.ru/price_items/search?utf8=%E2%9C%93&amp;oem=7807RGNE5RD","7807RGNE5RD")</f>
        <v>7807RGNE5RD</v>
      </c>
      <c r="B8327" s="1" t="s">
        <v>15848</v>
      </c>
      <c r="C8327" s="9" t="s">
        <v>570</v>
      </c>
      <c r="D8327" s="14" t="s">
        <v>15849</v>
      </c>
      <c r="E8327" s="9" t="s">
        <v>11</v>
      </c>
    </row>
    <row r="8328" spans="1:5" ht="15" customHeight="1" outlineLevel="2" x14ac:dyDescent="0.25">
      <c r="A8328" s="3" t="str">
        <f>HYPERLINK("http://mystore1.ru/price_items/search?utf8=%E2%9C%93&amp;oem=7807RGNE5RQZ","7807RGNE5RQZ")</f>
        <v>7807RGNE5RQZ</v>
      </c>
      <c r="B8328" s="1" t="s">
        <v>15850</v>
      </c>
      <c r="C8328" s="9" t="s">
        <v>570</v>
      </c>
      <c r="D8328" s="14" t="s">
        <v>15851</v>
      </c>
      <c r="E8328" s="9" t="s">
        <v>11</v>
      </c>
    </row>
    <row r="8329" spans="1:5" ht="15" customHeight="1" outlineLevel="2" x14ac:dyDescent="0.25">
      <c r="A8329" s="3" t="str">
        <f>HYPERLINK("http://mystore1.ru/price_items/search?utf8=%E2%9C%93&amp;oem=7807RGNE5RV","7807RGNE5RV")</f>
        <v>7807RGNE5RV</v>
      </c>
      <c r="B8329" s="1" t="s">
        <v>15852</v>
      </c>
      <c r="C8329" s="9" t="s">
        <v>570</v>
      </c>
      <c r="D8329" s="14" t="s">
        <v>15853</v>
      </c>
      <c r="E8329" s="9" t="s">
        <v>11</v>
      </c>
    </row>
    <row r="8330" spans="1:5" ht="15" customHeight="1" outlineLevel="2" x14ac:dyDescent="0.25">
      <c r="A8330" s="3" t="str">
        <f>HYPERLINK("http://mystore1.ru/price_items/search?utf8=%E2%9C%93&amp;oem=7807RGNH5FD","7807RGNH5FD")</f>
        <v>7807RGNH5FD</v>
      </c>
      <c r="B8330" s="1" t="s">
        <v>15854</v>
      </c>
      <c r="C8330" s="9" t="s">
        <v>570</v>
      </c>
      <c r="D8330" s="14" t="s">
        <v>15855</v>
      </c>
      <c r="E8330" s="9" t="s">
        <v>11</v>
      </c>
    </row>
    <row r="8331" spans="1:5" ht="15" customHeight="1" outlineLevel="2" x14ac:dyDescent="0.25">
      <c r="A8331" s="3" t="str">
        <f>HYPERLINK("http://mystore1.ru/price_items/search?utf8=%E2%9C%93&amp;oem=7807RGNH5RD","7807RGNH5RD")</f>
        <v>7807RGNH5RD</v>
      </c>
      <c r="B8331" s="1" t="s">
        <v>15856</v>
      </c>
      <c r="C8331" s="9" t="s">
        <v>570</v>
      </c>
      <c r="D8331" s="14" t="s">
        <v>15857</v>
      </c>
      <c r="E8331" s="9" t="s">
        <v>11</v>
      </c>
    </row>
    <row r="8332" spans="1:5" ht="15" customHeight="1" outlineLevel="2" x14ac:dyDescent="0.25">
      <c r="A8332" s="3" t="str">
        <f>HYPERLINK("http://mystore1.ru/price_items/search?utf8=%E2%9C%93&amp;oem=7807RGNH5RV","7807RGNH5RV")</f>
        <v>7807RGNH5RV</v>
      </c>
      <c r="B8332" s="1" t="s">
        <v>15858</v>
      </c>
      <c r="C8332" s="9" t="s">
        <v>570</v>
      </c>
      <c r="D8332" s="14" t="s">
        <v>15859</v>
      </c>
      <c r="E8332" s="9" t="s">
        <v>11</v>
      </c>
    </row>
    <row r="8333" spans="1:5" outlineLevel="1" x14ac:dyDescent="0.25">
      <c r="A8333" s="2"/>
      <c r="B8333" s="6" t="s">
        <v>15860</v>
      </c>
      <c r="C8333" s="8"/>
      <c r="D8333" s="8"/>
      <c r="E8333" s="8"/>
    </row>
    <row r="8334" spans="1:5" ht="15" customHeight="1" outlineLevel="2" x14ac:dyDescent="0.25">
      <c r="A8334" s="3" t="str">
        <f>HYPERLINK("http://mystore1.ru/price_items/search?utf8=%E2%9C%93&amp;oem=7810ACCGYMVZ2P","7810ACCGYMVZ2P")</f>
        <v>7810ACCGYMVZ2P</v>
      </c>
      <c r="B8334" s="1" t="s">
        <v>15861</v>
      </c>
      <c r="C8334" s="9" t="s">
        <v>394</v>
      </c>
      <c r="D8334" s="14" t="s">
        <v>15862</v>
      </c>
      <c r="E8334" s="9" t="s">
        <v>8</v>
      </c>
    </row>
    <row r="8335" spans="1:5" ht="15" customHeight="1" outlineLevel="2" x14ac:dyDescent="0.25">
      <c r="A8335" s="3" t="str">
        <f>HYPERLINK("http://mystore1.ru/price_items/search?utf8=%E2%9C%93&amp;oem=7810ACCGYVZ","7810ACCGYVZ")</f>
        <v>7810ACCGYVZ</v>
      </c>
      <c r="B8335" s="1" t="s">
        <v>15863</v>
      </c>
      <c r="C8335" s="9" t="s">
        <v>394</v>
      </c>
      <c r="D8335" s="14" t="s">
        <v>15864</v>
      </c>
      <c r="E8335" s="9" t="s">
        <v>8</v>
      </c>
    </row>
    <row r="8336" spans="1:5" ht="15" customHeight="1" outlineLevel="2" x14ac:dyDescent="0.25">
      <c r="A8336" s="3" t="str">
        <f>HYPERLINK("http://mystore1.ru/price_items/search?utf8=%E2%9C%93&amp;oem=7810ACLVZ","7810ACLVZ")</f>
        <v>7810ACLVZ</v>
      </c>
      <c r="B8336" s="1" t="s">
        <v>15865</v>
      </c>
      <c r="C8336" s="9" t="s">
        <v>394</v>
      </c>
      <c r="D8336" s="14" t="s">
        <v>15866</v>
      </c>
      <c r="E8336" s="9" t="s">
        <v>8</v>
      </c>
    </row>
    <row r="8337" spans="1:5" ht="15" customHeight="1" outlineLevel="2" x14ac:dyDescent="0.25">
      <c r="A8337" s="3" t="str">
        <f>HYPERLINK("http://mystore1.ru/price_items/search?utf8=%E2%9C%93&amp;oem=7810AGSGYMVZ1P","7810AGSGYMVZ1P")</f>
        <v>7810AGSGYMVZ1P</v>
      </c>
      <c r="B8337" s="1" t="s">
        <v>15867</v>
      </c>
      <c r="C8337" s="9" t="s">
        <v>394</v>
      </c>
      <c r="D8337" s="14" t="s">
        <v>15868</v>
      </c>
      <c r="E8337" s="9" t="s">
        <v>8</v>
      </c>
    </row>
    <row r="8338" spans="1:5" ht="15" customHeight="1" outlineLevel="2" x14ac:dyDescent="0.25">
      <c r="A8338" s="3" t="str">
        <f>HYPERLINK("http://mystore1.ru/price_items/search?utf8=%E2%9C%93&amp;oem=7810AGSGYVZ","7810AGSGYVZ")</f>
        <v>7810AGSGYVZ</v>
      </c>
      <c r="B8338" s="1" t="s">
        <v>15869</v>
      </c>
      <c r="C8338" s="9" t="s">
        <v>394</v>
      </c>
      <c r="D8338" s="14" t="s">
        <v>15870</v>
      </c>
      <c r="E8338" s="9" t="s">
        <v>8</v>
      </c>
    </row>
    <row r="8339" spans="1:5" ht="15" customHeight="1" outlineLevel="2" x14ac:dyDescent="0.25">
      <c r="A8339" s="3" t="str">
        <f>HYPERLINK("http://mystore1.ru/price_items/search?utf8=%E2%9C%93&amp;oem=7810AGSMVZ1P","7810AGSMVZ1P")</f>
        <v>7810AGSMVZ1P</v>
      </c>
      <c r="B8339" s="1" t="s">
        <v>15871</v>
      </c>
      <c r="C8339" s="9" t="s">
        <v>394</v>
      </c>
      <c r="D8339" s="14" t="s">
        <v>15872</v>
      </c>
      <c r="E8339" s="9" t="s">
        <v>8</v>
      </c>
    </row>
    <row r="8340" spans="1:5" ht="15" customHeight="1" outlineLevel="2" x14ac:dyDescent="0.25">
      <c r="A8340" s="3" t="str">
        <f>HYPERLINK("http://mystore1.ru/price_items/search?utf8=%E2%9C%93&amp;oem=7810AGSVZ","7810AGSVZ")</f>
        <v>7810AGSVZ</v>
      </c>
      <c r="B8340" s="1" t="s">
        <v>15873</v>
      </c>
      <c r="C8340" s="9" t="s">
        <v>394</v>
      </c>
      <c r="D8340" s="14" t="s">
        <v>15874</v>
      </c>
      <c r="E8340" s="9" t="s">
        <v>8</v>
      </c>
    </row>
    <row r="8341" spans="1:5" ht="15" customHeight="1" outlineLevel="2" x14ac:dyDescent="0.25">
      <c r="A8341" s="3" t="str">
        <f>HYPERLINK("http://mystore1.ru/price_items/search?utf8=%E2%9C%93&amp;oem=7810AGSMVZ6T","7810AGSMVZ6T")</f>
        <v>7810AGSMVZ6T</v>
      </c>
      <c r="B8341" s="1" t="s">
        <v>15875</v>
      </c>
      <c r="C8341" s="9" t="s">
        <v>394</v>
      </c>
      <c r="D8341" s="14" t="s">
        <v>15876</v>
      </c>
      <c r="E8341" s="9" t="s">
        <v>8</v>
      </c>
    </row>
    <row r="8342" spans="1:5" ht="15" customHeight="1" outlineLevel="2" x14ac:dyDescent="0.25">
      <c r="A8342" s="3" t="str">
        <f>HYPERLINK("http://mystore1.ru/price_items/search?utf8=%E2%9C%93&amp;oem=7810BGSHABZ1B","7810BGSHABZ1B")</f>
        <v>7810BGSHABZ1B</v>
      </c>
      <c r="B8342" s="1" t="s">
        <v>15877</v>
      </c>
      <c r="C8342" s="9" t="s">
        <v>7232</v>
      </c>
      <c r="D8342" s="14" t="s">
        <v>15878</v>
      </c>
      <c r="E8342" s="9" t="s">
        <v>8</v>
      </c>
    </row>
    <row r="8343" spans="1:5" ht="15" customHeight="1" outlineLevel="2" x14ac:dyDescent="0.25">
      <c r="A8343" s="3" t="str">
        <f>HYPERLINK("http://mystore1.ru/price_items/search?utf8=%E2%9C%93&amp;oem=7810BCLHBZ1B","7810BCLHBZ1B")</f>
        <v>7810BCLHBZ1B</v>
      </c>
      <c r="B8343" s="1" t="s">
        <v>15879</v>
      </c>
      <c r="C8343" s="9" t="s">
        <v>394</v>
      </c>
      <c r="D8343" s="14" t="s">
        <v>15880</v>
      </c>
      <c r="E8343" s="9" t="s">
        <v>30</v>
      </c>
    </row>
    <row r="8344" spans="1:5" ht="15" customHeight="1" outlineLevel="2" x14ac:dyDescent="0.25">
      <c r="A8344" s="3" t="str">
        <f>HYPERLINK("http://mystore1.ru/price_items/search?utf8=%E2%9C%93&amp;oem=7810BCLHBZ1Q","7810BCLHBZ1Q")</f>
        <v>7810BCLHBZ1Q</v>
      </c>
      <c r="B8344" s="1" t="s">
        <v>15881</v>
      </c>
      <c r="C8344" s="9" t="s">
        <v>394</v>
      </c>
      <c r="D8344" s="14" t="s">
        <v>15882</v>
      </c>
      <c r="E8344" s="9" t="s">
        <v>30</v>
      </c>
    </row>
    <row r="8345" spans="1:5" ht="15" customHeight="1" outlineLevel="2" x14ac:dyDescent="0.25">
      <c r="A8345" s="3" t="str">
        <f>HYPERLINK("http://mystore1.ru/price_items/search?utf8=%E2%9C%93&amp;oem=7810BCLHBZ","7810BCLHBZ")</f>
        <v>7810BCLHBZ</v>
      </c>
      <c r="B8345" s="1" t="s">
        <v>15883</v>
      </c>
      <c r="C8345" s="9" t="s">
        <v>7232</v>
      </c>
      <c r="D8345" s="14" t="s">
        <v>15884</v>
      </c>
      <c r="E8345" s="9" t="s">
        <v>30</v>
      </c>
    </row>
    <row r="8346" spans="1:5" ht="15" customHeight="1" outlineLevel="2" x14ac:dyDescent="0.25">
      <c r="A8346" s="3" t="str">
        <f>HYPERLINK("http://mystore1.ru/price_items/search?utf8=%E2%9C%93&amp;oem=7810BCLHBZ1H","7810BCLHBZ1H")</f>
        <v>7810BCLHBZ1H</v>
      </c>
      <c r="B8346" s="1" t="s">
        <v>15885</v>
      </c>
      <c r="C8346" s="9" t="s">
        <v>7232</v>
      </c>
      <c r="D8346" s="14" t="s">
        <v>15886</v>
      </c>
      <c r="E8346" s="9" t="s">
        <v>30</v>
      </c>
    </row>
    <row r="8347" spans="1:5" ht="15" customHeight="1" outlineLevel="2" x14ac:dyDescent="0.25">
      <c r="A8347" s="3" t="str">
        <f>HYPERLINK("http://mystore1.ru/price_items/search?utf8=%E2%9C%93&amp;oem=7810BGSEW","7810BGSEW")</f>
        <v>7810BGSEW</v>
      </c>
      <c r="B8347" s="1" t="s">
        <v>15887</v>
      </c>
      <c r="C8347" s="9" t="s">
        <v>394</v>
      </c>
      <c r="D8347" s="14" t="s">
        <v>15888</v>
      </c>
      <c r="E8347" s="9" t="s">
        <v>30</v>
      </c>
    </row>
    <row r="8348" spans="1:5" ht="15" customHeight="1" outlineLevel="2" x14ac:dyDescent="0.25">
      <c r="A8348" s="3" t="str">
        <f>HYPERLINK("http://mystore1.ru/price_items/search?utf8=%E2%9C%93&amp;oem=7810BGSHABZ1Q","7810BGSHABZ1Q")</f>
        <v>7810BGSHABZ1Q</v>
      </c>
      <c r="B8348" s="1" t="s">
        <v>15889</v>
      </c>
      <c r="C8348" s="9" t="s">
        <v>394</v>
      </c>
      <c r="D8348" s="14" t="s">
        <v>15890</v>
      </c>
      <c r="E8348" s="9" t="s">
        <v>30</v>
      </c>
    </row>
    <row r="8349" spans="1:5" ht="15" customHeight="1" outlineLevel="2" x14ac:dyDescent="0.25">
      <c r="A8349" s="3" t="str">
        <f>HYPERLINK("http://mystore1.ru/price_items/search?utf8=%E2%9C%93&amp;oem=7810BGSHBKZ","7810BGSHBKZ")</f>
        <v>7810BGSHBKZ</v>
      </c>
      <c r="B8349" s="1" t="s">
        <v>15891</v>
      </c>
      <c r="C8349" s="9" t="s">
        <v>394</v>
      </c>
      <c r="D8349" s="14" t="s">
        <v>15892</v>
      </c>
      <c r="E8349" s="9" t="s">
        <v>30</v>
      </c>
    </row>
    <row r="8350" spans="1:5" ht="15" customHeight="1" outlineLevel="2" x14ac:dyDescent="0.25">
      <c r="A8350" s="3" t="str">
        <f>HYPERLINK("http://mystore1.ru/price_items/search?utf8=%E2%9C%93&amp;oem=7810BGSHBZ1B","7810BGSHBZ1B")</f>
        <v>7810BGSHBZ1B</v>
      </c>
      <c r="B8350" s="1" t="s">
        <v>15893</v>
      </c>
      <c r="C8350" s="9" t="s">
        <v>394</v>
      </c>
      <c r="D8350" s="14" t="s">
        <v>15894</v>
      </c>
      <c r="E8350" s="9" t="s">
        <v>30</v>
      </c>
    </row>
    <row r="8351" spans="1:5" ht="15" customHeight="1" outlineLevel="2" x14ac:dyDescent="0.25">
      <c r="A8351" s="3" t="str">
        <f>HYPERLINK("http://mystore1.ru/price_items/search?utf8=%E2%9C%93&amp;oem=7810BGSHBZ1Q","7810BGSHBZ1Q")</f>
        <v>7810BGSHBZ1Q</v>
      </c>
      <c r="B8351" s="1" t="s">
        <v>15895</v>
      </c>
      <c r="C8351" s="9" t="s">
        <v>394</v>
      </c>
      <c r="D8351" s="14" t="s">
        <v>15896</v>
      </c>
      <c r="E8351" s="9" t="s">
        <v>30</v>
      </c>
    </row>
    <row r="8352" spans="1:5" ht="15" customHeight="1" outlineLevel="2" x14ac:dyDescent="0.25">
      <c r="A8352" s="3" t="str">
        <f>HYPERLINK("http://mystore1.ru/price_items/search?utf8=%E2%9C%93&amp;oem=7810BGSHABZ1H","7810BGSHABZ1H")</f>
        <v>7810BGSHABZ1H</v>
      </c>
      <c r="B8352" s="1" t="s">
        <v>15897</v>
      </c>
      <c r="C8352" s="9" t="s">
        <v>7232</v>
      </c>
      <c r="D8352" s="14" t="s">
        <v>15898</v>
      </c>
      <c r="E8352" s="9" t="s">
        <v>30</v>
      </c>
    </row>
    <row r="8353" spans="1:5" ht="15" customHeight="1" outlineLevel="2" x14ac:dyDescent="0.25">
      <c r="A8353" s="3" t="str">
        <f>HYPERLINK("http://mystore1.ru/price_items/search?utf8=%E2%9C%93&amp;oem=7810BGSHBZ1B","7810BGSHBZ1B")</f>
        <v>7810BGSHBZ1B</v>
      </c>
      <c r="B8353" s="1" t="s">
        <v>15893</v>
      </c>
      <c r="C8353" s="9" t="s">
        <v>7232</v>
      </c>
      <c r="D8353" s="14" t="s">
        <v>15899</v>
      </c>
      <c r="E8353" s="9" t="s">
        <v>30</v>
      </c>
    </row>
    <row r="8354" spans="1:5" ht="15" customHeight="1" outlineLevel="2" x14ac:dyDescent="0.25">
      <c r="A8354" s="3" t="str">
        <f>HYPERLINK("http://mystore1.ru/price_items/search?utf8=%E2%9C%93&amp;oem=7810BGSHBZ1H","7810BGSHBZ1H")</f>
        <v>7810BGSHBZ1H</v>
      </c>
      <c r="B8354" s="1" t="s">
        <v>15900</v>
      </c>
      <c r="C8354" s="9" t="s">
        <v>7232</v>
      </c>
      <c r="D8354" s="14" t="s">
        <v>15901</v>
      </c>
      <c r="E8354" s="9" t="s">
        <v>30</v>
      </c>
    </row>
    <row r="8355" spans="1:5" ht="15" customHeight="1" outlineLevel="2" x14ac:dyDescent="0.25">
      <c r="A8355" s="3" t="str">
        <f>HYPERLINK("http://mystore1.ru/price_items/search?utf8=%E2%9C%93&amp;oem=7810LCCE5RDKW","7810LCCE5RDKW")</f>
        <v>7810LCCE5RDKW</v>
      </c>
      <c r="B8355" s="1" t="s">
        <v>15902</v>
      </c>
      <c r="C8355" s="9" t="s">
        <v>394</v>
      </c>
      <c r="D8355" s="14" t="s">
        <v>15903</v>
      </c>
      <c r="E8355" s="9" t="s">
        <v>11</v>
      </c>
    </row>
    <row r="8356" spans="1:5" ht="15" customHeight="1" outlineLevel="2" x14ac:dyDescent="0.25">
      <c r="A8356" s="3" t="str">
        <f>HYPERLINK("http://mystore1.ru/price_items/search?utf8=%E2%9C%93&amp;oem=7810LCCH5FDKW","7810LCCH5FDKW")</f>
        <v>7810LCCH5FDKW</v>
      </c>
      <c r="B8356" s="1" t="s">
        <v>15904</v>
      </c>
      <c r="C8356" s="9" t="s">
        <v>394</v>
      </c>
      <c r="D8356" s="14" t="s">
        <v>15905</v>
      </c>
      <c r="E8356" s="9" t="s">
        <v>11</v>
      </c>
    </row>
    <row r="8357" spans="1:5" ht="15" customHeight="1" outlineLevel="2" x14ac:dyDescent="0.25">
      <c r="A8357" s="3" t="str">
        <f>HYPERLINK("http://mystore1.ru/price_items/search?utf8=%E2%9C%93&amp;oem=7810LCCH5RDKW","7810LCCH5RDKW")</f>
        <v>7810LCCH5RDKW</v>
      </c>
      <c r="B8357" s="1" t="s">
        <v>15906</v>
      </c>
      <c r="C8357" s="9" t="s">
        <v>394</v>
      </c>
      <c r="D8357" s="14" t="s">
        <v>15907</v>
      </c>
      <c r="E8357" s="9" t="s">
        <v>11</v>
      </c>
    </row>
    <row r="8358" spans="1:5" ht="15" customHeight="1" outlineLevel="2" x14ac:dyDescent="0.25">
      <c r="A8358" s="3" t="str">
        <f>HYPERLINK("http://mystore1.ru/price_items/search?utf8=%E2%9C%93&amp;oem=7810LCLE5RD","7810LCLE5RD")</f>
        <v>7810LCLE5RD</v>
      </c>
      <c r="B8358" s="1" t="s">
        <v>15908</v>
      </c>
      <c r="C8358" s="9" t="s">
        <v>394</v>
      </c>
      <c r="D8358" s="14" t="s">
        <v>15909</v>
      </c>
      <c r="E8358" s="9" t="s">
        <v>11</v>
      </c>
    </row>
    <row r="8359" spans="1:5" ht="15" customHeight="1" outlineLevel="2" x14ac:dyDescent="0.25">
      <c r="A8359" s="3" t="str">
        <f>HYPERLINK("http://mystore1.ru/price_items/search?utf8=%E2%9C%93&amp;oem=7810LCLE5RQZ","7810LCLE5RQZ")</f>
        <v>7810LCLE5RQZ</v>
      </c>
      <c r="B8359" s="1" t="s">
        <v>15910</v>
      </c>
      <c r="C8359" s="9" t="s">
        <v>394</v>
      </c>
      <c r="D8359" s="14" t="s">
        <v>15911</v>
      </c>
      <c r="E8359" s="9" t="s">
        <v>11</v>
      </c>
    </row>
    <row r="8360" spans="1:5" ht="15" customHeight="1" outlineLevel="2" x14ac:dyDescent="0.25">
      <c r="A8360" s="3" t="str">
        <f>HYPERLINK("http://mystore1.ru/price_items/search?utf8=%E2%9C%93&amp;oem=7810LCLH5FD","7810LCLH5FD")</f>
        <v>7810LCLH5FD</v>
      </c>
      <c r="B8360" s="1" t="s">
        <v>15912</v>
      </c>
      <c r="C8360" s="9" t="s">
        <v>394</v>
      </c>
      <c r="D8360" s="14" t="s">
        <v>15913</v>
      </c>
      <c r="E8360" s="9" t="s">
        <v>11</v>
      </c>
    </row>
    <row r="8361" spans="1:5" ht="15" customHeight="1" outlineLevel="2" x14ac:dyDescent="0.25">
      <c r="A8361" s="3" t="str">
        <f>HYPERLINK("http://mystore1.ru/price_items/search?utf8=%E2%9C%93&amp;oem=7810LCLH5RD","7810LCLH5RD")</f>
        <v>7810LCLH5RD</v>
      </c>
      <c r="B8361" s="1" t="s">
        <v>15914</v>
      </c>
      <c r="C8361" s="9" t="s">
        <v>394</v>
      </c>
      <c r="D8361" s="14" t="s">
        <v>15915</v>
      </c>
      <c r="E8361" s="9" t="s">
        <v>11</v>
      </c>
    </row>
    <row r="8362" spans="1:5" ht="15" customHeight="1" outlineLevel="2" x14ac:dyDescent="0.25">
      <c r="A8362" s="3" t="str">
        <f>HYPERLINK("http://mystore1.ru/price_items/search?utf8=%E2%9C%93&amp;oem=7810LGSE5RD","7810LGSE5RD")</f>
        <v>7810LGSE5RD</v>
      </c>
      <c r="B8362" s="1" t="s">
        <v>15916</v>
      </c>
      <c r="C8362" s="9" t="s">
        <v>394</v>
      </c>
      <c r="D8362" s="14" t="s">
        <v>15917</v>
      </c>
      <c r="E8362" s="9" t="s">
        <v>11</v>
      </c>
    </row>
    <row r="8363" spans="1:5" ht="15" customHeight="1" outlineLevel="2" x14ac:dyDescent="0.25">
      <c r="A8363" s="3" t="str">
        <f>HYPERLINK("http://mystore1.ru/price_items/search?utf8=%E2%9C%93&amp;oem=7810LGSE5RQZ","7810LGSE5RQZ")</f>
        <v>7810LGSE5RQZ</v>
      </c>
      <c r="B8363" s="1" t="s">
        <v>15918</v>
      </c>
      <c r="C8363" s="9" t="s">
        <v>394</v>
      </c>
      <c r="D8363" s="14" t="s">
        <v>15919</v>
      </c>
      <c r="E8363" s="9" t="s">
        <v>11</v>
      </c>
    </row>
    <row r="8364" spans="1:5" ht="15" customHeight="1" outlineLevel="2" x14ac:dyDescent="0.25">
      <c r="A8364" s="3" t="str">
        <f>HYPERLINK("http://mystore1.ru/price_items/search?utf8=%E2%9C%93&amp;oem=7810LGSH5FD","7810LGSH5FD")</f>
        <v>7810LGSH5FD</v>
      </c>
      <c r="B8364" s="1" t="s">
        <v>15920</v>
      </c>
      <c r="C8364" s="9" t="s">
        <v>394</v>
      </c>
      <c r="D8364" s="14" t="s">
        <v>15921</v>
      </c>
      <c r="E8364" s="9" t="s">
        <v>11</v>
      </c>
    </row>
    <row r="8365" spans="1:5" ht="15" customHeight="1" outlineLevel="2" x14ac:dyDescent="0.25">
      <c r="A8365" s="3" t="str">
        <f>HYPERLINK("http://mystore1.ru/price_items/search?utf8=%E2%9C%93&amp;oem=7810LGSH5RD","7810LGSH5RD")</f>
        <v>7810LGSH5RD</v>
      </c>
      <c r="B8365" s="1" t="s">
        <v>15922</v>
      </c>
      <c r="C8365" s="9" t="s">
        <v>394</v>
      </c>
      <c r="D8365" s="14" t="s">
        <v>15923</v>
      </c>
      <c r="E8365" s="9" t="s">
        <v>11</v>
      </c>
    </row>
    <row r="8366" spans="1:5" ht="15" customHeight="1" outlineLevel="2" x14ac:dyDescent="0.25">
      <c r="A8366" s="3" t="str">
        <f>HYPERLINK("http://mystore1.ru/price_items/search?utf8=%E2%9C%93&amp;oem=7810RCCE5RDKW","7810RCCE5RDKW")</f>
        <v>7810RCCE5RDKW</v>
      </c>
      <c r="B8366" s="1" t="s">
        <v>15924</v>
      </c>
      <c r="C8366" s="9" t="s">
        <v>394</v>
      </c>
      <c r="D8366" s="14" t="s">
        <v>15925</v>
      </c>
      <c r="E8366" s="9" t="s">
        <v>11</v>
      </c>
    </row>
    <row r="8367" spans="1:5" ht="15" customHeight="1" outlineLevel="2" x14ac:dyDescent="0.25">
      <c r="A8367" s="3" t="str">
        <f>HYPERLINK("http://mystore1.ru/price_items/search?utf8=%E2%9C%93&amp;oem=7810RCCH5FDKW","7810RCCH5FDKW")</f>
        <v>7810RCCH5FDKW</v>
      </c>
      <c r="B8367" s="1" t="s">
        <v>15926</v>
      </c>
      <c r="C8367" s="9" t="s">
        <v>394</v>
      </c>
      <c r="D8367" s="14" t="s">
        <v>15927</v>
      </c>
      <c r="E8367" s="9" t="s">
        <v>11</v>
      </c>
    </row>
    <row r="8368" spans="1:5" ht="15" customHeight="1" outlineLevel="2" x14ac:dyDescent="0.25">
      <c r="A8368" s="3" t="str">
        <f>HYPERLINK("http://mystore1.ru/price_items/search?utf8=%E2%9C%93&amp;oem=7810RCCH5RDKW","7810RCCH5RDKW")</f>
        <v>7810RCCH5RDKW</v>
      </c>
      <c r="B8368" s="1" t="s">
        <v>15928</v>
      </c>
      <c r="C8368" s="9" t="s">
        <v>394</v>
      </c>
      <c r="D8368" s="14" t="s">
        <v>15929</v>
      </c>
      <c r="E8368" s="9" t="s">
        <v>11</v>
      </c>
    </row>
    <row r="8369" spans="1:5" ht="15" customHeight="1" outlineLevel="2" x14ac:dyDescent="0.25">
      <c r="A8369" s="3" t="str">
        <f>HYPERLINK("http://mystore1.ru/price_items/search?utf8=%E2%9C%93&amp;oem=7810RCLE5RD","7810RCLE5RD")</f>
        <v>7810RCLE5RD</v>
      </c>
      <c r="B8369" s="1" t="s">
        <v>15930</v>
      </c>
      <c r="C8369" s="9" t="s">
        <v>394</v>
      </c>
      <c r="D8369" s="14" t="s">
        <v>15931</v>
      </c>
      <c r="E8369" s="9" t="s">
        <v>11</v>
      </c>
    </row>
    <row r="8370" spans="1:5" ht="15" customHeight="1" outlineLevel="2" x14ac:dyDescent="0.25">
      <c r="A8370" s="3" t="str">
        <f>HYPERLINK("http://mystore1.ru/price_items/search?utf8=%E2%9C%93&amp;oem=7810RCLE5RQZ","7810RCLE5RQZ")</f>
        <v>7810RCLE5RQZ</v>
      </c>
      <c r="B8370" s="1" t="s">
        <v>15932</v>
      </c>
      <c r="C8370" s="9" t="s">
        <v>394</v>
      </c>
      <c r="D8370" s="14" t="s">
        <v>15933</v>
      </c>
      <c r="E8370" s="9" t="s">
        <v>11</v>
      </c>
    </row>
    <row r="8371" spans="1:5" ht="15" customHeight="1" outlineLevel="2" x14ac:dyDescent="0.25">
      <c r="A8371" s="3" t="str">
        <f>HYPERLINK("http://mystore1.ru/price_items/search?utf8=%E2%9C%93&amp;oem=7810RCLH5FD","7810RCLH5FD")</f>
        <v>7810RCLH5FD</v>
      </c>
      <c r="B8371" s="1" t="s">
        <v>15934</v>
      </c>
      <c r="C8371" s="9" t="s">
        <v>394</v>
      </c>
      <c r="D8371" s="14" t="s">
        <v>15935</v>
      </c>
      <c r="E8371" s="9" t="s">
        <v>11</v>
      </c>
    </row>
    <row r="8372" spans="1:5" ht="15" customHeight="1" outlineLevel="2" x14ac:dyDescent="0.25">
      <c r="A8372" s="3" t="str">
        <f>HYPERLINK("http://mystore1.ru/price_items/search?utf8=%E2%9C%93&amp;oem=7810RCLH5RD","7810RCLH5RD")</f>
        <v>7810RCLH5RD</v>
      </c>
      <c r="B8372" s="1" t="s">
        <v>15936</v>
      </c>
      <c r="C8372" s="9" t="s">
        <v>394</v>
      </c>
      <c r="D8372" s="14" t="s">
        <v>15937</v>
      </c>
      <c r="E8372" s="9" t="s">
        <v>11</v>
      </c>
    </row>
    <row r="8373" spans="1:5" ht="15" customHeight="1" outlineLevel="2" x14ac:dyDescent="0.25">
      <c r="A8373" s="3" t="str">
        <f>HYPERLINK("http://mystore1.ru/price_items/search?utf8=%E2%9C%93&amp;oem=7810RGSE5RD","7810RGSE5RD")</f>
        <v>7810RGSE5RD</v>
      </c>
      <c r="B8373" s="1" t="s">
        <v>15938</v>
      </c>
      <c r="C8373" s="9" t="s">
        <v>394</v>
      </c>
      <c r="D8373" s="14" t="s">
        <v>15939</v>
      </c>
      <c r="E8373" s="9" t="s">
        <v>11</v>
      </c>
    </row>
    <row r="8374" spans="1:5" ht="15" customHeight="1" outlineLevel="2" x14ac:dyDescent="0.25">
      <c r="A8374" s="3" t="str">
        <f>HYPERLINK("http://mystore1.ru/price_items/search?utf8=%E2%9C%93&amp;oem=7810RGSE5RQZ","7810RGSE5RQZ")</f>
        <v>7810RGSE5RQZ</v>
      </c>
      <c r="B8374" s="1" t="s">
        <v>15940</v>
      </c>
      <c r="C8374" s="9" t="s">
        <v>394</v>
      </c>
      <c r="D8374" s="14" t="s">
        <v>15941</v>
      </c>
      <c r="E8374" s="9" t="s">
        <v>11</v>
      </c>
    </row>
    <row r="8375" spans="1:5" ht="15" customHeight="1" outlineLevel="2" x14ac:dyDescent="0.25">
      <c r="A8375" s="3" t="str">
        <f>HYPERLINK("http://mystore1.ru/price_items/search?utf8=%E2%9C%93&amp;oem=7810RGSH5FD","7810RGSH5FD")</f>
        <v>7810RGSH5FD</v>
      </c>
      <c r="B8375" s="1" t="s">
        <v>15942</v>
      </c>
      <c r="C8375" s="9" t="s">
        <v>394</v>
      </c>
      <c r="D8375" s="14" t="s">
        <v>15943</v>
      </c>
      <c r="E8375" s="9" t="s">
        <v>11</v>
      </c>
    </row>
    <row r="8376" spans="1:5" ht="15" customHeight="1" outlineLevel="2" x14ac:dyDescent="0.25">
      <c r="A8376" s="3" t="str">
        <f>HYPERLINK("http://mystore1.ru/price_items/search?utf8=%E2%9C%93&amp;oem=7810RGSH5RD","7810RGSH5RD")</f>
        <v>7810RGSH5RD</v>
      </c>
      <c r="B8376" s="1" t="s">
        <v>15944</v>
      </c>
      <c r="C8376" s="9" t="s">
        <v>394</v>
      </c>
      <c r="D8376" s="14" t="s">
        <v>15945</v>
      </c>
      <c r="E8376" s="9" t="s">
        <v>11</v>
      </c>
    </row>
    <row r="8377" spans="1:5" outlineLevel="1" x14ac:dyDescent="0.25">
      <c r="A8377" s="2"/>
      <c r="B8377" s="6" t="s">
        <v>15946</v>
      </c>
      <c r="C8377" s="8"/>
      <c r="D8377" s="8"/>
      <c r="E8377" s="8"/>
    </row>
    <row r="8378" spans="1:5" ht="15" customHeight="1" outlineLevel="2" x14ac:dyDescent="0.25">
      <c r="A8378" s="3" t="str">
        <f>HYPERLINK("http://mystore1.ru/price_items/search?utf8=%E2%9C%93&amp;oem=7809AGNBLZ","7809AGNBLZ")</f>
        <v>7809AGNBLZ</v>
      </c>
      <c r="B8378" s="1" t="s">
        <v>15947</v>
      </c>
      <c r="C8378" s="9" t="s">
        <v>4782</v>
      </c>
      <c r="D8378" s="14" t="s">
        <v>15948</v>
      </c>
      <c r="E8378" s="9" t="s">
        <v>8</v>
      </c>
    </row>
    <row r="8379" spans="1:5" ht="15" customHeight="1" outlineLevel="2" x14ac:dyDescent="0.25">
      <c r="A8379" s="3" t="str">
        <f>HYPERLINK("http://mystore1.ru/price_items/search?utf8=%E2%9C%93&amp;oem=7809AGNGNVZ","7809AGNGNVZ")</f>
        <v>7809AGNGNVZ</v>
      </c>
      <c r="B8379" s="1" t="s">
        <v>15949</v>
      </c>
      <c r="C8379" s="9" t="s">
        <v>4782</v>
      </c>
      <c r="D8379" s="14" t="s">
        <v>15950</v>
      </c>
      <c r="E8379" s="9" t="s">
        <v>8</v>
      </c>
    </row>
    <row r="8380" spans="1:5" ht="15" customHeight="1" outlineLevel="2" x14ac:dyDescent="0.25">
      <c r="A8380" s="3" t="str">
        <f>HYPERLINK("http://mystore1.ru/price_items/search?utf8=%E2%9C%93&amp;oem=7809AGNGNZ","7809AGNGNZ")</f>
        <v>7809AGNGNZ</v>
      </c>
      <c r="B8380" s="1" t="s">
        <v>15951</v>
      </c>
      <c r="C8380" s="9" t="s">
        <v>4782</v>
      </c>
      <c r="D8380" s="14" t="s">
        <v>15952</v>
      </c>
      <c r="E8380" s="9" t="s">
        <v>8</v>
      </c>
    </row>
    <row r="8381" spans="1:5" ht="15" customHeight="1" outlineLevel="2" x14ac:dyDescent="0.25">
      <c r="A8381" s="3" t="str">
        <f>HYPERLINK("http://mystore1.ru/price_items/search?utf8=%E2%9C%93&amp;oem=7809AGNGYMVZ","7809AGNGYMVZ")</f>
        <v>7809AGNGYMVZ</v>
      </c>
      <c r="B8381" s="1" t="s">
        <v>15953</v>
      </c>
      <c r="C8381" s="9" t="s">
        <v>4782</v>
      </c>
      <c r="D8381" s="14" t="s">
        <v>15954</v>
      </c>
      <c r="E8381" s="9" t="s">
        <v>8</v>
      </c>
    </row>
    <row r="8382" spans="1:5" ht="15" customHeight="1" outlineLevel="2" x14ac:dyDescent="0.25">
      <c r="A8382" s="3" t="str">
        <f>HYPERLINK("http://mystore1.ru/price_items/search?utf8=%E2%9C%93&amp;oem=7809AGNGYMZ","7809AGNGYMZ")</f>
        <v>7809AGNGYMZ</v>
      </c>
      <c r="B8382" s="1" t="s">
        <v>15955</v>
      </c>
      <c r="C8382" s="9" t="s">
        <v>4782</v>
      </c>
      <c r="D8382" s="14" t="s">
        <v>15956</v>
      </c>
      <c r="E8382" s="9" t="s">
        <v>8</v>
      </c>
    </row>
    <row r="8383" spans="1:5" ht="15" customHeight="1" outlineLevel="2" x14ac:dyDescent="0.25">
      <c r="A8383" s="3" t="str">
        <f>HYPERLINK("http://mystore1.ru/price_items/search?utf8=%E2%9C%93&amp;oem=7809AGNGYVZ","7809AGNGYVZ")</f>
        <v>7809AGNGYVZ</v>
      </c>
      <c r="B8383" s="1" t="s">
        <v>15957</v>
      </c>
      <c r="C8383" s="9" t="s">
        <v>4782</v>
      </c>
      <c r="D8383" s="14" t="s">
        <v>15958</v>
      </c>
      <c r="E8383" s="9" t="s">
        <v>8</v>
      </c>
    </row>
    <row r="8384" spans="1:5" ht="15" customHeight="1" outlineLevel="2" x14ac:dyDescent="0.25">
      <c r="A8384" s="3" t="str">
        <f>HYPERLINK("http://mystore1.ru/price_items/search?utf8=%E2%9C%93&amp;oem=7809AGNVZ","7809AGNVZ")</f>
        <v>7809AGNVZ</v>
      </c>
      <c r="B8384" s="1" t="s">
        <v>15959</v>
      </c>
      <c r="C8384" s="9" t="s">
        <v>4782</v>
      </c>
      <c r="D8384" s="14" t="s">
        <v>15960</v>
      </c>
      <c r="E8384" s="9" t="s">
        <v>8</v>
      </c>
    </row>
    <row r="8385" spans="1:5" ht="15" customHeight="1" outlineLevel="2" x14ac:dyDescent="0.25">
      <c r="A8385" s="3" t="str">
        <f>HYPERLINK("http://mystore1.ru/price_items/search?utf8=%E2%9C%93&amp;oem=7809AGNZ","7809AGNZ")</f>
        <v>7809AGNZ</v>
      </c>
      <c r="B8385" s="1" t="s">
        <v>15961</v>
      </c>
      <c r="C8385" s="9" t="s">
        <v>4782</v>
      </c>
      <c r="D8385" s="14" t="s">
        <v>15962</v>
      </c>
      <c r="E8385" s="9" t="s">
        <v>8</v>
      </c>
    </row>
    <row r="8386" spans="1:5" ht="15" customHeight="1" outlineLevel="2" x14ac:dyDescent="0.25">
      <c r="A8386" s="3" t="str">
        <f>HYPERLINK("http://mystore1.ru/price_items/search?utf8=%E2%9C%93&amp;oem=7809BGNSBZ","7809BGNSBZ")</f>
        <v>7809BGNSBZ</v>
      </c>
      <c r="B8386" s="1" t="s">
        <v>15963</v>
      </c>
      <c r="C8386" s="9" t="s">
        <v>4782</v>
      </c>
      <c r="D8386" s="14" t="s">
        <v>15964</v>
      </c>
      <c r="E8386" s="9" t="s">
        <v>30</v>
      </c>
    </row>
    <row r="8387" spans="1:5" ht="15" customHeight="1" outlineLevel="2" x14ac:dyDescent="0.25">
      <c r="A8387" s="3" t="str">
        <f>HYPERLINK("http://mystore1.ru/price_items/search?utf8=%E2%9C%93&amp;oem=7809LGNS4FD","7809LGNS4FD")</f>
        <v>7809LGNS4FD</v>
      </c>
      <c r="B8387" s="1" t="s">
        <v>15965</v>
      </c>
      <c r="C8387" s="9" t="s">
        <v>4782</v>
      </c>
      <c r="D8387" s="14" t="s">
        <v>15966</v>
      </c>
      <c r="E8387" s="9" t="s">
        <v>11</v>
      </c>
    </row>
    <row r="8388" spans="1:5" ht="15" customHeight="1" outlineLevel="2" x14ac:dyDescent="0.25">
      <c r="A8388" s="3" t="str">
        <f>HYPERLINK("http://mystore1.ru/price_items/search?utf8=%E2%9C%93&amp;oem=7809LGNS4RD","7809LGNS4RD")</f>
        <v>7809LGNS4RD</v>
      </c>
      <c r="B8388" s="1" t="s">
        <v>15967</v>
      </c>
      <c r="C8388" s="9" t="s">
        <v>4782</v>
      </c>
      <c r="D8388" s="14" t="s">
        <v>15968</v>
      </c>
      <c r="E8388" s="9" t="s">
        <v>11</v>
      </c>
    </row>
    <row r="8389" spans="1:5" ht="15" customHeight="1" outlineLevel="2" x14ac:dyDescent="0.25">
      <c r="A8389" s="3" t="str">
        <f>HYPERLINK("http://mystore1.ru/price_items/search?utf8=%E2%9C%93&amp;oem=7809LGNS4RV","7809LGNS4RV")</f>
        <v>7809LGNS4RV</v>
      </c>
      <c r="B8389" s="1" t="s">
        <v>15969</v>
      </c>
      <c r="C8389" s="9" t="s">
        <v>4782</v>
      </c>
      <c r="D8389" s="14" t="s">
        <v>15970</v>
      </c>
      <c r="E8389" s="9" t="s">
        <v>11</v>
      </c>
    </row>
    <row r="8390" spans="1:5" ht="15" customHeight="1" outlineLevel="2" x14ac:dyDescent="0.25">
      <c r="A8390" s="3" t="str">
        <f>HYPERLINK("http://mystore1.ru/price_items/search?utf8=%E2%9C%93&amp;oem=7809RGNS4FD","7809RGNS4FD")</f>
        <v>7809RGNS4FD</v>
      </c>
      <c r="B8390" s="1" t="s">
        <v>15971</v>
      </c>
      <c r="C8390" s="9" t="s">
        <v>4782</v>
      </c>
      <c r="D8390" s="14" t="s">
        <v>15972</v>
      </c>
      <c r="E8390" s="9" t="s">
        <v>11</v>
      </c>
    </row>
    <row r="8391" spans="1:5" ht="15" customHeight="1" outlineLevel="2" x14ac:dyDescent="0.25">
      <c r="A8391" s="3" t="str">
        <f>HYPERLINK("http://mystore1.ru/price_items/search?utf8=%E2%9C%93&amp;oem=7809RGNS4RV","7809RGNS4RV")</f>
        <v>7809RGNS4RV</v>
      </c>
      <c r="B8391" s="1" t="s">
        <v>15973</v>
      </c>
      <c r="C8391" s="9" t="s">
        <v>4782</v>
      </c>
      <c r="D8391" s="14" t="s">
        <v>15974</v>
      </c>
      <c r="E8391" s="9" t="s">
        <v>11</v>
      </c>
    </row>
    <row r="8392" spans="1:5" outlineLevel="1" x14ac:dyDescent="0.25">
      <c r="A8392" s="2"/>
      <c r="B8392" s="6" t="s">
        <v>15975</v>
      </c>
      <c r="C8392" s="8"/>
      <c r="D8392" s="8"/>
      <c r="E8392" s="8"/>
    </row>
    <row r="8393" spans="1:5" ht="15" customHeight="1" outlineLevel="2" x14ac:dyDescent="0.25">
      <c r="A8393" s="3" t="str">
        <f>HYPERLINK("http://mystore1.ru/price_items/search?utf8=%E2%9C%93&amp;oem=7812AGSGYMVZ","7812AGSGYMVZ")</f>
        <v>7812AGSGYMVZ</v>
      </c>
      <c r="B8393" s="1" t="s">
        <v>15976</v>
      </c>
      <c r="C8393" s="9" t="s">
        <v>642</v>
      </c>
      <c r="D8393" s="14" t="s">
        <v>15977</v>
      </c>
      <c r="E8393" s="9" t="s">
        <v>8</v>
      </c>
    </row>
    <row r="8394" spans="1:5" ht="15" customHeight="1" outlineLevel="2" x14ac:dyDescent="0.25">
      <c r="A8394" s="3" t="str">
        <f>HYPERLINK("http://mystore1.ru/price_items/search?utf8=%E2%9C%93&amp;oem=7812BGSHBW","7812BGSHBW")</f>
        <v>7812BGSHBW</v>
      </c>
      <c r="B8394" s="1" t="s">
        <v>15978</v>
      </c>
      <c r="C8394" s="9" t="s">
        <v>642</v>
      </c>
      <c r="D8394" s="14" t="s">
        <v>15979</v>
      </c>
      <c r="E8394" s="9" t="s">
        <v>30</v>
      </c>
    </row>
    <row r="8395" spans="1:5" ht="15" customHeight="1" outlineLevel="2" x14ac:dyDescent="0.25">
      <c r="A8395" s="3" t="str">
        <f>HYPERLINK("http://mystore1.ru/price_items/search?utf8=%E2%9C%93&amp;oem=7812BGDHBW","7812BGDHBW")</f>
        <v>7812BGDHBW</v>
      </c>
      <c r="B8395" s="1" t="s">
        <v>15980</v>
      </c>
      <c r="C8395" s="9" t="s">
        <v>642</v>
      </c>
      <c r="D8395" s="14" t="s">
        <v>15981</v>
      </c>
      <c r="E8395" s="9" t="s">
        <v>30</v>
      </c>
    </row>
    <row r="8396" spans="1:5" ht="15" customHeight="1" outlineLevel="2" x14ac:dyDescent="0.25">
      <c r="A8396" s="3" t="str">
        <f>HYPERLINK("http://mystore1.ru/price_items/search?utf8=%E2%9C%93&amp;oem=7812BGSHABW","7812BGSHABW")</f>
        <v>7812BGSHABW</v>
      </c>
      <c r="B8396" s="1" t="s">
        <v>15982</v>
      </c>
      <c r="C8396" s="9" t="s">
        <v>642</v>
      </c>
      <c r="D8396" s="14" t="s">
        <v>15983</v>
      </c>
      <c r="E8396" s="9" t="s">
        <v>30</v>
      </c>
    </row>
    <row r="8397" spans="1:5" ht="15" customHeight="1" outlineLevel="2" x14ac:dyDescent="0.25">
      <c r="A8397" s="3" t="str">
        <f>HYPERLINK("http://mystore1.ru/price_items/search?utf8=%E2%9C%93&amp;oem=7812BGDHABW","7812BGDHABW")</f>
        <v>7812BGDHABW</v>
      </c>
      <c r="B8397" s="1" t="s">
        <v>15984</v>
      </c>
      <c r="C8397" s="9" t="s">
        <v>642</v>
      </c>
      <c r="D8397" s="14" t="s">
        <v>15985</v>
      </c>
      <c r="E8397" s="9" t="s">
        <v>30</v>
      </c>
    </row>
    <row r="8398" spans="1:5" outlineLevel="1" x14ac:dyDescent="0.25">
      <c r="A8398" s="2"/>
      <c r="B8398" s="6" t="s">
        <v>15986</v>
      </c>
      <c r="C8398" s="8"/>
      <c r="D8398" s="8"/>
      <c r="E8398" s="8"/>
    </row>
    <row r="8399" spans="1:5" outlineLevel="2" x14ac:dyDescent="0.25">
      <c r="A8399" s="3" t="str">
        <f>HYPERLINK("http://mystore1.ru/price_items/search?utf8=%E2%9C%93&amp;oem=7813ACLVWZ","7813ACLVWZ")</f>
        <v>7813ACLVWZ</v>
      </c>
      <c r="B8399" s="1" t="s">
        <v>15987</v>
      </c>
      <c r="C8399" s="9" t="s">
        <v>369</v>
      </c>
      <c r="D8399" s="14" t="s">
        <v>15988</v>
      </c>
      <c r="E8399" s="9" t="s">
        <v>8</v>
      </c>
    </row>
    <row r="8400" spans="1:5" outlineLevel="2" x14ac:dyDescent="0.25">
      <c r="A8400" s="3" t="str">
        <f>HYPERLINK("http://mystore1.ru/price_items/search?utf8=%E2%9C%93&amp;oem=7813AGSMVWZ1P","7813AGSMVWZ1P")</f>
        <v>7813AGSMVWZ1P</v>
      </c>
      <c r="B8400" s="1" t="s">
        <v>15989</v>
      </c>
      <c r="C8400" s="9" t="s">
        <v>369</v>
      </c>
      <c r="D8400" s="14" t="s">
        <v>15990</v>
      </c>
      <c r="E8400" s="9" t="s">
        <v>8</v>
      </c>
    </row>
    <row r="8401" spans="1:5" outlineLevel="2" x14ac:dyDescent="0.25">
      <c r="A8401" s="3" t="str">
        <f>HYPERLINK("http://mystore1.ru/price_items/search?utf8=%E2%9C%93&amp;oem=7813RGDR5RQW","7813RGDR5RQW")</f>
        <v>7813RGDR5RQW</v>
      </c>
      <c r="B8401" s="1" t="s">
        <v>15991</v>
      </c>
      <c r="C8401" s="9" t="s">
        <v>369</v>
      </c>
      <c r="D8401" s="14" t="s">
        <v>15992</v>
      </c>
      <c r="E8401" s="9" t="s">
        <v>30</v>
      </c>
    </row>
    <row r="8402" spans="1:5" x14ac:dyDescent="0.25">
      <c r="A8402" s="61" t="s">
        <v>15993</v>
      </c>
      <c r="B8402" s="61"/>
      <c r="C8402" s="61"/>
      <c r="D8402" s="61"/>
      <c r="E8402" s="61"/>
    </row>
    <row r="8403" spans="1:5" outlineLevel="1" x14ac:dyDescent="0.25">
      <c r="A8403" s="2"/>
      <c r="B8403" s="6" t="s">
        <v>15994</v>
      </c>
      <c r="C8403" s="8"/>
      <c r="D8403" s="8"/>
      <c r="E8403" s="8"/>
    </row>
    <row r="8404" spans="1:5" ht="15" customHeight="1" outlineLevel="2" x14ac:dyDescent="0.25">
      <c r="A8404" s="3" t="str">
        <f>HYPERLINK("http://mystore1.ru/price_items/search?utf8=%E2%9C%93&amp;oem=3008AGNBL","3008AGNBL")</f>
        <v>3008AGNBL</v>
      </c>
      <c r="B8404" s="1" t="s">
        <v>15995</v>
      </c>
      <c r="C8404" s="9" t="s">
        <v>15996</v>
      </c>
      <c r="D8404" s="14" t="s">
        <v>15997</v>
      </c>
      <c r="E8404" s="9" t="s">
        <v>8</v>
      </c>
    </row>
    <row r="8405" spans="1:5" outlineLevel="1" x14ac:dyDescent="0.25">
      <c r="A8405" s="2"/>
      <c r="B8405" s="6" t="s">
        <v>15998</v>
      </c>
      <c r="C8405" s="8"/>
      <c r="D8405" s="8"/>
      <c r="E8405" s="8"/>
    </row>
    <row r="8406" spans="1:5" ht="15" customHeight="1" outlineLevel="2" x14ac:dyDescent="0.25">
      <c r="A8406" s="3" t="str">
        <f>HYPERLINK("http://mystore1.ru/price_items/search?utf8=%E2%9C%93&amp;oem=3009AGNBL","3009AGNBL")</f>
        <v>3009AGNBL</v>
      </c>
      <c r="B8406" s="1" t="s">
        <v>15999</v>
      </c>
      <c r="C8406" s="9" t="s">
        <v>3575</v>
      </c>
      <c r="D8406" s="14" t="s">
        <v>16000</v>
      </c>
      <c r="E8406" s="9" t="s">
        <v>8</v>
      </c>
    </row>
    <row r="8407" spans="1:5" ht="15" customHeight="1" outlineLevel="2" x14ac:dyDescent="0.25">
      <c r="A8407" s="3" t="str">
        <f>HYPERLINK("http://mystore1.ru/price_items/search?utf8=%E2%9C%93&amp;oem=3009LGNR3FD","3009LGNR3FD")</f>
        <v>3009LGNR3FD</v>
      </c>
      <c r="B8407" s="1" t="s">
        <v>16001</v>
      </c>
      <c r="C8407" s="9" t="s">
        <v>3575</v>
      </c>
      <c r="D8407" s="14" t="s">
        <v>16002</v>
      </c>
      <c r="E8407" s="9" t="s">
        <v>11</v>
      </c>
    </row>
    <row r="8408" spans="1:5" ht="15" customHeight="1" outlineLevel="2" x14ac:dyDescent="0.25">
      <c r="A8408" s="3" t="str">
        <f>HYPERLINK("http://mystore1.ru/price_items/search?utf8=%E2%9C%93&amp;oem=3009RGNR3FD","3009RGNR3FD")</f>
        <v>3009RGNR3FD</v>
      </c>
      <c r="B8408" s="1" t="s">
        <v>16003</v>
      </c>
      <c r="C8408" s="9" t="s">
        <v>3575</v>
      </c>
      <c r="D8408" s="14" t="s">
        <v>16004</v>
      </c>
      <c r="E8408" s="9" t="s">
        <v>11</v>
      </c>
    </row>
    <row r="8409" spans="1:5" outlineLevel="1" x14ac:dyDescent="0.25">
      <c r="A8409" s="2"/>
      <c r="B8409" s="6" t="s">
        <v>16005</v>
      </c>
      <c r="C8409" s="47"/>
      <c r="D8409" s="8"/>
      <c r="E8409" s="8"/>
    </row>
    <row r="8410" spans="1:5" ht="15" customHeight="1" outlineLevel="2" x14ac:dyDescent="0.25">
      <c r="A8410" s="3" t="str">
        <f>HYPERLINK("http://mystore1.ru/price_items/search?utf8=%E2%9C%93&amp;oem=3020AGNBLHV","3020AGNBLHV")</f>
        <v>3020AGNBLHV</v>
      </c>
      <c r="B8410" s="1" t="s">
        <v>16006</v>
      </c>
      <c r="C8410" s="9" t="s">
        <v>687</v>
      </c>
      <c r="D8410" s="14" t="s">
        <v>16007</v>
      </c>
      <c r="E8410" s="9" t="s">
        <v>8</v>
      </c>
    </row>
    <row r="8411" spans="1:5" ht="15" customHeight="1" outlineLevel="2" x14ac:dyDescent="0.25">
      <c r="A8411" s="3" t="str">
        <f>HYPERLINK("http://mystore1.ru/price_items/search?utf8=%E2%9C%93&amp;oem=3020AGNBLHMV1B","3020AGNBLHMV1B")</f>
        <v>3020AGNBLHMV1B</v>
      </c>
      <c r="B8411" s="1" t="s">
        <v>16008</v>
      </c>
      <c r="C8411" s="9" t="s">
        <v>687</v>
      </c>
      <c r="D8411" s="14" t="s">
        <v>16009</v>
      </c>
      <c r="E8411" s="9" t="s">
        <v>8</v>
      </c>
    </row>
    <row r="8412" spans="1:5" ht="15" customHeight="1" outlineLevel="2" x14ac:dyDescent="0.25">
      <c r="A8412" s="3" t="str">
        <f>HYPERLINK("http://mystore1.ru/price_items/search?utf8=%E2%9C%93&amp;oem=3020ASMM","3020ASMM")</f>
        <v>3020ASMM</v>
      </c>
      <c r="B8412" s="1" t="s">
        <v>16010</v>
      </c>
      <c r="C8412" s="9" t="s">
        <v>25</v>
      </c>
      <c r="D8412" s="14" t="s">
        <v>16011</v>
      </c>
      <c r="E8412" s="9" t="s">
        <v>27</v>
      </c>
    </row>
    <row r="8413" spans="1:5" ht="15" customHeight="1" outlineLevel="2" x14ac:dyDescent="0.25">
      <c r="A8413" s="3" t="str">
        <f>HYPERLINK("http://mystore1.ru/price_items/search?utf8=%E2%9C%93&amp;oem=3020BGNMAW","3020BGNMAW")</f>
        <v>3020BGNMAW</v>
      </c>
      <c r="B8413" s="1" t="s">
        <v>16012</v>
      </c>
      <c r="C8413" s="9" t="s">
        <v>687</v>
      </c>
      <c r="D8413" s="14" t="s">
        <v>16013</v>
      </c>
      <c r="E8413" s="9" t="s">
        <v>30</v>
      </c>
    </row>
    <row r="8414" spans="1:5" ht="15" customHeight="1" outlineLevel="2" x14ac:dyDescent="0.25">
      <c r="A8414" s="3" t="str">
        <f>HYPERLINK("http://mystore1.ru/price_items/search?utf8=%E2%9C%93&amp;oem=3020LGNM5FD","3020LGNM5FD")</f>
        <v>3020LGNM5FD</v>
      </c>
      <c r="B8414" s="1" t="s">
        <v>16014</v>
      </c>
      <c r="C8414" s="9" t="s">
        <v>687</v>
      </c>
      <c r="D8414" s="14" t="s">
        <v>16015</v>
      </c>
      <c r="E8414" s="9" t="s">
        <v>11</v>
      </c>
    </row>
    <row r="8415" spans="1:5" ht="15" customHeight="1" outlineLevel="2" x14ac:dyDescent="0.25">
      <c r="A8415" s="3" t="str">
        <f>HYPERLINK("http://mystore1.ru/price_items/search?utf8=%E2%9C%93&amp;oem=3020LGNM5RD","3020LGNM5RD")</f>
        <v>3020LGNM5RD</v>
      </c>
      <c r="B8415" s="1" t="s">
        <v>16016</v>
      </c>
      <c r="C8415" s="9" t="s">
        <v>687</v>
      </c>
      <c r="D8415" s="14" t="s">
        <v>16017</v>
      </c>
      <c r="E8415" s="9" t="s">
        <v>11</v>
      </c>
    </row>
    <row r="8416" spans="1:5" ht="15" customHeight="1" outlineLevel="2" x14ac:dyDescent="0.25">
      <c r="A8416" s="3" t="str">
        <f>HYPERLINK("http://mystore1.ru/price_items/search?utf8=%E2%9C%93&amp;oem=3020RGNM5FD","3020RGNM5FD")</f>
        <v>3020RGNM5FD</v>
      </c>
      <c r="B8416" s="1" t="s">
        <v>16018</v>
      </c>
      <c r="C8416" s="9" t="s">
        <v>687</v>
      </c>
      <c r="D8416" s="14" t="s">
        <v>16019</v>
      </c>
      <c r="E8416" s="9" t="s">
        <v>11</v>
      </c>
    </row>
    <row r="8417" spans="1:5" ht="15" customHeight="1" outlineLevel="2" x14ac:dyDescent="0.25">
      <c r="A8417" s="3" t="str">
        <f>HYPERLINK("http://mystore1.ru/price_items/search?utf8=%E2%9C%93&amp;oem=3020RGNM5RD","3020RGNM5RD")</f>
        <v>3020RGNM5RD</v>
      </c>
      <c r="B8417" s="1" t="s">
        <v>16020</v>
      </c>
      <c r="C8417" s="9" t="s">
        <v>687</v>
      </c>
      <c r="D8417" s="14" t="s">
        <v>16021</v>
      </c>
      <c r="E8417" s="9" t="s">
        <v>11</v>
      </c>
    </row>
    <row r="8418" spans="1:5" outlineLevel="1" x14ac:dyDescent="0.25">
      <c r="A8418" s="2"/>
      <c r="B8418" s="6" t="s">
        <v>16022</v>
      </c>
      <c r="C8418" s="8"/>
      <c r="D8418" s="8"/>
      <c r="E8418" s="8"/>
    </row>
    <row r="8419" spans="1:5" ht="15" customHeight="1" outlineLevel="2" x14ac:dyDescent="0.25">
      <c r="A8419" s="3" t="str">
        <f>HYPERLINK("http://mystore1.ru/price_items/search?utf8=%E2%9C%93&amp;oem=3007AGNBL","3007AGNBL")</f>
        <v>3007AGNBL</v>
      </c>
      <c r="B8419" s="1" t="s">
        <v>16023</v>
      </c>
      <c r="C8419" s="9" t="s">
        <v>234</v>
      </c>
      <c r="D8419" s="14" t="s">
        <v>16024</v>
      </c>
      <c r="E8419" s="9" t="s">
        <v>8</v>
      </c>
    </row>
    <row r="8420" spans="1:5" ht="15" customHeight="1" outlineLevel="2" x14ac:dyDescent="0.25">
      <c r="A8420" s="3" t="str">
        <f>HYPERLINK("http://mystore1.ru/price_items/search?utf8=%E2%9C%93&amp;oem=3007ASMRT","3007ASMRT")</f>
        <v>3007ASMRT</v>
      </c>
      <c r="B8420" s="1" t="s">
        <v>16025</v>
      </c>
      <c r="C8420" s="9" t="s">
        <v>25</v>
      </c>
      <c r="D8420" s="14" t="s">
        <v>16026</v>
      </c>
      <c r="E8420" s="9" t="s">
        <v>27</v>
      </c>
    </row>
    <row r="8421" spans="1:5" ht="15" customHeight="1" outlineLevel="2" x14ac:dyDescent="0.25">
      <c r="A8421" s="3" t="str">
        <f>HYPERLINK("http://mystore1.ru/price_items/search?utf8=%E2%9C%93&amp;oem=3007LGNR5FD","3007LGNR5FD")</f>
        <v>3007LGNR5FD</v>
      </c>
      <c r="B8421" s="1" t="s">
        <v>16027</v>
      </c>
      <c r="C8421" s="9" t="s">
        <v>234</v>
      </c>
      <c r="D8421" s="14" t="s">
        <v>16028</v>
      </c>
      <c r="E8421" s="9" t="s">
        <v>11</v>
      </c>
    </row>
    <row r="8422" spans="1:5" ht="15" customHeight="1" outlineLevel="2" x14ac:dyDescent="0.25">
      <c r="A8422" s="3" t="str">
        <f>HYPERLINK("http://mystore1.ru/price_items/search?utf8=%E2%9C%93&amp;oem=3007LGNR5RD","3007LGNR5RD")</f>
        <v>3007LGNR5RD</v>
      </c>
      <c r="B8422" s="1" t="s">
        <v>16029</v>
      </c>
      <c r="C8422" s="9" t="s">
        <v>234</v>
      </c>
      <c r="D8422" s="14" t="s">
        <v>16030</v>
      </c>
      <c r="E8422" s="9" t="s">
        <v>11</v>
      </c>
    </row>
    <row r="8423" spans="1:5" ht="15" customHeight="1" outlineLevel="2" x14ac:dyDescent="0.25">
      <c r="A8423" s="3" t="str">
        <f>HYPERLINK("http://mystore1.ru/price_items/search?utf8=%E2%9C%93&amp;oem=3007RGNR5FD","3007RGNR5FD")</f>
        <v>3007RGNR5FD</v>
      </c>
      <c r="B8423" s="1" t="s">
        <v>16031</v>
      </c>
      <c r="C8423" s="9" t="s">
        <v>234</v>
      </c>
      <c r="D8423" s="14" t="s">
        <v>16032</v>
      </c>
      <c r="E8423" s="9" t="s">
        <v>11</v>
      </c>
    </row>
    <row r="8424" spans="1:5" ht="15" customHeight="1" outlineLevel="2" x14ac:dyDescent="0.25">
      <c r="A8424" s="3" t="str">
        <f>HYPERLINK("http://mystore1.ru/price_items/search?utf8=%E2%9C%93&amp;oem=3007RGNR5RD","3007RGNR5RD")</f>
        <v>3007RGNR5RD</v>
      </c>
      <c r="B8424" s="1" t="s">
        <v>16033</v>
      </c>
      <c r="C8424" s="9" t="s">
        <v>234</v>
      </c>
      <c r="D8424" s="14" t="s">
        <v>16034</v>
      </c>
      <c r="E8424" s="9" t="s">
        <v>11</v>
      </c>
    </row>
    <row r="8425" spans="1:5" ht="15" customHeight="1" outlineLevel="2" x14ac:dyDescent="0.25">
      <c r="A8425" s="3" t="str">
        <f>HYPERLINK("http://mystore1.ru/price_items/search?utf8=%E2%9C%93&amp;oem=3007RGNR5RV","3007RGNR5RV")</f>
        <v>3007RGNR5RV</v>
      </c>
      <c r="B8425" s="1" t="s">
        <v>16035</v>
      </c>
      <c r="C8425" s="9" t="s">
        <v>234</v>
      </c>
      <c r="D8425" s="14" t="s">
        <v>16036</v>
      </c>
      <c r="E8425" s="9" t="s">
        <v>11</v>
      </c>
    </row>
    <row r="8426" spans="1:5" outlineLevel="1" x14ac:dyDescent="0.25">
      <c r="A8426" s="2"/>
      <c r="B8426" s="6" t="s">
        <v>16037</v>
      </c>
      <c r="C8426" s="8"/>
      <c r="D8426" s="8"/>
      <c r="E8426" s="8"/>
    </row>
    <row r="8427" spans="1:5" ht="15" customHeight="1" outlineLevel="2" x14ac:dyDescent="0.25">
      <c r="A8427" s="3" t="str">
        <f>HYPERLINK("http://mystore1.ru/price_items/search?utf8=%E2%9C%93&amp;oem=3015AGSBL","3015AGSBL")</f>
        <v>3015AGSBL</v>
      </c>
      <c r="B8427" s="1" t="s">
        <v>16038</v>
      </c>
      <c r="C8427" s="9" t="s">
        <v>1888</v>
      </c>
      <c r="D8427" s="14" t="s">
        <v>16039</v>
      </c>
      <c r="E8427" s="9" t="s">
        <v>8</v>
      </c>
    </row>
    <row r="8428" spans="1:5" ht="15" customHeight="1" outlineLevel="2" x14ac:dyDescent="0.25">
      <c r="A8428" s="3" t="str">
        <f>HYPERLINK("http://mystore1.ru/price_items/search?utf8=%E2%9C%93&amp;oem=3015AGSBL","3015AGSBL")</f>
        <v>3015AGSBL</v>
      </c>
      <c r="B8428" s="1" t="s">
        <v>16040</v>
      </c>
      <c r="C8428" s="9" t="s">
        <v>1888</v>
      </c>
      <c r="D8428" s="14" t="s">
        <v>16039</v>
      </c>
      <c r="E8428" s="9" t="s">
        <v>8</v>
      </c>
    </row>
    <row r="8429" spans="1:5" ht="15" customHeight="1" outlineLevel="2" x14ac:dyDescent="0.25">
      <c r="A8429" s="3" t="str">
        <f>HYPERLINK("http://mystore1.ru/price_items/search?utf8=%E2%9C%93&amp;oem=3015AGSBLH","3015AGSBLH")</f>
        <v>3015AGSBLH</v>
      </c>
      <c r="B8429" s="1" t="s">
        <v>16041</v>
      </c>
      <c r="C8429" s="9" t="s">
        <v>1888</v>
      </c>
      <c r="D8429" s="14" t="s">
        <v>16042</v>
      </c>
      <c r="E8429" s="9" t="s">
        <v>8</v>
      </c>
    </row>
    <row r="8430" spans="1:5" ht="15" customHeight="1" outlineLevel="2" x14ac:dyDescent="0.25">
      <c r="A8430" s="3" t="str">
        <f>HYPERLINK("http://mystore1.ru/price_items/search?utf8=%E2%9C%93&amp;oem=3015ASMR","3015ASMR")</f>
        <v>3015ASMR</v>
      </c>
      <c r="B8430" s="1" t="s">
        <v>16043</v>
      </c>
      <c r="C8430" s="9" t="s">
        <v>25</v>
      </c>
      <c r="D8430" s="14" t="s">
        <v>16044</v>
      </c>
      <c r="E8430" s="9" t="s">
        <v>27</v>
      </c>
    </row>
    <row r="8431" spans="1:5" ht="15" customHeight="1" outlineLevel="2" x14ac:dyDescent="0.25">
      <c r="A8431" s="3" t="str">
        <f>HYPERLINK("http://mystore1.ru/price_items/search?utf8=%E2%9C%93&amp;oem=3015BGDRW","3015BGDRW")</f>
        <v>3015BGDRW</v>
      </c>
      <c r="B8431" s="1" t="s">
        <v>16045</v>
      </c>
      <c r="C8431" s="9" t="s">
        <v>1888</v>
      </c>
      <c r="D8431" s="14" t="s">
        <v>16046</v>
      </c>
      <c r="E8431" s="9" t="s">
        <v>30</v>
      </c>
    </row>
    <row r="8432" spans="1:5" ht="15" customHeight="1" outlineLevel="2" x14ac:dyDescent="0.25">
      <c r="A8432" s="3" t="str">
        <f>HYPERLINK("http://mystore1.ru/price_items/search?utf8=%E2%9C%93&amp;oem=3015BGSROW1H","3015BGSROW1H")</f>
        <v>3015BGSROW1H</v>
      </c>
      <c r="B8432" s="1" t="s">
        <v>16047</v>
      </c>
      <c r="C8432" s="9" t="s">
        <v>1888</v>
      </c>
      <c r="D8432" s="14" t="s">
        <v>16048</v>
      </c>
      <c r="E8432" s="9" t="s">
        <v>30</v>
      </c>
    </row>
    <row r="8433" spans="1:5" ht="15" customHeight="1" outlineLevel="2" x14ac:dyDescent="0.25">
      <c r="A8433" s="3" t="str">
        <f>HYPERLINK("http://mystore1.ru/price_items/search?utf8=%E2%9C%93&amp;oem=3015BGSRW","3015BGSRW")</f>
        <v>3015BGSRW</v>
      </c>
      <c r="B8433" s="1" t="s">
        <v>16049</v>
      </c>
      <c r="C8433" s="9" t="s">
        <v>1888</v>
      </c>
      <c r="D8433" s="14" t="s">
        <v>16050</v>
      </c>
      <c r="E8433" s="9" t="s">
        <v>30</v>
      </c>
    </row>
    <row r="8434" spans="1:5" ht="15" customHeight="1" outlineLevel="2" x14ac:dyDescent="0.25">
      <c r="A8434" s="3" t="str">
        <f>HYPERLINK("http://mystore1.ru/price_items/search?utf8=%E2%9C%93&amp;oem=3015LCLR5FD","3015LCLR5FD")</f>
        <v>3015LCLR5FD</v>
      </c>
      <c r="B8434" s="1" t="s">
        <v>16051</v>
      </c>
      <c r="C8434" s="9" t="s">
        <v>1888</v>
      </c>
      <c r="D8434" s="14" t="s">
        <v>16052</v>
      </c>
      <c r="E8434" s="9" t="s">
        <v>11</v>
      </c>
    </row>
    <row r="8435" spans="1:5" ht="15" customHeight="1" outlineLevel="2" x14ac:dyDescent="0.25">
      <c r="A8435" s="3" t="str">
        <f>HYPERLINK("http://mystore1.ru/price_items/search?utf8=%E2%9C%93&amp;oem=3015LCLR5RD","3015LCLR5RD")</f>
        <v>3015LCLR5RD</v>
      </c>
      <c r="B8435" s="1" t="s">
        <v>16053</v>
      </c>
      <c r="C8435" s="9" t="s">
        <v>1888</v>
      </c>
      <c r="D8435" s="14" t="s">
        <v>16054</v>
      </c>
      <c r="E8435" s="9" t="s">
        <v>11</v>
      </c>
    </row>
    <row r="8436" spans="1:5" ht="15" customHeight="1" outlineLevel="2" x14ac:dyDescent="0.25">
      <c r="A8436" s="3" t="str">
        <f>HYPERLINK("http://mystore1.ru/price_items/search?utf8=%E2%9C%93&amp;oem=3015LCLR5RQ","3015LCLR5RQ")</f>
        <v>3015LCLR5RQ</v>
      </c>
      <c r="B8436" s="1" t="s">
        <v>16055</v>
      </c>
      <c r="C8436" s="9" t="s">
        <v>1888</v>
      </c>
      <c r="D8436" s="14" t="s">
        <v>16056</v>
      </c>
      <c r="E8436" s="9" t="s">
        <v>11</v>
      </c>
    </row>
    <row r="8437" spans="1:5" ht="15" customHeight="1" outlineLevel="2" x14ac:dyDescent="0.25">
      <c r="A8437" s="3" t="str">
        <f>HYPERLINK("http://mystore1.ru/price_items/search?utf8=%E2%9C%93&amp;oem=3015LGDR5RD","3015LGDR5RD")</f>
        <v>3015LGDR5RD</v>
      </c>
      <c r="B8437" s="1" t="s">
        <v>16057</v>
      </c>
      <c r="C8437" s="9" t="s">
        <v>1888</v>
      </c>
      <c r="D8437" s="14" t="s">
        <v>16058</v>
      </c>
      <c r="E8437" s="9" t="s">
        <v>11</v>
      </c>
    </row>
    <row r="8438" spans="1:5" ht="15" customHeight="1" outlineLevel="2" x14ac:dyDescent="0.25">
      <c r="A8438" s="3" t="str">
        <f>HYPERLINK("http://mystore1.ru/price_items/search?utf8=%E2%9C%93&amp;oem=3015LGDR5RQ","3015LGDR5RQ")</f>
        <v>3015LGDR5RQ</v>
      </c>
      <c r="B8438" s="1" t="s">
        <v>16059</v>
      </c>
      <c r="C8438" s="9" t="s">
        <v>1888</v>
      </c>
      <c r="D8438" s="14" t="s">
        <v>16060</v>
      </c>
      <c r="E8438" s="9" t="s">
        <v>11</v>
      </c>
    </row>
    <row r="8439" spans="1:5" ht="15" customHeight="1" outlineLevel="2" x14ac:dyDescent="0.25">
      <c r="A8439" s="3" t="str">
        <f>HYPERLINK("http://mystore1.ru/price_items/search?utf8=%E2%9C%93&amp;oem=3015LGDR5RQA","3015LGDR5RQA")</f>
        <v>3015LGDR5RQA</v>
      </c>
      <c r="B8439" s="1" t="s">
        <v>16061</v>
      </c>
      <c r="C8439" s="9" t="s">
        <v>1888</v>
      </c>
      <c r="D8439" s="14" t="s">
        <v>16062</v>
      </c>
      <c r="E8439" s="9" t="s">
        <v>11</v>
      </c>
    </row>
    <row r="8440" spans="1:5" ht="15" customHeight="1" outlineLevel="2" x14ac:dyDescent="0.25">
      <c r="A8440" s="3" t="str">
        <f>HYPERLINK("http://mystore1.ru/price_items/search?utf8=%E2%9C%93&amp;oem=3015LGDR5RQ1J","3015LGDR5RQ1J")</f>
        <v>3015LGDR5RQ1J</v>
      </c>
      <c r="B8440" s="1" t="s">
        <v>16063</v>
      </c>
      <c r="C8440" s="9" t="s">
        <v>1888</v>
      </c>
      <c r="D8440" s="14" t="s">
        <v>16064</v>
      </c>
      <c r="E8440" s="9" t="s">
        <v>11</v>
      </c>
    </row>
    <row r="8441" spans="1:5" ht="15" customHeight="1" outlineLevel="2" x14ac:dyDescent="0.25">
      <c r="A8441" s="3" t="str">
        <f>HYPERLINK("http://mystore1.ru/price_items/search?utf8=%E2%9C%93&amp;oem=3015LGSR5FD","3015LGSR5FD")</f>
        <v>3015LGSR5FD</v>
      </c>
      <c r="B8441" s="1" t="s">
        <v>16065</v>
      </c>
      <c r="C8441" s="9" t="s">
        <v>1888</v>
      </c>
      <c r="D8441" s="14" t="s">
        <v>16066</v>
      </c>
      <c r="E8441" s="9" t="s">
        <v>11</v>
      </c>
    </row>
    <row r="8442" spans="1:5" ht="15" customHeight="1" outlineLevel="2" x14ac:dyDescent="0.25">
      <c r="A8442" s="3" t="str">
        <f>HYPERLINK("http://mystore1.ru/price_items/search?utf8=%E2%9C%93&amp;oem=3015LGSR5RD","3015LGSR5RD")</f>
        <v>3015LGSR5RD</v>
      </c>
      <c r="B8442" s="1" t="s">
        <v>16067</v>
      </c>
      <c r="C8442" s="9" t="s">
        <v>1888</v>
      </c>
      <c r="D8442" s="14" t="s">
        <v>16068</v>
      </c>
      <c r="E8442" s="9" t="s">
        <v>11</v>
      </c>
    </row>
    <row r="8443" spans="1:5" ht="15" customHeight="1" outlineLevel="2" x14ac:dyDescent="0.25">
      <c r="A8443" s="3" t="str">
        <f>HYPERLINK("http://mystore1.ru/price_items/search?utf8=%E2%9C%93&amp;oem=3015LGSR5RQZ","3015LGSR5RQZ")</f>
        <v>3015LGSR5RQZ</v>
      </c>
      <c r="B8443" s="1" t="s">
        <v>16069</v>
      </c>
      <c r="C8443" s="9" t="s">
        <v>1888</v>
      </c>
      <c r="D8443" s="14" t="s">
        <v>16070</v>
      </c>
      <c r="E8443" s="9" t="s">
        <v>11</v>
      </c>
    </row>
    <row r="8444" spans="1:5" ht="15" customHeight="1" outlineLevel="2" x14ac:dyDescent="0.25">
      <c r="A8444" s="3" t="str">
        <f>HYPERLINK("http://mystore1.ru/price_items/search?utf8=%E2%9C%93&amp;oem=3015RCLR5FD","3015RCLR5FD")</f>
        <v>3015RCLR5FD</v>
      </c>
      <c r="B8444" s="1" t="s">
        <v>16071</v>
      </c>
      <c r="C8444" s="9" t="s">
        <v>1888</v>
      </c>
      <c r="D8444" s="14" t="s">
        <v>16072</v>
      </c>
      <c r="E8444" s="9" t="s">
        <v>11</v>
      </c>
    </row>
    <row r="8445" spans="1:5" ht="15" customHeight="1" outlineLevel="2" x14ac:dyDescent="0.25">
      <c r="A8445" s="3" t="str">
        <f>HYPERLINK("http://mystore1.ru/price_items/search?utf8=%E2%9C%93&amp;oem=3015RCLR5RD","3015RCLR5RD")</f>
        <v>3015RCLR5RD</v>
      </c>
      <c r="B8445" s="1" t="s">
        <v>16073</v>
      </c>
      <c r="C8445" s="9" t="s">
        <v>1888</v>
      </c>
      <c r="D8445" s="14" t="s">
        <v>16074</v>
      </c>
      <c r="E8445" s="9" t="s">
        <v>11</v>
      </c>
    </row>
    <row r="8446" spans="1:5" ht="15" customHeight="1" outlineLevel="2" x14ac:dyDescent="0.25">
      <c r="A8446" s="3" t="str">
        <f>HYPERLINK("http://mystore1.ru/price_items/search?utf8=%E2%9C%93&amp;oem=3015RCLR5RQZ","3015RCLR5RQZ")</f>
        <v>3015RCLR5RQZ</v>
      </c>
      <c r="B8446" s="1" t="s">
        <v>16075</v>
      </c>
      <c r="C8446" s="9" t="s">
        <v>1888</v>
      </c>
      <c r="D8446" s="14" t="s">
        <v>16076</v>
      </c>
      <c r="E8446" s="9" t="s">
        <v>11</v>
      </c>
    </row>
    <row r="8447" spans="1:5" ht="15" customHeight="1" outlineLevel="2" x14ac:dyDescent="0.25">
      <c r="A8447" s="3" t="str">
        <f>HYPERLINK("http://mystore1.ru/price_items/search?utf8=%E2%9C%93&amp;oem=3015RGDR5RD","3015RGDR5RD")</f>
        <v>3015RGDR5RD</v>
      </c>
      <c r="B8447" s="1" t="s">
        <v>16077</v>
      </c>
      <c r="C8447" s="9" t="s">
        <v>1888</v>
      </c>
      <c r="D8447" s="14" t="s">
        <v>16078</v>
      </c>
      <c r="E8447" s="9" t="s">
        <v>11</v>
      </c>
    </row>
    <row r="8448" spans="1:5" ht="15" customHeight="1" outlineLevel="2" x14ac:dyDescent="0.25">
      <c r="A8448" s="3" t="str">
        <f>HYPERLINK("http://mystore1.ru/price_items/search?utf8=%E2%9C%93&amp;oem=3015RGDR5RQZ","3015RGDR5RQZ")</f>
        <v>3015RGDR5RQZ</v>
      </c>
      <c r="B8448" s="1" t="s">
        <v>16079</v>
      </c>
      <c r="C8448" s="9" t="s">
        <v>1888</v>
      </c>
      <c r="D8448" s="14" t="s">
        <v>16080</v>
      </c>
      <c r="E8448" s="9" t="s">
        <v>11</v>
      </c>
    </row>
    <row r="8449" spans="1:5" ht="15" customHeight="1" outlineLevel="2" x14ac:dyDescent="0.25">
      <c r="A8449" s="3" t="str">
        <f>HYPERLINK("http://mystore1.ru/price_items/search?utf8=%E2%9C%93&amp;oem=3015RGDR5RQAZ","3015RGDR5RQAZ")</f>
        <v>3015RGDR5RQAZ</v>
      </c>
      <c r="B8449" s="1" t="s">
        <v>16081</v>
      </c>
      <c r="C8449" s="9" t="s">
        <v>1888</v>
      </c>
      <c r="D8449" s="14" t="s">
        <v>16082</v>
      </c>
      <c r="E8449" s="9" t="s">
        <v>11</v>
      </c>
    </row>
    <row r="8450" spans="1:5" ht="15" customHeight="1" outlineLevel="2" x14ac:dyDescent="0.25">
      <c r="A8450" s="3" t="str">
        <f>HYPERLINK("http://mystore1.ru/price_items/search?utf8=%E2%9C%93&amp;oem=3015RGDR5RQ1J","3015RGDR5RQ1J")</f>
        <v>3015RGDR5RQ1J</v>
      </c>
      <c r="B8450" s="1" t="s">
        <v>16083</v>
      </c>
      <c r="C8450" s="9" t="s">
        <v>1888</v>
      </c>
      <c r="D8450" s="14" t="s">
        <v>16084</v>
      </c>
      <c r="E8450" s="9" t="s">
        <v>11</v>
      </c>
    </row>
    <row r="8451" spans="1:5" ht="15" customHeight="1" outlineLevel="2" x14ac:dyDescent="0.25">
      <c r="A8451" s="3" t="str">
        <f>HYPERLINK("http://mystore1.ru/price_items/search?utf8=%E2%9C%93&amp;oem=3015RGSR5FD","3015RGSR5FD")</f>
        <v>3015RGSR5FD</v>
      </c>
      <c r="B8451" s="1" t="s">
        <v>16085</v>
      </c>
      <c r="C8451" s="9" t="s">
        <v>1888</v>
      </c>
      <c r="D8451" s="14" t="s">
        <v>16086</v>
      </c>
      <c r="E8451" s="9" t="s">
        <v>11</v>
      </c>
    </row>
    <row r="8452" spans="1:5" ht="15" customHeight="1" outlineLevel="2" x14ac:dyDescent="0.25">
      <c r="A8452" s="3" t="str">
        <f>HYPERLINK("http://mystore1.ru/price_items/search?utf8=%E2%9C%93&amp;oem=3015RGSR5RD","3015RGSR5RD")</f>
        <v>3015RGSR5RD</v>
      </c>
      <c r="B8452" s="1" t="s">
        <v>16087</v>
      </c>
      <c r="C8452" s="9" t="s">
        <v>1888</v>
      </c>
      <c r="D8452" s="14" t="s">
        <v>16088</v>
      </c>
      <c r="E8452" s="9" t="s">
        <v>11</v>
      </c>
    </row>
    <row r="8453" spans="1:5" ht="15" customHeight="1" outlineLevel="2" x14ac:dyDescent="0.25">
      <c r="A8453" s="3" t="str">
        <f>HYPERLINK("http://mystore1.ru/price_items/search?utf8=%E2%9C%93&amp;oem=3015RGSR5RQZ","3015RGSR5RQZ")</f>
        <v>3015RGSR5RQZ</v>
      </c>
      <c r="B8453" s="1" t="s">
        <v>16089</v>
      </c>
      <c r="C8453" s="9" t="s">
        <v>1888</v>
      </c>
      <c r="D8453" s="14" t="s">
        <v>16090</v>
      </c>
      <c r="E8453" s="9" t="s">
        <v>11</v>
      </c>
    </row>
    <row r="8454" spans="1:5" outlineLevel="1" x14ac:dyDescent="0.25">
      <c r="A8454" s="2"/>
      <c r="B8454" s="6" t="s">
        <v>16091</v>
      </c>
      <c r="C8454" s="8"/>
      <c r="D8454" s="8"/>
      <c r="E8454" s="8"/>
    </row>
    <row r="8455" spans="1:5" outlineLevel="2" x14ac:dyDescent="0.25">
      <c r="A8455" s="3" t="str">
        <f>HYPERLINK("http://mystore1.ru/price_items/search?utf8=%E2%9C%93&amp;oem=3019AGNBLHV","3019AGNBLHV")</f>
        <v>3019AGNBLHV</v>
      </c>
      <c r="B8455" s="1" t="s">
        <v>16092</v>
      </c>
      <c r="C8455" s="9" t="s">
        <v>1607</v>
      </c>
      <c r="D8455" s="14" t="s">
        <v>16093</v>
      </c>
      <c r="E8455" s="9" t="s">
        <v>8</v>
      </c>
    </row>
    <row r="8456" spans="1:5" outlineLevel="2" x14ac:dyDescent="0.25">
      <c r="A8456" s="3" t="str">
        <f>HYPERLINK("http://mystore1.ru/price_items/search?utf8=%E2%9C%93&amp;oem=3019AGSBLHMV","3019AGSBLHMV")</f>
        <v>3019AGSBLHMV</v>
      </c>
      <c r="B8456" s="1" t="s">
        <v>16094</v>
      </c>
      <c r="C8456" s="9" t="s">
        <v>1607</v>
      </c>
      <c r="D8456" s="14" t="s">
        <v>16095</v>
      </c>
      <c r="E8456" s="9" t="s">
        <v>8</v>
      </c>
    </row>
    <row r="8457" spans="1:5" outlineLevel="2" x14ac:dyDescent="0.25">
      <c r="A8457" s="3" t="str">
        <f>HYPERLINK("http://mystore1.ru/price_items/search?utf8=%E2%9C%93&amp;oem=3019BGNVW","3019BGNVW")</f>
        <v>3019BGNVW</v>
      </c>
      <c r="B8457" s="1" t="s">
        <v>16096</v>
      </c>
      <c r="C8457" s="9" t="s">
        <v>1607</v>
      </c>
      <c r="D8457" s="14" t="s">
        <v>16097</v>
      </c>
      <c r="E8457" s="9" t="s">
        <v>30</v>
      </c>
    </row>
    <row r="8458" spans="1:5" outlineLevel="2" x14ac:dyDescent="0.25">
      <c r="A8458" s="3" t="str">
        <f>HYPERLINK("http://mystore1.ru/price_items/search?utf8=%E2%9C%93&amp;oem=3019BYDVA","3019BYDVA")</f>
        <v>3019BYDVA</v>
      </c>
      <c r="B8458" s="1" t="s">
        <v>16098</v>
      </c>
      <c r="C8458" s="9" t="s">
        <v>1607</v>
      </c>
      <c r="D8458" s="14" t="s">
        <v>16099</v>
      </c>
      <c r="E8458" s="9" t="s">
        <v>30</v>
      </c>
    </row>
    <row r="8459" spans="1:5" outlineLevel="2" x14ac:dyDescent="0.25">
      <c r="A8459" s="3" t="str">
        <f>HYPERLINK("http://mystore1.ru/price_items/search?utf8=%E2%9C%93&amp;oem=3019LGNV5FD","3019LGNV5FD")</f>
        <v>3019LGNV5FD</v>
      </c>
      <c r="B8459" s="1" t="s">
        <v>16100</v>
      </c>
      <c r="C8459" s="9" t="s">
        <v>1607</v>
      </c>
      <c r="D8459" s="14" t="s">
        <v>16101</v>
      </c>
      <c r="E8459" s="9" t="s">
        <v>11</v>
      </c>
    </row>
    <row r="8460" spans="1:5" outlineLevel="2" x14ac:dyDescent="0.25">
      <c r="A8460" s="3" t="str">
        <f>HYPERLINK("http://mystore1.ru/price_items/search?utf8=%E2%9C%93&amp;oem=3019LGNV5RD","3019LGNV5RD")</f>
        <v>3019LGNV5RD</v>
      </c>
      <c r="B8460" s="1" t="s">
        <v>16102</v>
      </c>
      <c r="C8460" s="9" t="s">
        <v>1607</v>
      </c>
      <c r="D8460" s="14" t="s">
        <v>16103</v>
      </c>
      <c r="E8460" s="9" t="s">
        <v>11</v>
      </c>
    </row>
    <row r="8461" spans="1:5" outlineLevel="2" x14ac:dyDescent="0.25">
      <c r="A8461" s="3" t="str">
        <f>HYPERLINK("http://mystore1.ru/price_items/search?utf8=%E2%9C%93&amp;oem=3019LYDV5RD","3019LYDV5RD")</f>
        <v>3019LYDV5RD</v>
      </c>
      <c r="B8461" s="1" t="s">
        <v>16104</v>
      </c>
      <c r="C8461" s="9" t="s">
        <v>1607</v>
      </c>
      <c r="D8461" s="14" t="s">
        <v>16105</v>
      </c>
      <c r="E8461" s="9" t="s">
        <v>11</v>
      </c>
    </row>
    <row r="8462" spans="1:5" outlineLevel="2" x14ac:dyDescent="0.25">
      <c r="A8462" s="3" t="str">
        <f>HYPERLINK("http://mystore1.ru/price_items/search?utf8=%E2%9C%93&amp;oem=3019RGNV5RD","3019RGNV5RD")</f>
        <v>3019RGNV5RD</v>
      </c>
      <c r="B8462" s="1" t="s">
        <v>16106</v>
      </c>
      <c r="C8462" s="9" t="s">
        <v>1607</v>
      </c>
      <c r="D8462" s="14" t="s">
        <v>16107</v>
      </c>
      <c r="E8462" s="9" t="s">
        <v>11</v>
      </c>
    </row>
    <row r="8463" spans="1:5" outlineLevel="2" x14ac:dyDescent="0.25">
      <c r="A8463" s="3" t="str">
        <f>HYPERLINK("http://mystore1.ru/price_items/search?utf8=%E2%9C%93&amp;oem=3019RYDV5RD","3019RYDV5RD")</f>
        <v>3019RYDV5RD</v>
      </c>
      <c r="B8463" s="1" t="s">
        <v>16108</v>
      </c>
      <c r="C8463" s="9" t="s">
        <v>1607</v>
      </c>
      <c r="D8463" s="14" t="s">
        <v>16109</v>
      </c>
      <c r="E8463" s="9" t="s">
        <v>11</v>
      </c>
    </row>
    <row r="8464" spans="1:5" x14ac:dyDescent="0.25">
      <c r="A8464" s="61" t="s">
        <v>16110</v>
      </c>
      <c r="B8464" s="61"/>
      <c r="C8464" s="61"/>
      <c r="D8464" s="61"/>
      <c r="E8464" s="61"/>
    </row>
    <row r="8465" spans="1:5" outlineLevel="1" x14ac:dyDescent="0.25">
      <c r="A8465" s="2"/>
      <c r="B8465" s="6" t="s">
        <v>16111</v>
      </c>
      <c r="C8465" s="8"/>
      <c r="D8465" s="8"/>
      <c r="E8465" s="8"/>
    </row>
    <row r="8466" spans="1:5" ht="15" customHeight="1" outlineLevel="2" x14ac:dyDescent="0.25">
      <c r="A8466" s="3" t="str">
        <f>HYPERLINK("http://mystore1.ru/price_items/search?utf8=%E2%9C%93&amp;oem=7906ABL","7906ABL")</f>
        <v>7906ABL</v>
      </c>
      <c r="B8466" s="1" t="s">
        <v>16112</v>
      </c>
      <c r="C8466" s="9" t="s">
        <v>3326</v>
      </c>
      <c r="D8466" s="14" t="s">
        <v>16113</v>
      </c>
      <c r="E8466" s="9" t="s">
        <v>8</v>
      </c>
    </row>
    <row r="8467" spans="1:5" outlineLevel="1" x14ac:dyDescent="0.25">
      <c r="A8467" s="2"/>
      <c r="B8467" s="6" t="s">
        <v>16114</v>
      </c>
      <c r="C8467" s="8"/>
      <c r="D8467" s="8"/>
      <c r="E8467" s="8"/>
    </row>
    <row r="8468" spans="1:5" ht="15" customHeight="1" outlineLevel="2" x14ac:dyDescent="0.25">
      <c r="A8468" s="3" t="str">
        <f>HYPERLINK("http://mystore1.ru/price_items/search?utf8=%E2%9C%93&amp;oem=7910ABL","7910ABL")</f>
        <v>7910ABL</v>
      </c>
      <c r="B8468" s="1" t="s">
        <v>16115</v>
      </c>
      <c r="C8468" s="9" t="s">
        <v>738</v>
      </c>
      <c r="D8468" s="14" t="s">
        <v>16116</v>
      </c>
      <c r="E8468" s="9" t="s">
        <v>8</v>
      </c>
    </row>
    <row r="8469" spans="1:5" outlineLevel="1" x14ac:dyDescent="0.25">
      <c r="A8469" s="2"/>
      <c r="B8469" s="6" t="s">
        <v>16117</v>
      </c>
      <c r="C8469" s="8"/>
      <c r="D8469" s="8"/>
      <c r="E8469" s="8"/>
    </row>
    <row r="8470" spans="1:5" ht="15" customHeight="1" outlineLevel="2" x14ac:dyDescent="0.25">
      <c r="A8470" s="3" t="str">
        <f>HYPERLINK("http://mystore1.ru/price_items/search?utf8=%E2%9C%93&amp;oem=7923AGNGN","7923AGNGN")</f>
        <v>7923AGNGN</v>
      </c>
      <c r="B8470" s="1" t="s">
        <v>16118</v>
      </c>
      <c r="C8470" s="9" t="s">
        <v>3106</v>
      </c>
      <c r="D8470" s="14" t="s">
        <v>16119</v>
      </c>
      <c r="E8470" s="9" t="s">
        <v>8</v>
      </c>
    </row>
    <row r="8471" spans="1:5" ht="15" customHeight="1" outlineLevel="2" x14ac:dyDescent="0.25">
      <c r="A8471" s="3" t="str">
        <f>HYPERLINK("http://mystore1.ru/price_items/search?utf8=%E2%9C%93&amp;oem=7923AGNGNH","7923AGNGNH")</f>
        <v>7923AGNGNH</v>
      </c>
      <c r="B8471" s="1" t="s">
        <v>16120</v>
      </c>
      <c r="C8471" s="9" t="s">
        <v>3106</v>
      </c>
      <c r="D8471" s="14" t="s">
        <v>16121</v>
      </c>
      <c r="E8471" s="9" t="s">
        <v>8</v>
      </c>
    </row>
    <row r="8472" spans="1:5" ht="15" customHeight="1" outlineLevel="2" x14ac:dyDescent="0.25">
      <c r="A8472" s="3" t="str">
        <f>HYPERLINK("http://mystore1.ru/price_items/search?utf8=%E2%9C%93&amp;oem=7923ASMRT","7923ASMRT")</f>
        <v>7923ASMRT</v>
      </c>
      <c r="B8472" s="1" t="s">
        <v>16122</v>
      </c>
      <c r="C8472" s="9" t="s">
        <v>25</v>
      </c>
      <c r="D8472" s="14" t="s">
        <v>16123</v>
      </c>
      <c r="E8472" s="9" t="s">
        <v>27</v>
      </c>
    </row>
    <row r="8473" spans="1:5" ht="15" customHeight="1" outlineLevel="2" x14ac:dyDescent="0.25">
      <c r="A8473" s="3" t="str">
        <f>HYPERLINK("http://mystore1.ru/price_items/search?utf8=%E2%9C%93&amp;oem=7923BGNRW","7923BGNRW")</f>
        <v>7923BGNRW</v>
      </c>
      <c r="B8473" s="1" t="s">
        <v>16124</v>
      </c>
      <c r="C8473" s="9" t="s">
        <v>3106</v>
      </c>
      <c r="D8473" s="14" t="s">
        <v>16125</v>
      </c>
      <c r="E8473" s="9" t="s">
        <v>30</v>
      </c>
    </row>
    <row r="8474" spans="1:5" ht="15" customHeight="1" outlineLevel="2" x14ac:dyDescent="0.25">
      <c r="A8474" s="3" t="str">
        <f>HYPERLINK("http://mystore1.ru/price_items/search?utf8=%E2%9C%93&amp;oem=7923LGNR5FD","7923LGNR5FD")</f>
        <v>7923LGNR5FD</v>
      </c>
      <c r="B8474" s="1" t="s">
        <v>16126</v>
      </c>
      <c r="C8474" s="9" t="s">
        <v>3106</v>
      </c>
      <c r="D8474" s="14" t="s">
        <v>16127</v>
      </c>
      <c r="E8474" s="9" t="s">
        <v>11</v>
      </c>
    </row>
    <row r="8475" spans="1:5" ht="15" customHeight="1" outlineLevel="2" x14ac:dyDescent="0.25">
      <c r="A8475" s="3" t="str">
        <f>HYPERLINK("http://mystore1.ru/price_items/search?utf8=%E2%9C%93&amp;oem=7923RGNR5FD","7923RGNR5FD")</f>
        <v>7923RGNR5FD</v>
      </c>
      <c r="B8475" s="1" t="s">
        <v>16128</v>
      </c>
      <c r="C8475" s="9" t="s">
        <v>3106</v>
      </c>
      <c r="D8475" s="14" t="s">
        <v>16129</v>
      </c>
      <c r="E8475" s="9" t="s">
        <v>11</v>
      </c>
    </row>
    <row r="8476" spans="1:5" outlineLevel="1" x14ac:dyDescent="0.25">
      <c r="A8476" s="2"/>
      <c r="B8476" s="6" t="s">
        <v>16130</v>
      </c>
      <c r="C8476" s="8"/>
      <c r="D8476" s="8"/>
      <c r="E8476" s="8"/>
    </row>
    <row r="8477" spans="1:5" ht="15" customHeight="1" outlineLevel="2" x14ac:dyDescent="0.25">
      <c r="A8477" s="3" t="str">
        <f>HYPERLINK("http://mystore1.ru/price_items/search?utf8=%E2%9C%93&amp;oem=7928AGN","7928AGN")</f>
        <v>7928AGN</v>
      </c>
      <c r="B8477" s="1" t="s">
        <v>16131</v>
      </c>
      <c r="C8477" s="9" t="s">
        <v>4782</v>
      </c>
      <c r="D8477" s="14" t="s">
        <v>16132</v>
      </c>
      <c r="E8477" s="9" t="s">
        <v>8</v>
      </c>
    </row>
    <row r="8478" spans="1:5" ht="15" customHeight="1" outlineLevel="2" x14ac:dyDescent="0.25">
      <c r="A8478" s="3" t="str">
        <f>HYPERLINK("http://mystore1.ru/price_items/search?utf8=%E2%9C%93&amp;oem=7928AGNGN","7928AGNGN")</f>
        <v>7928AGNGN</v>
      </c>
      <c r="B8478" s="1" t="s">
        <v>16133</v>
      </c>
      <c r="C8478" s="9" t="s">
        <v>4782</v>
      </c>
      <c r="D8478" s="14" t="s">
        <v>16134</v>
      </c>
      <c r="E8478" s="9" t="s">
        <v>8</v>
      </c>
    </row>
    <row r="8479" spans="1:5" ht="15" customHeight="1" outlineLevel="2" x14ac:dyDescent="0.25">
      <c r="A8479" s="3" t="str">
        <f>HYPERLINK("http://mystore1.ru/price_items/search?utf8=%E2%9C%93&amp;oem=7928AGNGNH","7928AGNGNH")</f>
        <v>7928AGNGNH</v>
      </c>
      <c r="B8479" s="1" t="s">
        <v>16135</v>
      </c>
      <c r="C8479" s="9" t="s">
        <v>4782</v>
      </c>
      <c r="D8479" s="14" t="s">
        <v>16136</v>
      </c>
      <c r="E8479" s="9" t="s">
        <v>8</v>
      </c>
    </row>
    <row r="8480" spans="1:5" ht="15" customHeight="1" outlineLevel="2" x14ac:dyDescent="0.25">
      <c r="A8480" s="3" t="str">
        <f>HYPERLINK("http://mystore1.ru/price_items/search?utf8=%E2%9C%93&amp;oem=7928ASMR","7928ASMR")</f>
        <v>7928ASMR</v>
      </c>
      <c r="B8480" s="1" t="s">
        <v>16137</v>
      </c>
      <c r="C8480" s="9" t="s">
        <v>25</v>
      </c>
      <c r="D8480" s="14" t="s">
        <v>16138</v>
      </c>
      <c r="E8480" s="9" t="s">
        <v>27</v>
      </c>
    </row>
    <row r="8481" spans="1:5" ht="15" customHeight="1" outlineLevel="2" x14ac:dyDescent="0.25">
      <c r="A8481" s="3" t="str">
        <f>HYPERLINK("http://mystore1.ru/price_items/search?utf8=%E2%9C%93&amp;oem=7928BGNRW","7928BGNRW")</f>
        <v>7928BGNRW</v>
      </c>
      <c r="B8481" s="1" t="s">
        <v>16139</v>
      </c>
      <c r="C8481" s="9" t="s">
        <v>4782</v>
      </c>
      <c r="D8481" s="14" t="s">
        <v>16140</v>
      </c>
      <c r="E8481" s="9" t="s">
        <v>30</v>
      </c>
    </row>
    <row r="8482" spans="1:5" outlineLevel="1" x14ac:dyDescent="0.25">
      <c r="A8482" s="2"/>
      <c r="B8482" s="6" t="s">
        <v>16141</v>
      </c>
      <c r="C8482" s="8"/>
      <c r="D8482" s="8"/>
      <c r="E8482" s="8"/>
    </row>
    <row r="8483" spans="1:5" ht="15" customHeight="1" outlineLevel="2" x14ac:dyDescent="0.25">
      <c r="A8483" s="3" t="str">
        <f>HYPERLINK("http://mystore1.ru/price_items/search?utf8=%E2%9C%93&amp;oem=7934AGNBLHV","7934AGNBLHV")</f>
        <v>7934AGNBLHV</v>
      </c>
      <c r="B8483" s="1" t="s">
        <v>16142</v>
      </c>
      <c r="C8483" s="9" t="s">
        <v>449</v>
      </c>
      <c r="D8483" s="14" t="s">
        <v>16143</v>
      </c>
      <c r="E8483" s="9" t="s">
        <v>8</v>
      </c>
    </row>
    <row r="8484" spans="1:5" ht="15" customHeight="1" outlineLevel="2" x14ac:dyDescent="0.25">
      <c r="A8484" s="3" t="str">
        <f>HYPERLINK("http://mystore1.ru/price_items/search?utf8=%E2%9C%93&amp;oem=7934ASMR","7934ASMR")</f>
        <v>7934ASMR</v>
      </c>
      <c r="B8484" s="1" t="s">
        <v>16144</v>
      </c>
      <c r="C8484" s="9" t="s">
        <v>25</v>
      </c>
      <c r="D8484" s="14" t="s">
        <v>16145</v>
      </c>
      <c r="E8484" s="9" t="s">
        <v>27</v>
      </c>
    </row>
    <row r="8485" spans="1:5" outlineLevel="1" x14ac:dyDescent="0.25">
      <c r="A8485" s="2"/>
      <c r="B8485" s="6" t="s">
        <v>16146</v>
      </c>
      <c r="C8485" s="8"/>
      <c r="D8485" s="8"/>
      <c r="E8485" s="8"/>
    </row>
    <row r="8486" spans="1:5" ht="15" customHeight="1" outlineLevel="2" x14ac:dyDescent="0.25">
      <c r="A8486" s="3" t="str">
        <f>HYPERLINK("http://mystore1.ru/price_items/search?utf8=%E2%9C%93&amp;oem=7926AGN","7926AGN")</f>
        <v>7926AGN</v>
      </c>
      <c r="B8486" s="1" t="s">
        <v>16147</v>
      </c>
      <c r="C8486" s="9" t="s">
        <v>377</v>
      </c>
      <c r="D8486" s="14" t="s">
        <v>16148</v>
      </c>
      <c r="E8486" s="9" t="s">
        <v>8</v>
      </c>
    </row>
    <row r="8487" spans="1:5" ht="15" customHeight="1" outlineLevel="2" x14ac:dyDescent="0.25">
      <c r="A8487" s="3" t="str">
        <f>HYPERLINK("http://mystore1.ru/price_items/search?utf8=%E2%9C%93&amp;oem=7926AGNV2B","7926AGNV2B")</f>
        <v>7926AGNV2B</v>
      </c>
      <c r="B8487" s="1" t="s">
        <v>16149</v>
      </c>
      <c r="C8487" s="9" t="s">
        <v>1617</v>
      </c>
      <c r="D8487" s="14" t="s">
        <v>16150</v>
      </c>
      <c r="E8487" s="9" t="s">
        <v>8</v>
      </c>
    </row>
    <row r="8488" spans="1:5" ht="15" customHeight="1" outlineLevel="2" x14ac:dyDescent="0.25">
      <c r="A8488" s="3" t="str">
        <f>HYPERLINK("http://mystore1.ru/price_items/search?utf8=%E2%9C%93&amp;oem=7926ASMS","7926ASMS")</f>
        <v>7926ASMS</v>
      </c>
      <c r="B8488" s="1" t="s">
        <v>16151</v>
      </c>
      <c r="C8488" s="9" t="s">
        <v>25</v>
      </c>
      <c r="D8488" s="14" t="s">
        <v>16152</v>
      </c>
      <c r="E8488" s="9" t="s">
        <v>27</v>
      </c>
    </row>
    <row r="8489" spans="1:5" ht="15" customHeight="1" outlineLevel="2" x14ac:dyDescent="0.25">
      <c r="A8489" s="3" t="str">
        <f>HYPERLINK("http://mystore1.ru/price_items/search?utf8=%E2%9C%93&amp;oem=7926LGNS4FDW","7926LGNS4FDW")</f>
        <v>7926LGNS4FDW</v>
      </c>
      <c r="B8489" s="1" t="s">
        <v>16153</v>
      </c>
      <c r="C8489" s="9" t="s">
        <v>377</v>
      </c>
      <c r="D8489" s="14" t="s">
        <v>16154</v>
      </c>
      <c r="E8489" s="9" t="s">
        <v>11</v>
      </c>
    </row>
    <row r="8490" spans="1:5" ht="15" customHeight="1" outlineLevel="2" x14ac:dyDescent="0.25">
      <c r="A8490" s="3" t="str">
        <f>HYPERLINK("http://mystore1.ru/price_items/search?utf8=%E2%9C%93&amp;oem=7926LGNS4RD","7926LGNS4RD")</f>
        <v>7926LGNS4RD</v>
      </c>
      <c r="B8490" s="1" t="s">
        <v>16155</v>
      </c>
      <c r="C8490" s="9" t="s">
        <v>457</v>
      </c>
      <c r="D8490" s="14" t="s">
        <v>16156</v>
      </c>
      <c r="E8490" s="9" t="s">
        <v>11</v>
      </c>
    </row>
    <row r="8491" spans="1:5" ht="15" customHeight="1" outlineLevel="2" x14ac:dyDescent="0.25">
      <c r="A8491" s="3" t="str">
        <f>HYPERLINK("http://mystore1.ru/price_items/search?utf8=%E2%9C%93&amp;oem=7926RGNS4FD","7926RGNS4FD")</f>
        <v>7926RGNS4FD</v>
      </c>
      <c r="B8491" s="1" t="s">
        <v>16157</v>
      </c>
      <c r="C8491" s="9" t="s">
        <v>377</v>
      </c>
      <c r="D8491" s="14" t="s">
        <v>16158</v>
      </c>
      <c r="E8491" s="9" t="s">
        <v>11</v>
      </c>
    </row>
    <row r="8492" spans="1:5" ht="15" customHeight="1" outlineLevel="2" x14ac:dyDescent="0.25">
      <c r="A8492" s="3" t="str">
        <f>HYPERLINK("http://mystore1.ru/price_items/search?utf8=%E2%9C%93&amp;oem=7926RGNS4FDW","7926RGNS4FDW")</f>
        <v>7926RGNS4FDW</v>
      </c>
      <c r="B8492" s="1" t="s">
        <v>16159</v>
      </c>
      <c r="C8492" s="9" t="s">
        <v>377</v>
      </c>
      <c r="D8492" s="14" t="s">
        <v>16160</v>
      </c>
      <c r="E8492" s="9" t="s">
        <v>11</v>
      </c>
    </row>
    <row r="8493" spans="1:5" ht="15" customHeight="1" outlineLevel="2" x14ac:dyDescent="0.25">
      <c r="A8493" s="3" t="str">
        <f>HYPERLINK("http://mystore1.ru/price_items/search?utf8=%E2%9C%93&amp;oem=7926RGNS4RD","7926RGNS4RD")</f>
        <v>7926RGNS4RD</v>
      </c>
      <c r="B8493" s="1" t="s">
        <v>16161</v>
      </c>
      <c r="C8493" s="9" t="s">
        <v>457</v>
      </c>
      <c r="D8493" s="14" t="s">
        <v>16156</v>
      </c>
      <c r="E8493" s="9" t="s">
        <v>11</v>
      </c>
    </row>
    <row r="8494" spans="1:5" outlineLevel="1" x14ac:dyDescent="0.25">
      <c r="A8494" s="2"/>
      <c r="B8494" s="6" t="s">
        <v>16162</v>
      </c>
      <c r="C8494" s="8"/>
      <c r="D8494" s="8"/>
      <c r="E8494" s="8"/>
    </row>
    <row r="8495" spans="1:5" ht="15" customHeight="1" outlineLevel="2" x14ac:dyDescent="0.25">
      <c r="A8495" s="3" t="str">
        <f>HYPERLINK("http://mystore1.ru/price_items/search?utf8=%E2%9C%93&amp;oem=7927AGN","7927AGN")</f>
        <v>7927AGN</v>
      </c>
      <c r="B8495" s="1" t="s">
        <v>16163</v>
      </c>
      <c r="C8495" s="9" t="s">
        <v>377</v>
      </c>
      <c r="D8495" s="14" t="s">
        <v>16164</v>
      </c>
      <c r="E8495" s="9" t="s">
        <v>8</v>
      </c>
    </row>
    <row r="8496" spans="1:5" ht="15" customHeight="1" outlineLevel="2" x14ac:dyDescent="0.25">
      <c r="A8496" s="3" t="str">
        <f>HYPERLINK("http://mystore1.ru/price_items/search?utf8=%E2%9C%93&amp;oem=7927ASMH","7927ASMH")</f>
        <v>7927ASMH</v>
      </c>
      <c r="B8496" s="1" t="s">
        <v>16165</v>
      </c>
      <c r="C8496" s="9" t="s">
        <v>25</v>
      </c>
      <c r="D8496" s="14" t="s">
        <v>16166</v>
      </c>
      <c r="E8496" s="9" t="s">
        <v>27</v>
      </c>
    </row>
    <row r="8497" spans="1:5" ht="15" customHeight="1" outlineLevel="2" x14ac:dyDescent="0.25">
      <c r="A8497" s="3" t="str">
        <f>HYPERLINK("http://mystore1.ru/price_items/search?utf8=%E2%9C%93&amp;oem=7927LGNH5FD","7927LGNH5FD")</f>
        <v>7927LGNH5FD</v>
      </c>
      <c r="B8497" s="1" t="s">
        <v>16167</v>
      </c>
      <c r="C8497" s="9" t="s">
        <v>377</v>
      </c>
      <c r="D8497" s="14" t="s">
        <v>16168</v>
      </c>
      <c r="E8497" s="9" t="s">
        <v>11</v>
      </c>
    </row>
    <row r="8498" spans="1:5" ht="15" customHeight="1" outlineLevel="2" x14ac:dyDescent="0.25">
      <c r="A8498" s="3" t="str">
        <f>HYPERLINK("http://mystore1.ru/price_items/search?utf8=%E2%9C%93&amp;oem=7927LGNH5RDW","7927LGNH5RDW")</f>
        <v>7927LGNH5RDW</v>
      </c>
      <c r="B8498" s="1" t="s">
        <v>16169</v>
      </c>
      <c r="C8498" s="9" t="s">
        <v>377</v>
      </c>
      <c r="D8498" s="14" t="s">
        <v>16170</v>
      </c>
      <c r="E8498" s="9" t="s">
        <v>11</v>
      </c>
    </row>
    <row r="8499" spans="1:5" ht="15" customHeight="1" outlineLevel="2" x14ac:dyDescent="0.25">
      <c r="A8499" s="3" t="str">
        <f>HYPERLINK("http://mystore1.ru/price_items/search?utf8=%E2%9C%93&amp;oem=7927RGNH5FDW","7927RGNH5FDW")</f>
        <v>7927RGNH5FDW</v>
      </c>
      <c r="B8499" s="1" t="s">
        <v>16171</v>
      </c>
      <c r="C8499" s="9" t="s">
        <v>377</v>
      </c>
      <c r="D8499" s="14" t="s">
        <v>16160</v>
      </c>
      <c r="E8499" s="9" t="s">
        <v>11</v>
      </c>
    </row>
    <row r="8500" spans="1:5" ht="15" customHeight="1" outlineLevel="2" x14ac:dyDescent="0.25">
      <c r="A8500" s="3" t="str">
        <f>HYPERLINK("http://mystore1.ru/price_items/search?utf8=%E2%9C%93&amp;oem=7927RGNH5RDW","7927RGNH5RDW")</f>
        <v>7927RGNH5RDW</v>
      </c>
      <c r="B8500" s="1" t="s">
        <v>16172</v>
      </c>
      <c r="C8500" s="9" t="s">
        <v>377</v>
      </c>
      <c r="D8500" s="14" t="s">
        <v>16173</v>
      </c>
      <c r="E8500" s="9" t="s">
        <v>11</v>
      </c>
    </row>
    <row r="8501" spans="1:5" outlineLevel="1" x14ac:dyDescent="0.25">
      <c r="A8501" s="2"/>
      <c r="B8501" s="6" t="s">
        <v>16174</v>
      </c>
      <c r="C8501" s="8"/>
      <c r="D8501" s="8"/>
      <c r="E8501" s="8"/>
    </row>
    <row r="8502" spans="1:5" ht="15" customHeight="1" outlineLevel="2" x14ac:dyDescent="0.25">
      <c r="A8502" s="3" t="str">
        <f>HYPERLINK("http://mystore1.ru/price_items/search?utf8=%E2%9C%93&amp;oem=7932AGN","7932AGN")</f>
        <v>7932AGN</v>
      </c>
      <c r="B8502" s="1" t="s">
        <v>16175</v>
      </c>
      <c r="C8502" s="9" t="s">
        <v>1204</v>
      </c>
      <c r="D8502" s="14" t="s">
        <v>16176</v>
      </c>
      <c r="E8502" s="9" t="s">
        <v>8</v>
      </c>
    </row>
    <row r="8503" spans="1:5" ht="15" customHeight="1" outlineLevel="2" x14ac:dyDescent="0.25">
      <c r="A8503" s="3" t="str">
        <f>HYPERLINK("http://mystore1.ru/price_items/search?utf8=%E2%9C%93&amp;oem=7932AGNV","7932AGNV")</f>
        <v>7932AGNV</v>
      </c>
      <c r="B8503" s="1" t="s">
        <v>16177</v>
      </c>
      <c r="C8503" s="9" t="s">
        <v>25</v>
      </c>
      <c r="D8503" s="14" t="s">
        <v>16178</v>
      </c>
      <c r="E8503" s="9" t="s">
        <v>8</v>
      </c>
    </row>
    <row r="8504" spans="1:5" ht="15" customHeight="1" outlineLevel="2" x14ac:dyDescent="0.25">
      <c r="A8504" s="3" t="str">
        <f>HYPERLINK("http://mystore1.ru/price_items/search?utf8=%E2%9C%93&amp;oem=7932AGNHV","7932AGNHV")</f>
        <v>7932AGNHV</v>
      </c>
      <c r="B8504" s="1" t="s">
        <v>16179</v>
      </c>
      <c r="C8504" s="9" t="s">
        <v>25</v>
      </c>
      <c r="D8504" s="14" t="s">
        <v>16180</v>
      </c>
      <c r="E8504" s="9" t="s">
        <v>8</v>
      </c>
    </row>
    <row r="8505" spans="1:5" outlineLevel="1" x14ac:dyDescent="0.25">
      <c r="A8505" s="2"/>
      <c r="B8505" s="6" t="s">
        <v>16181</v>
      </c>
      <c r="C8505" s="8"/>
      <c r="D8505" s="8"/>
      <c r="E8505" s="8"/>
    </row>
    <row r="8506" spans="1:5" ht="15" customHeight="1" outlineLevel="2" x14ac:dyDescent="0.25">
      <c r="A8506" s="3" t="str">
        <f>HYPERLINK("http://mystore1.ru/price_items/search?utf8=%E2%9C%93&amp;oem=7915ABL","7915ABL")</f>
        <v>7915ABL</v>
      </c>
      <c r="B8506" s="1" t="s">
        <v>16182</v>
      </c>
      <c r="C8506" s="9" t="s">
        <v>3244</v>
      </c>
      <c r="D8506" s="14" t="s">
        <v>16183</v>
      </c>
      <c r="E8506" s="9" t="s">
        <v>8</v>
      </c>
    </row>
    <row r="8507" spans="1:5" ht="15" customHeight="1" outlineLevel="2" x14ac:dyDescent="0.25">
      <c r="A8507" s="3" t="str">
        <f>HYPERLINK("http://mystore1.ru/price_items/search?utf8=%E2%9C%93&amp;oem=7915ABLBL","7915ABLBL")</f>
        <v>7915ABLBL</v>
      </c>
      <c r="B8507" s="1" t="s">
        <v>16184</v>
      </c>
      <c r="C8507" s="9" t="s">
        <v>3244</v>
      </c>
      <c r="D8507" s="14" t="s">
        <v>16185</v>
      </c>
      <c r="E8507" s="9" t="s">
        <v>8</v>
      </c>
    </row>
    <row r="8508" spans="1:5" ht="15" customHeight="1" outlineLevel="2" x14ac:dyDescent="0.25">
      <c r="A8508" s="3" t="str">
        <f>HYPERLINK("http://mystore1.ru/price_items/search?utf8=%E2%9C%93&amp;oem=7915AGN","7915AGN")</f>
        <v>7915AGN</v>
      </c>
      <c r="B8508" s="1" t="s">
        <v>16186</v>
      </c>
      <c r="C8508" s="9" t="s">
        <v>3244</v>
      </c>
      <c r="D8508" s="14" t="s">
        <v>16187</v>
      </c>
      <c r="E8508" s="9" t="s">
        <v>8</v>
      </c>
    </row>
    <row r="8509" spans="1:5" ht="15" customHeight="1" outlineLevel="2" x14ac:dyDescent="0.25">
      <c r="A8509" s="3" t="str">
        <f>HYPERLINK("http://mystore1.ru/price_items/search?utf8=%E2%9C%93&amp;oem=7915AGNBL","7915AGNBL")</f>
        <v>7915AGNBL</v>
      </c>
      <c r="B8509" s="1" t="s">
        <v>16188</v>
      </c>
      <c r="C8509" s="9" t="s">
        <v>3244</v>
      </c>
      <c r="D8509" s="14" t="s">
        <v>16189</v>
      </c>
      <c r="E8509" s="9" t="s">
        <v>8</v>
      </c>
    </row>
    <row r="8510" spans="1:5" ht="15" customHeight="1" outlineLevel="2" x14ac:dyDescent="0.25">
      <c r="A8510" s="3" t="str">
        <f>HYPERLINK("http://mystore1.ru/price_items/search?utf8=%E2%9C%93&amp;oem=7915AGNGN","7915AGNGN")</f>
        <v>7915AGNGN</v>
      </c>
      <c r="B8510" s="1" t="s">
        <v>16190</v>
      </c>
      <c r="C8510" s="9" t="s">
        <v>3244</v>
      </c>
      <c r="D8510" s="14" t="s">
        <v>16191</v>
      </c>
      <c r="E8510" s="9" t="s">
        <v>8</v>
      </c>
    </row>
    <row r="8511" spans="1:5" ht="15" customHeight="1" outlineLevel="2" x14ac:dyDescent="0.25">
      <c r="A8511" s="3" t="str">
        <f>HYPERLINK("http://mystore1.ru/price_items/search?utf8=%E2%9C%93&amp;oem=7915ASMHT","7915ASMHT")</f>
        <v>7915ASMHT</v>
      </c>
      <c r="B8511" s="1" t="s">
        <v>16192</v>
      </c>
      <c r="C8511" s="9" t="s">
        <v>25</v>
      </c>
      <c r="D8511" s="14" t="s">
        <v>16193</v>
      </c>
      <c r="E8511" s="9" t="s">
        <v>27</v>
      </c>
    </row>
    <row r="8512" spans="1:5" ht="15" customHeight="1" outlineLevel="2" x14ac:dyDescent="0.25">
      <c r="A8512" s="3" t="str">
        <f>HYPERLINK("http://mystore1.ru/price_items/search?utf8=%E2%9C%93&amp;oem=7915LBLH5FD","7915LBLH5FD")</f>
        <v>7915LBLH5FD</v>
      </c>
      <c r="B8512" s="1" t="s">
        <v>16194</v>
      </c>
      <c r="C8512" s="9" t="s">
        <v>3244</v>
      </c>
      <c r="D8512" s="14" t="s">
        <v>16195</v>
      </c>
      <c r="E8512" s="9" t="s">
        <v>11</v>
      </c>
    </row>
    <row r="8513" spans="1:5" ht="15" customHeight="1" outlineLevel="2" x14ac:dyDescent="0.25">
      <c r="A8513" s="3" t="str">
        <f>HYPERLINK("http://mystore1.ru/price_items/search?utf8=%E2%9C%93&amp;oem=7915RBLH5FD","7915RBLH5FD")</f>
        <v>7915RBLH5FD</v>
      </c>
      <c r="B8513" s="1" t="s">
        <v>16196</v>
      </c>
      <c r="C8513" s="9" t="s">
        <v>3244</v>
      </c>
      <c r="D8513" s="14" t="s">
        <v>16197</v>
      </c>
      <c r="E8513" s="9" t="s">
        <v>11</v>
      </c>
    </row>
    <row r="8514" spans="1:5" outlineLevel="1" x14ac:dyDescent="0.25">
      <c r="A8514" s="2"/>
      <c r="B8514" s="6" t="s">
        <v>16198</v>
      </c>
      <c r="C8514" s="8"/>
      <c r="D8514" s="8"/>
      <c r="E8514" s="8"/>
    </row>
    <row r="8515" spans="1:5" ht="15" customHeight="1" outlineLevel="2" x14ac:dyDescent="0.25">
      <c r="A8515" s="3" t="str">
        <f>HYPERLINK("http://mystore1.ru/price_items/search?utf8=%E2%9C%93&amp;oem=7905ABL","7905ABL")</f>
        <v>7905ABL</v>
      </c>
      <c r="B8515" s="1" t="s">
        <v>16199</v>
      </c>
      <c r="C8515" s="9" t="s">
        <v>5824</v>
      </c>
      <c r="D8515" s="14" t="s">
        <v>16200</v>
      </c>
      <c r="E8515" s="9" t="s">
        <v>8</v>
      </c>
    </row>
    <row r="8516" spans="1:5" ht="15" customHeight="1" outlineLevel="2" x14ac:dyDescent="0.25">
      <c r="A8516" s="3" t="str">
        <f>HYPERLINK("http://mystore1.ru/price_items/search?utf8=%E2%9C%93&amp;oem=7905ACL","7905ACL")</f>
        <v>7905ACL</v>
      </c>
      <c r="B8516" s="1" t="s">
        <v>16201</v>
      </c>
      <c r="C8516" s="9" t="s">
        <v>5824</v>
      </c>
      <c r="D8516" s="14" t="s">
        <v>16202</v>
      </c>
      <c r="E8516" s="9" t="s">
        <v>8</v>
      </c>
    </row>
    <row r="8517" spans="1:5" outlineLevel="1" x14ac:dyDescent="0.25">
      <c r="A8517" s="2"/>
      <c r="B8517" s="6" t="s">
        <v>16203</v>
      </c>
      <c r="C8517" s="8"/>
      <c r="D8517" s="8"/>
      <c r="E8517" s="8"/>
    </row>
    <row r="8518" spans="1:5" ht="15" customHeight="1" outlineLevel="2" x14ac:dyDescent="0.25">
      <c r="A8518" s="3" t="str">
        <f>HYPERLINK("http://mystore1.ru/price_items/search?utf8=%E2%9C%93&amp;oem=7911ABL","7911ABL")</f>
        <v>7911ABL</v>
      </c>
      <c r="B8518" s="1" t="s">
        <v>16204</v>
      </c>
      <c r="C8518" s="9" t="s">
        <v>4646</v>
      </c>
      <c r="D8518" s="14" t="s">
        <v>16205</v>
      </c>
      <c r="E8518" s="9" t="s">
        <v>8</v>
      </c>
    </row>
    <row r="8519" spans="1:5" ht="15" customHeight="1" outlineLevel="2" x14ac:dyDescent="0.25">
      <c r="A8519" s="3" t="str">
        <f>HYPERLINK("http://mystore1.ru/price_items/search?utf8=%E2%9C%93&amp;oem=7911LBLH5FD","7911LBLH5FD")</f>
        <v>7911LBLH5FD</v>
      </c>
      <c r="B8519" s="1" t="s">
        <v>16206</v>
      </c>
      <c r="C8519" s="9" t="s">
        <v>4646</v>
      </c>
      <c r="D8519" s="14" t="s">
        <v>16207</v>
      </c>
      <c r="E8519" s="9" t="s">
        <v>11</v>
      </c>
    </row>
    <row r="8520" spans="1:5" ht="15" customHeight="1" outlineLevel="2" x14ac:dyDescent="0.25">
      <c r="A8520" s="3" t="str">
        <f>HYPERLINK("http://mystore1.ru/price_items/search?utf8=%E2%9C%93&amp;oem=7911RBLH5FD","7911RBLH5FD")</f>
        <v>7911RBLH5FD</v>
      </c>
      <c r="B8520" s="1" t="s">
        <v>16208</v>
      </c>
      <c r="C8520" s="9" t="s">
        <v>4646</v>
      </c>
      <c r="D8520" s="14" t="s">
        <v>16209</v>
      </c>
      <c r="E8520" s="9" t="s">
        <v>11</v>
      </c>
    </row>
    <row r="8521" spans="1:5" outlineLevel="1" x14ac:dyDescent="0.25">
      <c r="A8521" s="2"/>
      <c r="B8521" s="6" t="s">
        <v>16210</v>
      </c>
      <c r="C8521" s="8"/>
      <c r="D8521" s="8"/>
      <c r="E8521" s="8"/>
    </row>
    <row r="8522" spans="1:5" ht="15" customHeight="1" outlineLevel="2" x14ac:dyDescent="0.25">
      <c r="A8522" s="3" t="str">
        <f>HYPERLINK("http://mystore1.ru/price_items/search?utf8=%E2%9C%93&amp;oem=7921ABL","7921ABL")</f>
        <v>7921ABL</v>
      </c>
      <c r="B8522" s="1" t="s">
        <v>16211</v>
      </c>
      <c r="C8522" s="9" t="s">
        <v>420</v>
      </c>
      <c r="D8522" s="14" t="s">
        <v>16212</v>
      </c>
      <c r="E8522" s="9" t="s">
        <v>8</v>
      </c>
    </row>
    <row r="8523" spans="1:5" ht="15" customHeight="1" outlineLevel="2" x14ac:dyDescent="0.25">
      <c r="A8523" s="3" t="str">
        <f>HYPERLINK("http://mystore1.ru/price_items/search?utf8=%E2%9C%93&amp;oem=7921ABLBL","7921ABLBL")</f>
        <v>7921ABLBL</v>
      </c>
      <c r="B8523" s="1" t="s">
        <v>16213</v>
      </c>
      <c r="C8523" s="9" t="s">
        <v>420</v>
      </c>
      <c r="D8523" s="14" t="s">
        <v>16214</v>
      </c>
      <c r="E8523" s="9" t="s">
        <v>8</v>
      </c>
    </row>
    <row r="8524" spans="1:5" ht="15" customHeight="1" outlineLevel="2" x14ac:dyDescent="0.25">
      <c r="A8524" s="3" t="str">
        <f>HYPERLINK("http://mystore1.ru/price_items/search?utf8=%E2%9C%93&amp;oem=7921ACL","7921ACL")</f>
        <v>7921ACL</v>
      </c>
      <c r="B8524" s="1" t="s">
        <v>16215</v>
      </c>
      <c r="C8524" s="9" t="s">
        <v>420</v>
      </c>
      <c r="D8524" s="14" t="s">
        <v>16216</v>
      </c>
      <c r="E8524" s="9" t="s">
        <v>8</v>
      </c>
    </row>
    <row r="8525" spans="1:5" ht="15" customHeight="1" outlineLevel="2" x14ac:dyDescent="0.25">
      <c r="A8525" s="3" t="str">
        <f>HYPERLINK("http://mystore1.ru/price_items/search?utf8=%E2%9C%93&amp;oem=7921BBLH","7921BBLH")</f>
        <v>7921BBLH</v>
      </c>
      <c r="B8525" s="1" t="s">
        <v>16217</v>
      </c>
      <c r="C8525" s="9" t="s">
        <v>420</v>
      </c>
      <c r="D8525" s="14" t="s">
        <v>16218</v>
      </c>
      <c r="E8525" s="9" t="s">
        <v>30</v>
      </c>
    </row>
    <row r="8526" spans="1:5" ht="15" customHeight="1" outlineLevel="2" x14ac:dyDescent="0.25">
      <c r="A8526" s="3" t="str">
        <f>HYPERLINK("http://mystore1.ru/price_items/search?utf8=%E2%9C%93&amp;oem=7921BCLH","7921BCLH")</f>
        <v>7921BCLH</v>
      </c>
      <c r="B8526" s="1" t="s">
        <v>16219</v>
      </c>
      <c r="C8526" s="9" t="s">
        <v>420</v>
      </c>
      <c r="D8526" s="14" t="s">
        <v>16220</v>
      </c>
      <c r="E8526" s="9" t="s">
        <v>30</v>
      </c>
    </row>
    <row r="8527" spans="1:5" ht="15" customHeight="1" outlineLevel="2" x14ac:dyDescent="0.25">
      <c r="A8527" s="3" t="str">
        <f>HYPERLINK("http://mystore1.ru/price_items/search?utf8=%E2%9C%93&amp;oem=7921LBLH3FD","7921LBLH3FD")</f>
        <v>7921LBLH3FD</v>
      </c>
      <c r="B8527" s="1" t="s">
        <v>16221</v>
      </c>
      <c r="C8527" s="9" t="s">
        <v>420</v>
      </c>
      <c r="D8527" s="14" t="s">
        <v>16222</v>
      </c>
      <c r="E8527" s="9" t="s">
        <v>11</v>
      </c>
    </row>
    <row r="8528" spans="1:5" ht="15" customHeight="1" outlineLevel="2" x14ac:dyDescent="0.25">
      <c r="A8528" s="3" t="str">
        <f>HYPERLINK("http://mystore1.ru/price_items/search?utf8=%E2%9C%93&amp;oem=7921LBLH3RQO","7921LBLH3RQO")</f>
        <v>7921LBLH3RQO</v>
      </c>
      <c r="B8528" s="1" t="s">
        <v>16223</v>
      </c>
      <c r="C8528" s="9" t="s">
        <v>420</v>
      </c>
      <c r="D8528" s="14" t="s">
        <v>16224</v>
      </c>
      <c r="E8528" s="9" t="s">
        <v>11</v>
      </c>
    </row>
    <row r="8529" spans="1:5" ht="15" customHeight="1" outlineLevel="2" x14ac:dyDescent="0.25">
      <c r="A8529" s="3" t="str">
        <f>HYPERLINK("http://mystore1.ru/price_items/search?utf8=%E2%9C%93&amp;oem=7921LCLH3FD","7921LCLH3FD")</f>
        <v>7921LCLH3FD</v>
      </c>
      <c r="B8529" s="1" t="s">
        <v>16225</v>
      </c>
      <c r="C8529" s="9" t="s">
        <v>420</v>
      </c>
      <c r="D8529" s="14" t="s">
        <v>16226</v>
      </c>
      <c r="E8529" s="9" t="s">
        <v>11</v>
      </c>
    </row>
    <row r="8530" spans="1:5" ht="15" customHeight="1" outlineLevel="2" x14ac:dyDescent="0.25">
      <c r="A8530" s="3" t="str">
        <f>HYPERLINK("http://mystore1.ru/price_items/search?utf8=%E2%9C%93&amp;oem=7921RBLH3FD","7921RBLH3FD")</f>
        <v>7921RBLH3FD</v>
      </c>
      <c r="B8530" s="1" t="s">
        <v>16227</v>
      </c>
      <c r="C8530" s="9" t="s">
        <v>420</v>
      </c>
      <c r="D8530" s="14" t="s">
        <v>16228</v>
      </c>
      <c r="E8530" s="9" t="s">
        <v>11</v>
      </c>
    </row>
    <row r="8531" spans="1:5" ht="15" customHeight="1" outlineLevel="2" x14ac:dyDescent="0.25">
      <c r="A8531" s="3" t="str">
        <f>HYPERLINK("http://mystore1.ru/price_items/search?utf8=%E2%9C%93&amp;oem=7921RBLH3RQO","7921RBLH3RQO")</f>
        <v>7921RBLH3RQO</v>
      </c>
      <c r="B8531" s="1" t="s">
        <v>16229</v>
      </c>
      <c r="C8531" s="9" t="s">
        <v>420</v>
      </c>
      <c r="D8531" s="14" t="s">
        <v>16230</v>
      </c>
      <c r="E8531" s="9" t="s">
        <v>11</v>
      </c>
    </row>
    <row r="8532" spans="1:5" ht="15" customHeight="1" outlineLevel="2" x14ac:dyDescent="0.25">
      <c r="A8532" s="3" t="str">
        <f>HYPERLINK("http://mystore1.ru/price_items/search?utf8=%E2%9C%93&amp;oem=7921RCLH3FD","7921RCLH3FD")</f>
        <v>7921RCLH3FD</v>
      </c>
      <c r="B8532" s="1" t="s">
        <v>16231</v>
      </c>
      <c r="C8532" s="9" t="s">
        <v>420</v>
      </c>
      <c r="D8532" s="14" t="s">
        <v>16232</v>
      </c>
      <c r="E8532" s="9" t="s">
        <v>11</v>
      </c>
    </row>
    <row r="8533" spans="1:5" outlineLevel="1" x14ac:dyDescent="0.25">
      <c r="A8533" s="2"/>
      <c r="B8533" s="6" t="s">
        <v>16233</v>
      </c>
      <c r="C8533" s="8"/>
      <c r="D8533" s="8"/>
      <c r="E8533" s="8"/>
    </row>
    <row r="8534" spans="1:5" ht="15" customHeight="1" outlineLevel="2" x14ac:dyDescent="0.25">
      <c r="A8534" s="3" t="str">
        <f>HYPERLINK("http://mystore1.ru/price_items/search?utf8=%E2%9C%93&amp;oem=7922ABL","7922ABL")</f>
        <v>7922ABL</v>
      </c>
      <c r="B8534" s="1" t="s">
        <v>16234</v>
      </c>
      <c r="C8534" s="9" t="s">
        <v>2099</v>
      </c>
      <c r="D8534" s="14" t="s">
        <v>16235</v>
      </c>
      <c r="E8534" s="9" t="s">
        <v>8</v>
      </c>
    </row>
    <row r="8535" spans="1:5" ht="15" customHeight="1" outlineLevel="2" x14ac:dyDescent="0.25">
      <c r="A8535" s="3" t="str">
        <f>HYPERLINK("http://mystore1.ru/price_items/search?utf8=%E2%9C%93&amp;oem=7922ACL","7922ACL")</f>
        <v>7922ACL</v>
      </c>
      <c r="B8535" s="1" t="s">
        <v>16236</v>
      </c>
      <c r="C8535" s="9" t="s">
        <v>2099</v>
      </c>
      <c r="D8535" s="14" t="s">
        <v>16237</v>
      </c>
      <c r="E8535" s="9" t="s">
        <v>8</v>
      </c>
    </row>
    <row r="8536" spans="1:5" ht="15" customHeight="1" outlineLevel="2" x14ac:dyDescent="0.25">
      <c r="A8536" s="3" t="str">
        <f>HYPERLINK("http://mystore1.ru/price_items/search?utf8=%E2%9C%93&amp;oem=7922BBLH","7922BBLH")</f>
        <v>7922BBLH</v>
      </c>
      <c r="B8536" s="1" t="s">
        <v>16238</v>
      </c>
      <c r="C8536" s="9" t="s">
        <v>2099</v>
      </c>
      <c r="D8536" s="14" t="s">
        <v>16239</v>
      </c>
      <c r="E8536" s="9" t="s">
        <v>30</v>
      </c>
    </row>
    <row r="8537" spans="1:5" ht="15" customHeight="1" outlineLevel="2" x14ac:dyDescent="0.25">
      <c r="A8537" s="3" t="str">
        <f>HYPERLINK("http://mystore1.ru/price_items/search?utf8=%E2%9C%93&amp;oem=7922LBLH5FD","7922LBLH5FD")</f>
        <v>7922LBLH5FD</v>
      </c>
      <c r="B8537" s="1" t="s">
        <v>16240</v>
      </c>
      <c r="C8537" s="9" t="s">
        <v>2099</v>
      </c>
      <c r="D8537" s="14" t="s">
        <v>16241</v>
      </c>
      <c r="E8537" s="9" t="s">
        <v>11</v>
      </c>
    </row>
    <row r="8538" spans="1:5" ht="15" customHeight="1" outlineLevel="2" x14ac:dyDescent="0.25">
      <c r="A8538" s="3" t="str">
        <f>HYPERLINK("http://mystore1.ru/price_items/search?utf8=%E2%9C%93&amp;oem=7922LBLH5RQ","7922LBLH5RQ")</f>
        <v>7922LBLH5RQ</v>
      </c>
      <c r="B8538" s="1" t="s">
        <v>16242</v>
      </c>
      <c r="C8538" s="9" t="s">
        <v>2099</v>
      </c>
      <c r="D8538" s="14" t="s">
        <v>16243</v>
      </c>
      <c r="E8538" s="9" t="s">
        <v>11</v>
      </c>
    </row>
    <row r="8539" spans="1:5" ht="15" customHeight="1" outlineLevel="2" x14ac:dyDescent="0.25">
      <c r="A8539" s="3" t="str">
        <f>HYPERLINK("http://mystore1.ru/price_items/search?utf8=%E2%9C%93&amp;oem=7922LCLH5FD","7922LCLH5FD")</f>
        <v>7922LCLH5FD</v>
      </c>
      <c r="B8539" s="1" t="s">
        <v>16244</v>
      </c>
      <c r="C8539" s="9" t="s">
        <v>2099</v>
      </c>
      <c r="D8539" s="14" t="s">
        <v>16245</v>
      </c>
      <c r="E8539" s="9" t="s">
        <v>11</v>
      </c>
    </row>
    <row r="8540" spans="1:5" ht="15" customHeight="1" outlineLevel="2" x14ac:dyDescent="0.25">
      <c r="A8540" s="3" t="str">
        <f>HYPERLINK("http://mystore1.ru/price_items/search?utf8=%E2%9C%93&amp;oem=7922RBLH5RQ","7922RBLH5RQ")</f>
        <v>7922RBLH5RQ</v>
      </c>
      <c r="B8540" s="1" t="s">
        <v>16246</v>
      </c>
      <c r="C8540" s="9" t="s">
        <v>2099</v>
      </c>
      <c r="D8540" s="14" t="s">
        <v>16247</v>
      </c>
      <c r="E8540" s="9" t="s">
        <v>11</v>
      </c>
    </row>
    <row r="8541" spans="1:5" ht="15" customHeight="1" outlineLevel="2" x14ac:dyDescent="0.25">
      <c r="A8541" s="3" t="str">
        <f>HYPERLINK("http://mystore1.ru/price_items/search?utf8=%E2%9C%93&amp;oem=7922RCLH5FD","7922RCLH5FD")</f>
        <v>7922RCLH5FD</v>
      </c>
      <c r="B8541" s="1" t="s">
        <v>16248</v>
      </c>
      <c r="C8541" s="9" t="s">
        <v>2099</v>
      </c>
      <c r="D8541" s="14" t="s">
        <v>16249</v>
      </c>
      <c r="E8541" s="9" t="s">
        <v>11</v>
      </c>
    </row>
    <row r="8542" spans="1:5" outlineLevel="1" x14ac:dyDescent="0.25">
      <c r="A8542" s="2"/>
      <c r="B8542" s="6" t="s">
        <v>16250</v>
      </c>
      <c r="C8542" s="8"/>
      <c r="D8542" s="8"/>
      <c r="E8542" s="8"/>
    </row>
    <row r="8543" spans="1:5" ht="15" customHeight="1" outlineLevel="2" x14ac:dyDescent="0.25">
      <c r="A8543" s="3" t="str">
        <f>HYPERLINK("http://mystore1.ru/price_items/search?utf8=%E2%9C%93&amp;oem=7930AGN","7930AGN")</f>
        <v>7930AGN</v>
      </c>
      <c r="B8543" s="1" t="s">
        <v>16251</v>
      </c>
      <c r="C8543" s="9" t="s">
        <v>1590</v>
      </c>
      <c r="D8543" s="14" t="s">
        <v>16252</v>
      </c>
      <c r="E8543" s="9" t="s">
        <v>8</v>
      </c>
    </row>
    <row r="8544" spans="1:5" ht="15" customHeight="1" outlineLevel="2" x14ac:dyDescent="0.25">
      <c r="A8544" s="3" t="str">
        <f>HYPERLINK("http://mystore1.ru/price_items/search?utf8=%E2%9C%93&amp;oem=7930LGNH5FD","7930LGNH5FD")</f>
        <v>7930LGNH5FD</v>
      </c>
      <c r="B8544" s="1" t="s">
        <v>16253</v>
      </c>
      <c r="C8544" s="9" t="s">
        <v>1590</v>
      </c>
      <c r="D8544" s="14" t="s">
        <v>16254</v>
      </c>
      <c r="E8544" s="9" t="s">
        <v>11</v>
      </c>
    </row>
    <row r="8545" spans="1:5" ht="15" customHeight="1" outlineLevel="2" x14ac:dyDescent="0.25">
      <c r="A8545" s="3" t="str">
        <f>HYPERLINK("http://mystore1.ru/price_items/search?utf8=%E2%9C%93&amp;oem=7930LGNH5RD","7930LGNH5RD")</f>
        <v>7930LGNH5RD</v>
      </c>
      <c r="B8545" s="1" t="s">
        <v>16255</v>
      </c>
      <c r="C8545" s="9" t="s">
        <v>1590</v>
      </c>
      <c r="D8545" s="14" t="s">
        <v>16256</v>
      </c>
      <c r="E8545" s="9" t="s">
        <v>11</v>
      </c>
    </row>
    <row r="8546" spans="1:5" ht="15" customHeight="1" outlineLevel="2" x14ac:dyDescent="0.25">
      <c r="A8546" s="3" t="str">
        <f>HYPERLINK("http://mystore1.ru/price_items/search?utf8=%E2%9C%93&amp;oem=7930RGNH5FD","7930RGNH5FD")</f>
        <v>7930RGNH5FD</v>
      </c>
      <c r="B8546" s="1" t="s">
        <v>16257</v>
      </c>
      <c r="C8546" s="9" t="s">
        <v>1590</v>
      </c>
      <c r="D8546" s="14" t="s">
        <v>16258</v>
      </c>
      <c r="E8546" s="9" t="s">
        <v>11</v>
      </c>
    </row>
    <row r="8547" spans="1:5" ht="15" customHeight="1" outlineLevel="2" x14ac:dyDescent="0.25">
      <c r="A8547" s="3" t="str">
        <f>HYPERLINK("http://mystore1.ru/price_items/search?utf8=%E2%9C%93&amp;oem=7930RGNH5RD","7930RGNH5RD")</f>
        <v>7930RGNH5RD</v>
      </c>
      <c r="B8547" s="1" t="s">
        <v>16259</v>
      </c>
      <c r="C8547" s="9" t="s">
        <v>1590</v>
      </c>
      <c r="D8547" s="14" t="s">
        <v>16260</v>
      </c>
      <c r="E8547" s="9" t="s">
        <v>11</v>
      </c>
    </row>
    <row r="8548" spans="1:5" outlineLevel="1" x14ac:dyDescent="0.25">
      <c r="A8548" s="2"/>
      <c r="B8548" s="6" t="s">
        <v>16261</v>
      </c>
      <c r="C8548" s="8"/>
      <c r="D8548" s="8"/>
      <c r="E8548" s="8"/>
    </row>
    <row r="8549" spans="1:5" ht="15" customHeight="1" outlineLevel="2" x14ac:dyDescent="0.25">
      <c r="A8549" s="3" t="str">
        <f>HYPERLINK("http://mystore1.ru/price_items/search?utf8=%E2%9C%93&amp;oem=7912ABL","7912ABL")</f>
        <v>7912ABL</v>
      </c>
      <c r="B8549" s="1" t="s">
        <v>16262</v>
      </c>
      <c r="C8549" s="9" t="s">
        <v>2042</v>
      </c>
      <c r="D8549" s="14" t="s">
        <v>16263</v>
      </c>
      <c r="E8549" s="9" t="s">
        <v>8</v>
      </c>
    </row>
    <row r="8550" spans="1:5" ht="15" customHeight="1" outlineLevel="2" x14ac:dyDescent="0.25">
      <c r="A8550" s="3" t="str">
        <f>HYPERLINK("http://mystore1.ru/price_items/search?utf8=%E2%9C%93&amp;oem=7912AKCST","7912AKCST")</f>
        <v>7912AKCST</v>
      </c>
      <c r="B8550" s="1" t="s">
        <v>16264</v>
      </c>
      <c r="C8550" s="9" t="s">
        <v>25</v>
      </c>
      <c r="D8550" s="14" t="s">
        <v>16265</v>
      </c>
      <c r="E8550" s="9" t="s">
        <v>27</v>
      </c>
    </row>
    <row r="8551" spans="1:5" ht="15" customHeight="1" outlineLevel="2" x14ac:dyDescent="0.25">
      <c r="A8551" s="3" t="str">
        <f>HYPERLINK("http://mystore1.ru/price_items/search?utf8=%E2%9C%93&amp;oem=7912ASMST","7912ASMST")</f>
        <v>7912ASMST</v>
      </c>
      <c r="B8551" s="1" t="s">
        <v>16266</v>
      </c>
      <c r="C8551" s="9" t="s">
        <v>25</v>
      </c>
      <c r="D8551" s="14" t="s">
        <v>16267</v>
      </c>
      <c r="E8551" s="9" t="s">
        <v>27</v>
      </c>
    </row>
    <row r="8552" spans="1:5" ht="15" customHeight="1" outlineLevel="2" x14ac:dyDescent="0.25">
      <c r="A8552" s="3" t="str">
        <f>HYPERLINK("http://mystore1.ru/price_items/search?utf8=%E2%9C%93&amp;oem=7912BBLS","7912BBLS")</f>
        <v>7912BBLS</v>
      </c>
      <c r="B8552" s="1" t="s">
        <v>16268</v>
      </c>
      <c r="C8552" s="9" t="s">
        <v>2042</v>
      </c>
      <c r="D8552" s="14" t="s">
        <v>16269</v>
      </c>
      <c r="E8552" s="9" t="s">
        <v>30</v>
      </c>
    </row>
    <row r="8553" spans="1:5" ht="15" customHeight="1" outlineLevel="2" x14ac:dyDescent="0.25">
      <c r="A8553" s="3" t="str">
        <f>HYPERLINK("http://mystore1.ru/price_items/search?utf8=%E2%9C%93&amp;oem=7912LBLS4FD","7912LBLS4FD")</f>
        <v>7912LBLS4FD</v>
      </c>
      <c r="B8553" s="1" t="s">
        <v>16270</v>
      </c>
      <c r="C8553" s="9" t="s">
        <v>2042</v>
      </c>
      <c r="D8553" s="14" t="s">
        <v>16271</v>
      </c>
      <c r="E8553" s="9" t="s">
        <v>11</v>
      </c>
    </row>
    <row r="8554" spans="1:5" ht="15" customHeight="1" outlineLevel="2" x14ac:dyDescent="0.25">
      <c r="A8554" s="3" t="str">
        <f>HYPERLINK("http://mystore1.ru/price_items/search?utf8=%E2%9C%93&amp;oem=7912LBLS4RD","7912LBLS4RD")</f>
        <v>7912LBLS4RD</v>
      </c>
      <c r="B8554" s="1" t="s">
        <v>16272</v>
      </c>
      <c r="C8554" s="9" t="s">
        <v>2042</v>
      </c>
      <c r="D8554" s="14" t="s">
        <v>16273</v>
      </c>
      <c r="E8554" s="9" t="s">
        <v>11</v>
      </c>
    </row>
    <row r="8555" spans="1:5" ht="15" customHeight="1" outlineLevel="2" x14ac:dyDescent="0.25">
      <c r="A8555" s="3" t="str">
        <f>HYPERLINK("http://mystore1.ru/price_items/search?utf8=%E2%9C%93&amp;oem=7912LBLS4RQ","7912LBLS4RQ")</f>
        <v>7912LBLS4RQ</v>
      </c>
      <c r="B8555" s="1" t="s">
        <v>16274</v>
      </c>
      <c r="C8555" s="9" t="s">
        <v>2042</v>
      </c>
      <c r="D8555" s="14" t="s">
        <v>16275</v>
      </c>
      <c r="E8555" s="9" t="s">
        <v>11</v>
      </c>
    </row>
    <row r="8556" spans="1:5" ht="15" customHeight="1" outlineLevel="2" x14ac:dyDescent="0.25">
      <c r="A8556" s="3" t="str">
        <f>HYPERLINK("http://mystore1.ru/price_items/search?utf8=%E2%9C%93&amp;oem=7912RBLS4FD","7912RBLS4FD")</f>
        <v>7912RBLS4FD</v>
      </c>
      <c r="B8556" s="1" t="s">
        <v>16276</v>
      </c>
      <c r="C8556" s="9" t="s">
        <v>2042</v>
      </c>
      <c r="D8556" s="14" t="s">
        <v>16277</v>
      </c>
      <c r="E8556" s="9" t="s">
        <v>11</v>
      </c>
    </row>
    <row r="8557" spans="1:5" ht="15" customHeight="1" outlineLevel="2" x14ac:dyDescent="0.25">
      <c r="A8557" s="3" t="str">
        <f>HYPERLINK("http://mystore1.ru/price_items/search?utf8=%E2%9C%93&amp;oem=7912RBLS4RD","7912RBLS4RD")</f>
        <v>7912RBLS4RD</v>
      </c>
      <c r="B8557" s="1" t="s">
        <v>16278</v>
      </c>
      <c r="C8557" s="9" t="s">
        <v>2042</v>
      </c>
      <c r="D8557" s="14" t="s">
        <v>16279</v>
      </c>
      <c r="E8557" s="9" t="s">
        <v>11</v>
      </c>
    </row>
    <row r="8558" spans="1:5" ht="15" customHeight="1" outlineLevel="2" x14ac:dyDescent="0.25">
      <c r="A8558" s="3" t="str">
        <f>HYPERLINK("http://mystore1.ru/price_items/search?utf8=%E2%9C%93&amp;oem=7912RBLS4RQ","7912RBLS4RQ")</f>
        <v>7912RBLS4RQ</v>
      </c>
      <c r="B8558" s="1" t="s">
        <v>16280</v>
      </c>
      <c r="C8558" s="9" t="s">
        <v>2042</v>
      </c>
      <c r="D8558" s="14" t="s">
        <v>16281</v>
      </c>
      <c r="E8558" s="9" t="s">
        <v>11</v>
      </c>
    </row>
    <row r="8559" spans="1:5" outlineLevel="1" x14ac:dyDescent="0.25">
      <c r="A8559" s="2"/>
      <c r="B8559" s="6" t="s">
        <v>16282</v>
      </c>
      <c r="C8559" s="8"/>
      <c r="D8559" s="8"/>
      <c r="E8559" s="8"/>
    </row>
    <row r="8560" spans="1:5" ht="15" customHeight="1" outlineLevel="2" x14ac:dyDescent="0.25">
      <c r="A8560" s="3" t="str">
        <f>HYPERLINK("http://mystore1.ru/price_items/search?utf8=%E2%9C%93&amp;oem=7919AGN","7919AGN")</f>
        <v>7919AGN</v>
      </c>
      <c r="B8560" s="1" t="s">
        <v>16283</v>
      </c>
      <c r="C8560" s="9" t="s">
        <v>883</v>
      </c>
      <c r="D8560" s="14" t="s">
        <v>16284</v>
      </c>
      <c r="E8560" s="9" t="s">
        <v>8</v>
      </c>
    </row>
    <row r="8561" spans="1:5" ht="15" customHeight="1" outlineLevel="2" x14ac:dyDescent="0.25">
      <c r="A8561" s="3" t="str">
        <f>HYPERLINK("http://mystore1.ru/price_items/search?utf8=%E2%9C%93&amp;oem=7919AGNBL","7919AGNBL")</f>
        <v>7919AGNBL</v>
      </c>
      <c r="B8561" s="1" t="s">
        <v>16285</v>
      </c>
      <c r="C8561" s="9" t="s">
        <v>883</v>
      </c>
      <c r="D8561" s="14" t="s">
        <v>16286</v>
      </c>
      <c r="E8561" s="9" t="s">
        <v>8</v>
      </c>
    </row>
    <row r="8562" spans="1:5" ht="15" customHeight="1" outlineLevel="2" x14ac:dyDescent="0.25">
      <c r="A8562" s="3" t="str">
        <f>HYPERLINK("http://mystore1.ru/price_items/search?utf8=%E2%9C%93&amp;oem=7919AKCS","7919AKCS")</f>
        <v>7919AKCS</v>
      </c>
      <c r="B8562" s="1" t="s">
        <v>16287</v>
      </c>
      <c r="C8562" s="9" t="s">
        <v>25</v>
      </c>
      <c r="D8562" s="14" t="s">
        <v>16288</v>
      </c>
      <c r="E8562" s="9" t="s">
        <v>27</v>
      </c>
    </row>
    <row r="8563" spans="1:5" ht="15" customHeight="1" outlineLevel="2" x14ac:dyDescent="0.25">
      <c r="A8563" s="3" t="str">
        <f>HYPERLINK("http://mystore1.ru/price_items/search?utf8=%E2%9C%93&amp;oem=7919ASMST","7919ASMST")</f>
        <v>7919ASMST</v>
      </c>
      <c r="B8563" s="1" t="s">
        <v>16289</v>
      </c>
      <c r="C8563" s="9" t="s">
        <v>25</v>
      </c>
      <c r="D8563" s="14" t="s">
        <v>16290</v>
      </c>
      <c r="E8563" s="9" t="s">
        <v>27</v>
      </c>
    </row>
    <row r="8564" spans="1:5" outlineLevel="1" x14ac:dyDescent="0.25">
      <c r="A8564" s="2"/>
      <c r="B8564" s="6" t="s">
        <v>16291</v>
      </c>
      <c r="C8564" s="8"/>
      <c r="D8564" s="8"/>
      <c r="E8564" s="8"/>
    </row>
    <row r="8565" spans="1:5" ht="15" customHeight="1" outlineLevel="2" x14ac:dyDescent="0.25">
      <c r="A8565" s="3" t="str">
        <f>HYPERLINK("http://mystore1.ru/price_items/search?utf8=%E2%9C%93&amp;oem=7925AGN","7925AGN")</f>
        <v>7925AGN</v>
      </c>
      <c r="B8565" s="1" t="s">
        <v>16292</v>
      </c>
      <c r="C8565" s="9" t="s">
        <v>1154</v>
      </c>
      <c r="D8565" s="14" t="s">
        <v>16293</v>
      </c>
      <c r="E8565" s="9" t="s">
        <v>8</v>
      </c>
    </row>
    <row r="8566" spans="1:5" ht="15" customHeight="1" outlineLevel="2" x14ac:dyDescent="0.25">
      <c r="A8566" s="3" t="str">
        <f>HYPERLINK("http://mystore1.ru/price_items/search?utf8=%E2%9C%93&amp;oem=7925AGNH","7925AGNH")</f>
        <v>7925AGNH</v>
      </c>
      <c r="B8566" s="1" t="s">
        <v>16294</v>
      </c>
      <c r="C8566" s="9" t="s">
        <v>1154</v>
      </c>
      <c r="D8566" s="14" t="s">
        <v>16295</v>
      </c>
      <c r="E8566" s="9" t="s">
        <v>8</v>
      </c>
    </row>
    <row r="8567" spans="1:5" ht="15" customHeight="1" outlineLevel="2" x14ac:dyDescent="0.25">
      <c r="A8567" s="3" t="str">
        <f>HYPERLINK("http://mystore1.ru/price_items/search?utf8=%E2%9C%93&amp;oem=7925ASMS","7925ASMS")</f>
        <v>7925ASMS</v>
      </c>
      <c r="B8567" s="1" t="s">
        <v>16296</v>
      </c>
      <c r="C8567" s="9" t="s">
        <v>25</v>
      </c>
      <c r="D8567" s="14" t="s">
        <v>16297</v>
      </c>
      <c r="E8567" s="9" t="s">
        <v>27</v>
      </c>
    </row>
    <row r="8568" spans="1:5" ht="15" customHeight="1" outlineLevel="2" x14ac:dyDescent="0.25">
      <c r="A8568" s="3" t="str">
        <f>HYPERLINK("http://mystore1.ru/price_items/search?utf8=%E2%9C%93&amp;oem=7925LGNE5RDW","7925LGNE5RDW")</f>
        <v>7925LGNE5RDW</v>
      </c>
      <c r="B8568" s="1" t="s">
        <v>16298</v>
      </c>
      <c r="C8568" s="9" t="s">
        <v>1154</v>
      </c>
      <c r="D8568" s="14" t="s">
        <v>16299</v>
      </c>
      <c r="E8568" s="9" t="s">
        <v>11</v>
      </c>
    </row>
    <row r="8569" spans="1:5" ht="15" customHeight="1" outlineLevel="2" x14ac:dyDescent="0.25">
      <c r="A8569" s="3" t="str">
        <f>HYPERLINK("http://mystore1.ru/price_items/search?utf8=%E2%9C%93&amp;oem=7925LGNS4FDW","7925LGNS4FDW")</f>
        <v>7925LGNS4FDW</v>
      </c>
      <c r="B8569" s="1" t="s">
        <v>16300</v>
      </c>
      <c r="C8569" s="9" t="s">
        <v>1154</v>
      </c>
      <c r="D8569" s="14" t="s">
        <v>16301</v>
      </c>
      <c r="E8569" s="9" t="s">
        <v>11</v>
      </c>
    </row>
    <row r="8570" spans="1:5" ht="15" customHeight="1" outlineLevel="2" x14ac:dyDescent="0.25">
      <c r="A8570" s="3" t="str">
        <f>HYPERLINK("http://mystore1.ru/price_items/search?utf8=%E2%9C%93&amp;oem=7925LGNS4RDW","7925LGNS4RDW")</f>
        <v>7925LGNS4RDW</v>
      </c>
      <c r="B8570" s="1" t="s">
        <v>16302</v>
      </c>
      <c r="C8570" s="9" t="s">
        <v>1154</v>
      </c>
      <c r="D8570" s="14" t="s">
        <v>16303</v>
      </c>
      <c r="E8570" s="9" t="s">
        <v>11</v>
      </c>
    </row>
    <row r="8571" spans="1:5" ht="15" customHeight="1" outlineLevel="2" x14ac:dyDescent="0.25">
      <c r="A8571" s="3" t="str">
        <f>HYPERLINK("http://mystore1.ru/price_items/search?utf8=%E2%9C%93&amp;oem=7925RGNS4FDW","7925RGNS4FDW")</f>
        <v>7925RGNS4FDW</v>
      </c>
      <c r="B8571" s="1" t="s">
        <v>16304</v>
      </c>
      <c r="C8571" s="9" t="s">
        <v>1154</v>
      </c>
      <c r="D8571" s="14" t="s">
        <v>16305</v>
      </c>
      <c r="E8571" s="9" t="s">
        <v>11</v>
      </c>
    </row>
    <row r="8572" spans="1:5" ht="15" customHeight="1" outlineLevel="2" x14ac:dyDescent="0.25">
      <c r="A8572" s="3" t="str">
        <f>HYPERLINK("http://mystore1.ru/price_items/search?utf8=%E2%9C%93&amp;oem=7925RGNS4RDW","7925RGNS4RDW")</f>
        <v>7925RGNS4RDW</v>
      </c>
      <c r="B8572" s="1" t="s">
        <v>16306</v>
      </c>
      <c r="C8572" s="9" t="s">
        <v>1154</v>
      </c>
      <c r="D8572" s="14" t="s">
        <v>16307</v>
      </c>
      <c r="E8572" s="9" t="s">
        <v>11</v>
      </c>
    </row>
    <row r="8573" spans="1:5" outlineLevel="1" x14ac:dyDescent="0.25">
      <c r="A8573" s="2"/>
      <c r="B8573" s="6" t="s">
        <v>16308</v>
      </c>
      <c r="C8573" s="8"/>
      <c r="D8573" s="8"/>
      <c r="E8573" s="8"/>
    </row>
    <row r="8574" spans="1:5" ht="15" customHeight="1" outlineLevel="2" x14ac:dyDescent="0.25">
      <c r="A8574" s="3" t="str">
        <f>HYPERLINK("http://mystore1.ru/price_items/search?utf8=%E2%9C%93&amp;oem=7929AGNBLHV","7929AGNBLHV")</f>
        <v>7929AGNBLHV</v>
      </c>
      <c r="B8574" s="1" t="s">
        <v>16309</v>
      </c>
      <c r="C8574" s="9" t="s">
        <v>2351</v>
      </c>
      <c r="D8574" s="14" t="s">
        <v>16310</v>
      </c>
      <c r="E8574" s="9" t="s">
        <v>8</v>
      </c>
    </row>
    <row r="8575" spans="1:5" ht="15" customHeight="1" outlineLevel="2" x14ac:dyDescent="0.25">
      <c r="A8575" s="3" t="str">
        <f>HYPERLINK("http://mystore1.ru/price_items/search?utf8=%E2%9C%93&amp;oem=7929AGNHV","7929AGNHV")</f>
        <v>7929AGNHV</v>
      </c>
      <c r="B8575" s="1" t="s">
        <v>16311</v>
      </c>
      <c r="C8575" s="9" t="s">
        <v>2351</v>
      </c>
      <c r="D8575" s="14" t="s">
        <v>16312</v>
      </c>
      <c r="E8575" s="9" t="s">
        <v>8</v>
      </c>
    </row>
    <row r="8576" spans="1:5" ht="15" customHeight="1" outlineLevel="2" x14ac:dyDescent="0.25">
      <c r="A8576" s="3" t="str">
        <f>HYPERLINK("http://mystore1.ru/price_items/search?utf8=%E2%9C%93&amp;oem=7929AGNHV1C","7929AGNHV1C")</f>
        <v>7929AGNHV1C</v>
      </c>
      <c r="B8576" s="1" t="s">
        <v>16313</v>
      </c>
      <c r="C8576" s="9" t="s">
        <v>2351</v>
      </c>
      <c r="D8576" s="14" t="s">
        <v>16314</v>
      </c>
      <c r="E8576" s="9" t="s">
        <v>8</v>
      </c>
    </row>
    <row r="8577" spans="1:5" ht="15" customHeight="1" outlineLevel="2" x14ac:dyDescent="0.25">
      <c r="A8577" s="3" t="str">
        <f>HYPERLINK("http://mystore1.ru/price_items/search?utf8=%E2%9C%93&amp;oem=7929AGNV","7929AGNV")</f>
        <v>7929AGNV</v>
      </c>
      <c r="B8577" s="1" t="s">
        <v>16315</v>
      </c>
      <c r="C8577" s="9" t="s">
        <v>2351</v>
      </c>
      <c r="D8577" s="14" t="s">
        <v>16316</v>
      </c>
      <c r="E8577" s="9" t="s">
        <v>8</v>
      </c>
    </row>
    <row r="8578" spans="1:5" ht="15" customHeight="1" outlineLevel="2" x14ac:dyDescent="0.25">
      <c r="A8578" s="3" t="str">
        <f>HYPERLINK("http://mystore1.ru/price_items/search?utf8=%E2%9C%93&amp;oem=7929ASMS","7929ASMS")</f>
        <v>7929ASMS</v>
      </c>
      <c r="B8578" s="1" t="s">
        <v>16317</v>
      </c>
      <c r="C8578" s="9" t="s">
        <v>25</v>
      </c>
      <c r="D8578" s="14" t="s">
        <v>16318</v>
      </c>
      <c r="E8578" s="9" t="s">
        <v>27</v>
      </c>
    </row>
    <row r="8579" spans="1:5" outlineLevel="1" x14ac:dyDescent="0.25">
      <c r="A8579" s="2"/>
      <c r="B8579" s="6" t="s">
        <v>16319</v>
      </c>
      <c r="C8579" s="8"/>
      <c r="D8579" s="8"/>
      <c r="E8579" s="8"/>
    </row>
    <row r="8580" spans="1:5" ht="15" customHeight="1" outlineLevel="2" x14ac:dyDescent="0.25">
      <c r="A8580" s="3" t="str">
        <f>HYPERLINK("http://mystore1.ru/price_items/search?utf8=%E2%9C%93&amp;oem=7936AGNHMV1B","7936AGNHMV1B")</f>
        <v>7936AGNHMV1B</v>
      </c>
      <c r="B8580" s="1" t="s">
        <v>16320</v>
      </c>
      <c r="C8580" s="9" t="s">
        <v>369</v>
      </c>
      <c r="D8580" s="14" t="s">
        <v>16321</v>
      </c>
      <c r="E8580" s="9" t="s">
        <v>8</v>
      </c>
    </row>
    <row r="8581" spans="1:5" ht="15" customHeight="1" outlineLevel="2" x14ac:dyDescent="0.25">
      <c r="A8581" s="3" t="str">
        <f>HYPERLINK("http://mystore1.ru/price_items/search?utf8=%E2%9C%93&amp;oem=7936AGNMV1B","7936AGNMV1B")</f>
        <v>7936AGNMV1B</v>
      </c>
      <c r="B8581" s="1" t="s">
        <v>16322</v>
      </c>
      <c r="C8581" s="9" t="s">
        <v>369</v>
      </c>
      <c r="D8581" s="14" t="s">
        <v>16323</v>
      </c>
      <c r="E8581" s="9" t="s">
        <v>8</v>
      </c>
    </row>
    <row r="8582" spans="1:5" ht="15" customHeight="1" outlineLevel="2" x14ac:dyDescent="0.25">
      <c r="A8582" s="3" t="str">
        <f>HYPERLINK("http://mystore1.ru/price_items/search?utf8=%E2%9C%93&amp;oem=7936AGNV","7936AGNV")</f>
        <v>7936AGNV</v>
      </c>
      <c r="B8582" s="1" t="s">
        <v>16324</v>
      </c>
      <c r="C8582" s="9" t="s">
        <v>369</v>
      </c>
      <c r="D8582" s="14" t="s">
        <v>16325</v>
      </c>
      <c r="E8582" s="9" t="s">
        <v>8</v>
      </c>
    </row>
    <row r="8583" spans="1:5" outlineLevel="1" x14ac:dyDescent="0.25">
      <c r="A8583" s="2"/>
      <c r="B8583" s="6" t="s">
        <v>16326</v>
      </c>
      <c r="C8583" s="8"/>
      <c r="D8583" s="8"/>
      <c r="E8583" s="8"/>
    </row>
    <row r="8584" spans="1:5" outlineLevel="2" x14ac:dyDescent="0.25">
      <c r="A8584" s="3" t="str">
        <f>HYPERLINK("http://mystore1.ru/price_items/search?utf8=%E2%9C%93&amp;oem=7931AGSBLHV","7931AGSBLHV")</f>
        <v>7931AGSBLHV</v>
      </c>
      <c r="B8584" s="1" t="s">
        <v>16327</v>
      </c>
      <c r="C8584" s="9" t="s">
        <v>1596</v>
      </c>
      <c r="D8584" s="14" t="s">
        <v>16328</v>
      </c>
      <c r="E8584" s="9" t="s">
        <v>8</v>
      </c>
    </row>
    <row r="8585" spans="1:5" x14ac:dyDescent="0.25">
      <c r="A8585" s="61" t="s">
        <v>16329</v>
      </c>
      <c r="B8585" s="61"/>
      <c r="C8585" s="61"/>
      <c r="D8585" s="61"/>
      <c r="E8585" s="61"/>
    </row>
    <row r="8586" spans="1:5" outlineLevel="1" x14ac:dyDescent="0.25">
      <c r="A8586" s="2"/>
      <c r="B8586" s="6" t="s">
        <v>16330</v>
      </c>
      <c r="C8586" s="8"/>
      <c r="D8586" s="8"/>
      <c r="E8586" s="8"/>
    </row>
    <row r="8587" spans="1:5" ht="15" customHeight="1" outlineLevel="2" x14ac:dyDescent="0.25">
      <c r="A8587" s="3" t="str">
        <f>HYPERLINK("http://mystore1.ru/price_items/search?utf8=%E2%9C%93&amp;oem=8013ABL","8013ABL")</f>
        <v>8013ABL</v>
      </c>
      <c r="B8587" s="1" t="s">
        <v>16331</v>
      </c>
      <c r="C8587" s="9" t="s">
        <v>1625</v>
      </c>
      <c r="D8587" s="14" t="s">
        <v>16332</v>
      </c>
      <c r="E8587" s="9" t="s">
        <v>8</v>
      </c>
    </row>
    <row r="8588" spans="1:5" ht="15" customHeight="1" outlineLevel="2" x14ac:dyDescent="0.25">
      <c r="A8588" s="3" t="str">
        <f>HYPERLINK("http://mystore1.ru/price_items/search?utf8=%E2%9C%93&amp;oem=8013AGN","8013AGN")</f>
        <v>8013AGN</v>
      </c>
      <c r="B8588" s="1" t="s">
        <v>16333</v>
      </c>
      <c r="C8588" s="9" t="s">
        <v>1625</v>
      </c>
      <c r="D8588" s="14" t="s">
        <v>16334</v>
      </c>
      <c r="E8588" s="9" t="s">
        <v>8</v>
      </c>
    </row>
    <row r="8589" spans="1:5" ht="15" customHeight="1" outlineLevel="2" x14ac:dyDescent="0.25">
      <c r="A8589" s="3" t="str">
        <f>HYPERLINK("http://mystore1.ru/price_items/search?utf8=%E2%9C%93&amp;oem=8013ASMH","8013ASMH")</f>
        <v>8013ASMH</v>
      </c>
      <c r="B8589" s="1" t="s">
        <v>16335</v>
      </c>
      <c r="C8589" s="9" t="s">
        <v>25</v>
      </c>
      <c r="D8589" s="14" t="s">
        <v>16336</v>
      </c>
      <c r="E8589" s="9" t="s">
        <v>27</v>
      </c>
    </row>
    <row r="8590" spans="1:5" ht="15" customHeight="1" outlineLevel="2" x14ac:dyDescent="0.25">
      <c r="A8590" s="3" t="str">
        <f>HYPERLINK("http://mystore1.ru/price_items/search?utf8=%E2%9C%93&amp;oem=8013LGNH3FD","8013LGNH3FD")</f>
        <v>8013LGNH3FD</v>
      </c>
      <c r="B8590" s="1" t="s">
        <v>16337</v>
      </c>
      <c r="C8590" s="9" t="s">
        <v>1625</v>
      </c>
      <c r="D8590" s="14" t="s">
        <v>16338</v>
      </c>
      <c r="E8590" s="9" t="s">
        <v>11</v>
      </c>
    </row>
    <row r="8591" spans="1:5" ht="15" customHeight="1" outlineLevel="2" x14ac:dyDescent="0.25">
      <c r="A8591" s="3" t="str">
        <f>HYPERLINK("http://mystore1.ru/price_items/search?utf8=%E2%9C%93&amp;oem=8013LGNH3RQO","8013LGNH3RQO")</f>
        <v>8013LGNH3RQO</v>
      </c>
      <c r="B8591" s="1" t="s">
        <v>16339</v>
      </c>
      <c r="C8591" s="9" t="s">
        <v>1625</v>
      </c>
      <c r="D8591" s="14" t="s">
        <v>16340</v>
      </c>
      <c r="E8591" s="9" t="s">
        <v>11</v>
      </c>
    </row>
    <row r="8592" spans="1:5" ht="15" customHeight="1" outlineLevel="2" x14ac:dyDescent="0.25">
      <c r="A8592" s="3" t="str">
        <f>HYPERLINK("http://mystore1.ru/price_items/search?utf8=%E2%9C%93&amp;oem=8013RGNH3FD","8013RGNH3FD")</f>
        <v>8013RGNH3FD</v>
      </c>
      <c r="B8592" s="1" t="s">
        <v>16341</v>
      </c>
      <c r="C8592" s="9" t="s">
        <v>1625</v>
      </c>
      <c r="D8592" s="14" t="s">
        <v>16342</v>
      </c>
      <c r="E8592" s="9" t="s">
        <v>11</v>
      </c>
    </row>
    <row r="8593" spans="1:5" ht="15" customHeight="1" outlineLevel="2" x14ac:dyDescent="0.25">
      <c r="A8593" s="3" t="str">
        <f>HYPERLINK("http://mystore1.ru/price_items/search?utf8=%E2%9C%93&amp;oem=8013RGNH3RQO","8013RGNH3RQO")</f>
        <v>8013RGNH3RQO</v>
      </c>
      <c r="B8593" s="1" t="s">
        <v>16343</v>
      </c>
      <c r="C8593" s="9" t="s">
        <v>1625</v>
      </c>
      <c r="D8593" s="14" t="s">
        <v>16344</v>
      </c>
      <c r="E8593" s="9" t="s">
        <v>11</v>
      </c>
    </row>
    <row r="8594" spans="1:5" outlineLevel="1" x14ac:dyDescent="0.25">
      <c r="A8594" s="2"/>
      <c r="B8594" s="6" t="s">
        <v>16345</v>
      </c>
      <c r="C8594" s="8"/>
      <c r="D8594" s="8"/>
      <c r="E8594" s="8"/>
    </row>
    <row r="8595" spans="1:5" ht="15" customHeight="1" outlineLevel="2" x14ac:dyDescent="0.25">
      <c r="A8595" s="3" t="str">
        <f>HYPERLINK("http://mystore1.ru/price_items/search?utf8=%E2%9C%93&amp;oem=8029AGN","8029AGN")</f>
        <v>8029AGN</v>
      </c>
      <c r="B8595" s="1" t="s">
        <v>16346</v>
      </c>
      <c r="C8595" s="9" t="s">
        <v>567</v>
      </c>
      <c r="D8595" s="14" t="s">
        <v>16347</v>
      </c>
      <c r="E8595" s="9" t="s">
        <v>8</v>
      </c>
    </row>
    <row r="8596" spans="1:5" ht="15" customHeight="1" outlineLevel="2" x14ac:dyDescent="0.25">
      <c r="A8596" s="3" t="str">
        <f>HYPERLINK("http://mystore1.ru/price_items/search?utf8=%E2%9C%93&amp;oem=8029ASMH","8029ASMH")</f>
        <v>8029ASMH</v>
      </c>
      <c r="B8596" s="1" t="s">
        <v>16348</v>
      </c>
      <c r="C8596" s="9" t="s">
        <v>25</v>
      </c>
      <c r="D8596" s="14" t="s">
        <v>16349</v>
      </c>
      <c r="E8596" s="9" t="s">
        <v>27</v>
      </c>
    </row>
    <row r="8597" spans="1:5" outlineLevel="1" x14ac:dyDescent="0.25">
      <c r="A8597" s="2"/>
      <c r="B8597" s="6" t="s">
        <v>16350</v>
      </c>
      <c r="C8597" s="8"/>
      <c r="D8597" s="8"/>
      <c r="E8597" s="8"/>
    </row>
    <row r="8598" spans="1:5" ht="15" customHeight="1" outlineLevel="2" x14ac:dyDescent="0.25">
      <c r="A8598" s="3" t="str">
        <f>HYPERLINK("http://mystore1.ru/price_items/search?utf8=%E2%9C%93&amp;oem=8009ABL","8009ABL")</f>
        <v>8009ABL</v>
      </c>
      <c r="B8598" s="1" t="s">
        <v>16351</v>
      </c>
      <c r="C8598" s="9" t="s">
        <v>8150</v>
      </c>
      <c r="D8598" s="14" t="s">
        <v>16352</v>
      </c>
      <c r="E8598" s="9" t="s">
        <v>8</v>
      </c>
    </row>
    <row r="8599" spans="1:5" ht="15" customHeight="1" outlineLevel="2" x14ac:dyDescent="0.25">
      <c r="A8599" s="3" t="str">
        <f>HYPERLINK("http://mystore1.ru/price_items/search?utf8=%E2%9C%93&amp;oem=8009ACL","8009ACL")</f>
        <v>8009ACL</v>
      </c>
      <c r="B8599" s="1" t="s">
        <v>16353</v>
      </c>
      <c r="C8599" s="9" t="s">
        <v>8150</v>
      </c>
      <c r="D8599" s="14" t="s">
        <v>16354</v>
      </c>
      <c r="E8599" s="9" t="s">
        <v>8</v>
      </c>
    </row>
    <row r="8600" spans="1:5" ht="15" customHeight="1" outlineLevel="2" x14ac:dyDescent="0.25">
      <c r="A8600" s="3" t="str">
        <f>HYPERLINK("http://mystore1.ru/price_items/search?utf8=%E2%9C%93&amp;oem=8009LCLH5FD","8009LCLH5FD")</f>
        <v>8009LCLH5FD</v>
      </c>
      <c r="B8600" s="1" t="s">
        <v>16355</v>
      </c>
      <c r="C8600" s="9" t="s">
        <v>8150</v>
      </c>
      <c r="D8600" s="14" t="s">
        <v>16356</v>
      </c>
      <c r="E8600" s="9" t="s">
        <v>11</v>
      </c>
    </row>
    <row r="8601" spans="1:5" outlineLevel="1" x14ac:dyDescent="0.25">
      <c r="A8601" s="2"/>
      <c r="B8601" s="6" t="s">
        <v>16357</v>
      </c>
      <c r="C8601" s="8"/>
      <c r="D8601" s="8"/>
      <c r="E8601" s="8"/>
    </row>
    <row r="8602" spans="1:5" ht="15" customHeight="1" outlineLevel="2" x14ac:dyDescent="0.25">
      <c r="A8602" s="3" t="str">
        <f>HYPERLINK("http://mystore1.ru/price_items/search?utf8=%E2%9C%93&amp;oem=8016ABL","8016ABL")</f>
        <v>8016ABL</v>
      </c>
      <c r="B8602" s="1" t="s">
        <v>16358</v>
      </c>
      <c r="C8602" s="9" t="s">
        <v>1625</v>
      </c>
      <c r="D8602" s="14" t="s">
        <v>16359</v>
      </c>
      <c r="E8602" s="9" t="s">
        <v>8</v>
      </c>
    </row>
    <row r="8603" spans="1:5" ht="15" customHeight="1" outlineLevel="2" x14ac:dyDescent="0.25">
      <c r="A8603" s="3" t="str">
        <f>HYPERLINK("http://mystore1.ru/price_items/search?utf8=%E2%9C%93&amp;oem=8016AGN","8016AGN")</f>
        <v>8016AGN</v>
      </c>
      <c r="B8603" s="1" t="s">
        <v>16360</v>
      </c>
      <c r="C8603" s="9" t="s">
        <v>1625</v>
      </c>
      <c r="D8603" s="14" t="s">
        <v>16361</v>
      </c>
      <c r="E8603" s="9" t="s">
        <v>8</v>
      </c>
    </row>
    <row r="8604" spans="1:5" ht="15" customHeight="1" outlineLevel="2" x14ac:dyDescent="0.25">
      <c r="A8604" s="3" t="str">
        <f>HYPERLINK("http://mystore1.ru/price_items/search?utf8=%E2%9C%93&amp;oem=8016AGNGN","8016AGNGN")</f>
        <v>8016AGNGN</v>
      </c>
      <c r="B8604" s="1" t="s">
        <v>16362</v>
      </c>
      <c r="C8604" s="9" t="s">
        <v>1625</v>
      </c>
      <c r="D8604" s="14" t="s">
        <v>16363</v>
      </c>
      <c r="E8604" s="9" t="s">
        <v>8</v>
      </c>
    </row>
    <row r="8605" spans="1:5" ht="15" customHeight="1" outlineLevel="2" x14ac:dyDescent="0.25">
      <c r="A8605" s="3" t="str">
        <f>HYPERLINK("http://mystore1.ru/price_items/search?utf8=%E2%9C%93&amp;oem=8016ASMH","8016ASMH")</f>
        <v>8016ASMH</v>
      </c>
      <c r="B8605" s="1" t="s">
        <v>16364</v>
      </c>
      <c r="C8605" s="9" t="s">
        <v>25</v>
      </c>
      <c r="D8605" s="14" t="s">
        <v>16365</v>
      </c>
      <c r="E8605" s="9" t="s">
        <v>27</v>
      </c>
    </row>
    <row r="8606" spans="1:5" ht="15" customHeight="1" outlineLevel="2" x14ac:dyDescent="0.25">
      <c r="A8606" s="3" t="str">
        <f>HYPERLINK("http://mystore1.ru/price_items/search?utf8=%E2%9C%93&amp;oem=8016BBLS","8016BBLS")</f>
        <v>8016BBLS</v>
      </c>
      <c r="B8606" s="1" t="s">
        <v>16366</v>
      </c>
      <c r="C8606" s="9" t="s">
        <v>1625</v>
      </c>
      <c r="D8606" s="14" t="s">
        <v>16367</v>
      </c>
      <c r="E8606" s="9" t="s">
        <v>30</v>
      </c>
    </row>
    <row r="8607" spans="1:5" ht="15" customHeight="1" outlineLevel="2" x14ac:dyDescent="0.25">
      <c r="A8607" s="3" t="str">
        <f>HYPERLINK("http://mystore1.ru/price_items/search?utf8=%E2%9C%93&amp;oem=8016BGNS","8016BGNS")</f>
        <v>8016BGNS</v>
      </c>
      <c r="B8607" s="1" t="s">
        <v>16368</v>
      </c>
      <c r="C8607" s="9" t="s">
        <v>1625</v>
      </c>
      <c r="D8607" s="14" t="s">
        <v>16369</v>
      </c>
      <c r="E8607" s="9" t="s">
        <v>30</v>
      </c>
    </row>
    <row r="8608" spans="1:5" ht="15" customHeight="1" outlineLevel="2" x14ac:dyDescent="0.25">
      <c r="A8608" s="3" t="str">
        <f>HYPERLINK("http://mystore1.ru/price_items/search?utf8=%E2%9C%93&amp;oem=8016LBLS4FD","8016LBLS4FD")</f>
        <v>8016LBLS4FD</v>
      </c>
      <c r="B8608" s="1" t="s">
        <v>16370</v>
      </c>
      <c r="C8608" s="9" t="s">
        <v>1625</v>
      </c>
      <c r="D8608" s="14" t="s">
        <v>16371</v>
      </c>
      <c r="E8608" s="9" t="s">
        <v>11</v>
      </c>
    </row>
    <row r="8609" spans="1:5" ht="15" customHeight="1" outlineLevel="2" x14ac:dyDescent="0.25">
      <c r="A8609" s="3" t="str">
        <f>HYPERLINK("http://mystore1.ru/price_items/search?utf8=%E2%9C%93&amp;oem=8016LGNS4FD","8016LGNS4FD")</f>
        <v>8016LGNS4FD</v>
      </c>
      <c r="B8609" s="1" t="s">
        <v>16372</v>
      </c>
      <c r="C8609" s="9" t="s">
        <v>1625</v>
      </c>
      <c r="D8609" s="14" t="s">
        <v>16373</v>
      </c>
      <c r="E8609" s="9" t="s">
        <v>11</v>
      </c>
    </row>
    <row r="8610" spans="1:5" ht="15" customHeight="1" outlineLevel="2" x14ac:dyDescent="0.25">
      <c r="A8610" s="3" t="str">
        <f>HYPERLINK("http://mystore1.ru/price_items/search?utf8=%E2%9C%93&amp;oem=8016LGNS4RD","8016LGNS4RD")</f>
        <v>8016LGNS4RD</v>
      </c>
      <c r="B8610" s="1" t="s">
        <v>16374</v>
      </c>
      <c r="C8610" s="9" t="s">
        <v>1625</v>
      </c>
      <c r="D8610" s="14" t="s">
        <v>16375</v>
      </c>
      <c r="E8610" s="9" t="s">
        <v>11</v>
      </c>
    </row>
    <row r="8611" spans="1:5" ht="15" customHeight="1" outlineLevel="2" x14ac:dyDescent="0.25">
      <c r="A8611" s="3" t="str">
        <f>HYPERLINK("http://mystore1.ru/price_items/search?utf8=%E2%9C%93&amp;oem=8016RBLS4FD","8016RBLS4FD")</f>
        <v>8016RBLS4FD</v>
      </c>
      <c r="B8611" s="1" t="s">
        <v>16376</v>
      </c>
      <c r="C8611" s="9" t="s">
        <v>1625</v>
      </c>
      <c r="D8611" s="14" t="s">
        <v>16377</v>
      </c>
      <c r="E8611" s="9" t="s">
        <v>11</v>
      </c>
    </row>
    <row r="8612" spans="1:5" ht="15" customHeight="1" outlineLevel="2" x14ac:dyDescent="0.25">
      <c r="A8612" s="3" t="str">
        <f>HYPERLINK("http://mystore1.ru/price_items/search?utf8=%E2%9C%93&amp;oem=8016RBLS4RD","8016RBLS4RD")</f>
        <v>8016RBLS4RD</v>
      </c>
      <c r="B8612" s="1" t="s">
        <v>16378</v>
      </c>
      <c r="C8612" s="9" t="s">
        <v>1625</v>
      </c>
      <c r="D8612" s="14" t="s">
        <v>16379</v>
      </c>
      <c r="E8612" s="9" t="s">
        <v>11</v>
      </c>
    </row>
    <row r="8613" spans="1:5" ht="15" customHeight="1" outlineLevel="2" x14ac:dyDescent="0.25">
      <c r="A8613" s="3" t="str">
        <f>HYPERLINK("http://mystore1.ru/price_items/search?utf8=%E2%9C%93&amp;oem=8016RGNS4FD","8016RGNS4FD")</f>
        <v>8016RGNS4FD</v>
      </c>
      <c r="B8613" s="1" t="s">
        <v>16380</v>
      </c>
      <c r="C8613" s="9" t="s">
        <v>1625</v>
      </c>
      <c r="D8613" s="14" t="s">
        <v>16381</v>
      </c>
      <c r="E8613" s="9" t="s">
        <v>11</v>
      </c>
    </row>
    <row r="8614" spans="1:5" ht="15" customHeight="1" outlineLevel="2" x14ac:dyDescent="0.25">
      <c r="A8614" s="3" t="str">
        <f>HYPERLINK("http://mystore1.ru/price_items/search?utf8=%E2%9C%93&amp;oem=8016RGNS4RD","8016RGNS4RD")</f>
        <v>8016RGNS4RD</v>
      </c>
      <c r="B8614" s="1" t="s">
        <v>16382</v>
      </c>
      <c r="C8614" s="9" t="s">
        <v>1625</v>
      </c>
      <c r="D8614" s="14" t="s">
        <v>16383</v>
      </c>
      <c r="E8614" s="9" t="s">
        <v>11</v>
      </c>
    </row>
    <row r="8615" spans="1:5" outlineLevel="1" x14ac:dyDescent="0.25">
      <c r="A8615" s="2"/>
      <c r="B8615" s="6" t="s">
        <v>16384</v>
      </c>
      <c r="C8615" s="8"/>
      <c r="D8615" s="8"/>
      <c r="E8615" s="8"/>
    </row>
    <row r="8616" spans="1:5" ht="15" customHeight="1" outlineLevel="2" x14ac:dyDescent="0.25">
      <c r="A8616" s="3" t="str">
        <f>HYPERLINK("http://mystore1.ru/price_items/search?utf8=%E2%9C%93&amp;oem=8027AGN","8027AGN")</f>
        <v>8027AGN</v>
      </c>
      <c r="B8616" s="1" t="s">
        <v>16385</v>
      </c>
      <c r="C8616" s="9" t="s">
        <v>4714</v>
      </c>
      <c r="D8616" s="14" t="s">
        <v>16386</v>
      </c>
      <c r="E8616" s="9" t="s">
        <v>8</v>
      </c>
    </row>
    <row r="8617" spans="1:5" ht="15" customHeight="1" outlineLevel="2" x14ac:dyDescent="0.25">
      <c r="A8617" s="3" t="str">
        <f>HYPERLINK("http://mystore1.ru/price_items/search?utf8=%E2%9C%93&amp;oem=8027ASMH","8027ASMH")</f>
        <v>8027ASMH</v>
      </c>
      <c r="B8617" s="1" t="s">
        <v>16387</v>
      </c>
      <c r="C8617" s="9" t="s">
        <v>25</v>
      </c>
      <c r="D8617" s="14" t="s">
        <v>16388</v>
      </c>
      <c r="E8617" s="9" t="s">
        <v>27</v>
      </c>
    </row>
    <row r="8618" spans="1:5" ht="15" customHeight="1" outlineLevel="2" x14ac:dyDescent="0.25">
      <c r="A8618" s="3" t="str">
        <f>HYPERLINK("http://mystore1.ru/price_items/search?utf8=%E2%9C%93&amp;oem=8027LGNH5FD","8027LGNH5FD")</f>
        <v>8027LGNH5FD</v>
      </c>
      <c r="B8618" s="1" t="s">
        <v>16389</v>
      </c>
      <c r="C8618" s="9" t="s">
        <v>4714</v>
      </c>
      <c r="D8618" s="14" t="s">
        <v>16390</v>
      </c>
      <c r="E8618" s="9" t="s">
        <v>11</v>
      </c>
    </row>
    <row r="8619" spans="1:5" ht="15" customHeight="1" outlineLevel="2" x14ac:dyDescent="0.25">
      <c r="A8619" s="3" t="str">
        <f>HYPERLINK("http://mystore1.ru/price_items/search?utf8=%E2%9C%93&amp;oem=8027RGNH5FD","8027RGNH5FD")</f>
        <v>8027RGNH5FD</v>
      </c>
      <c r="B8619" s="1" t="s">
        <v>16391</v>
      </c>
      <c r="C8619" s="9" t="s">
        <v>4714</v>
      </c>
      <c r="D8619" s="14" t="s">
        <v>16392</v>
      </c>
      <c r="E8619" s="9" t="s">
        <v>11</v>
      </c>
    </row>
    <row r="8620" spans="1:5" outlineLevel="1" x14ac:dyDescent="0.25">
      <c r="A8620" s="2"/>
      <c r="B8620" s="6" t="s">
        <v>16393</v>
      </c>
      <c r="C8620" s="8"/>
      <c r="D8620" s="8"/>
      <c r="E8620" s="8"/>
    </row>
    <row r="8621" spans="1:5" ht="15" customHeight="1" outlineLevel="2" x14ac:dyDescent="0.25">
      <c r="A8621" s="3" t="str">
        <f>HYPERLINK("http://mystore1.ru/price_items/search?utf8=%E2%9C%93&amp;oem=8030AGN","8030AGN")</f>
        <v>8030AGN</v>
      </c>
      <c r="B8621" s="1" t="s">
        <v>16394</v>
      </c>
      <c r="C8621" s="9" t="s">
        <v>1362</v>
      </c>
      <c r="D8621" s="14" t="s">
        <v>16395</v>
      </c>
      <c r="E8621" s="9" t="s">
        <v>8</v>
      </c>
    </row>
    <row r="8622" spans="1:5" ht="15" customHeight="1" outlineLevel="2" x14ac:dyDescent="0.25">
      <c r="A8622" s="3" t="str">
        <f>HYPERLINK("http://mystore1.ru/price_items/search?utf8=%E2%9C%93&amp;oem=8030ASMH","8030ASMH")</f>
        <v>8030ASMH</v>
      </c>
      <c r="B8622" s="1" t="s">
        <v>16396</v>
      </c>
      <c r="C8622" s="9" t="s">
        <v>1408</v>
      </c>
      <c r="D8622" s="14" t="s">
        <v>16397</v>
      </c>
      <c r="E8622" s="9" t="s">
        <v>27</v>
      </c>
    </row>
    <row r="8623" spans="1:5" ht="15" customHeight="1" outlineLevel="2" x14ac:dyDescent="0.25">
      <c r="A8623" s="3" t="str">
        <f>HYPERLINK("http://mystore1.ru/price_items/search?utf8=%E2%9C%93&amp;oem=8030LGNH5FD","8030LGNH5FD")</f>
        <v>8030LGNH5FD</v>
      </c>
      <c r="B8623" s="1" t="s">
        <v>16398</v>
      </c>
      <c r="C8623" s="9" t="s">
        <v>1362</v>
      </c>
      <c r="D8623" s="14" t="s">
        <v>16399</v>
      </c>
      <c r="E8623" s="9" t="s">
        <v>11</v>
      </c>
    </row>
    <row r="8624" spans="1:5" ht="15" customHeight="1" outlineLevel="2" x14ac:dyDescent="0.25">
      <c r="A8624" s="3" t="str">
        <f>HYPERLINK("http://mystore1.ru/price_items/search?utf8=%E2%9C%93&amp;oem=8030RGNH5FD","8030RGNH5FD")</f>
        <v>8030RGNH5FD</v>
      </c>
      <c r="B8624" s="1" t="s">
        <v>16400</v>
      </c>
      <c r="C8624" s="9" t="s">
        <v>1362</v>
      </c>
      <c r="D8624" s="14" t="s">
        <v>16401</v>
      </c>
      <c r="E8624" s="9" t="s">
        <v>11</v>
      </c>
    </row>
    <row r="8625" spans="1:5" ht="15" customHeight="1" outlineLevel="2" x14ac:dyDescent="0.25">
      <c r="A8625" s="3" t="str">
        <f>HYPERLINK("http://mystore1.ru/price_items/search?utf8=%E2%9C%93&amp;oem=8030LGNH5RD","8030LGNH5RD")</f>
        <v>8030LGNH5RD</v>
      </c>
      <c r="B8625" s="1" t="s">
        <v>16402</v>
      </c>
      <c r="C8625" s="9" t="s">
        <v>1362</v>
      </c>
      <c r="D8625" s="14" t="s">
        <v>16403</v>
      </c>
      <c r="E8625" s="9" t="s">
        <v>11</v>
      </c>
    </row>
    <row r="8626" spans="1:5" outlineLevel="1" x14ac:dyDescent="0.25">
      <c r="A8626" s="2"/>
      <c r="B8626" s="6" t="s">
        <v>16404</v>
      </c>
      <c r="C8626" s="8"/>
      <c r="D8626" s="8"/>
      <c r="E8626" s="8"/>
    </row>
    <row r="8627" spans="1:5" ht="15" customHeight="1" outlineLevel="2" x14ac:dyDescent="0.25">
      <c r="A8627" s="3" t="str">
        <f>HYPERLINK("http://mystore1.ru/price_items/search?utf8=%E2%9C%93&amp;oem=8022ALG","8022ALG")</f>
        <v>8022ALG</v>
      </c>
      <c r="B8627" s="1" t="s">
        <v>16405</v>
      </c>
      <c r="C8627" s="9" t="s">
        <v>3126</v>
      </c>
      <c r="D8627" s="14" t="s">
        <v>16406</v>
      </c>
      <c r="E8627" s="9" t="s">
        <v>8</v>
      </c>
    </row>
    <row r="8628" spans="1:5" ht="15" customHeight="1" outlineLevel="2" x14ac:dyDescent="0.25">
      <c r="A8628" s="3" t="str">
        <f>HYPERLINK("http://mystore1.ru/price_items/search?utf8=%E2%9C%93&amp;oem=8022ASMR","8022ASMR")</f>
        <v>8022ASMR</v>
      </c>
      <c r="B8628" s="1" t="s">
        <v>16407</v>
      </c>
      <c r="C8628" s="9" t="s">
        <v>3126</v>
      </c>
      <c r="D8628" s="14" t="s">
        <v>16408</v>
      </c>
      <c r="E8628" s="9" t="s">
        <v>27</v>
      </c>
    </row>
    <row r="8629" spans="1:5" ht="15" customHeight="1" outlineLevel="2" x14ac:dyDescent="0.25">
      <c r="A8629" s="3" t="str">
        <f>HYPERLINK("http://mystore1.ru/price_items/search?utf8=%E2%9C%93&amp;oem=8022BLGR","8022BLGR")</f>
        <v>8022BLGR</v>
      </c>
      <c r="B8629" s="1" t="s">
        <v>16409</v>
      </c>
      <c r="C8629" s="9" t="s">
        <v>3126</v>
      </c>
      <c r="D8629" s="14" t="s">
        <v>16410</v>
      </c>
      <c r="E8629" s="9" t="s">
        <v>30</v>
      </c>
    </row>
    <row r="8630" spans="1:5" ht="15" customHeight="1" outlineLevel="2" x14ac:dyDescent="0.25">
      <c r="A8630" s="3" t="str">
        <f>HYPERLINK("http://mystore1.ru/price_items/search?utf8=%E2%9C%93&amp;oem=8022LLGR3FD","8022LLGR3FD")</f>
        <v>8022LLGR3FD</v>
      </c>
      <c r="B8630" s="1" t="s">
        <v>16411</v>
      </c>
      <c r="C8630" s="9" t="s">
        <v>3126</v>
      </c>
      <c r="D8630" s="14" t="s">
        <v>16412</v>
      </c>
      <c r="E8630" s="9" t="s">
        <v>11</v>
      </c>
    </row>
    <row r="8631" spans="1:5" ht="15" customHeight="1" outlineLevel="2" x14ac:dyDescent="0.25">
      <c r="A8631" s="3" t="str">
        <f>HYPERLINK("http://mystore1.ru/price_items/search?utf8=%E2%9C%93&amp;oem=8022RLGR3FD","8022RLGR3FD")</f>
        <v>8022RLGR3FD</v>
      </c>
      <c r="B8631" s="1" t="s">
        <v>16413</v>
      </c>
      <c r="C8631" s="9" t="s">
        <v>3126</v>
      </c>
      <c r="D8631" s="14" t="s">
        <v>16414</v>
      </c>
      <c r="E8631" s="9" t="s">
        <v>11</v>
      </c>
    </row>
    <row r="8632" spans="1:5" outlineLevel="1" x14ac:dyDescent="0.25">
      <c r="A8632" s="2"/>
      <c r="B8632" s="6" t="s">
        <v>16415</v>
      </c>
      <c r="C8632" s="8"/>
      <c r="D8632" s="8"/>
      <c r="E8632" s="8"/>
    </row>
    <row r="8633" spans="1:5" ht="15" customHeight="1" outlineLevel="2" x14ac:dyDescent="0.25">
      <c r="A8633" s="3" t="str">
        <f>HYPERLINK("http://mystore1.ru/price_items/search?utf8=%E2%9C%93&amp;oem=8028AGN","8028AGN")</f>
        <v>8028AGN</v>
      </c>
      <c r="B8633" s="1" t="s">
        <v>16416</v>
      </c>
      <c r="C8633" s="9" t="s">
        <v>959</v>
      </c>
      <c r="D8633" s="14" t="s">
        <v>16417</v>
      </c>
      <c r="E8633" s="9" t="s">
        <v>8</v>
      </c>
    </row>
    <row r="8634" spans="1:5" ht="15" customHeight="1" outlineLevel="2" x14ac:dyDescent="0.25">
      <c r="A8634" s="3" t="str">
        <f>HYPERLINK("http://mystore1.ru/price_items/search?utf8=%E2%9C%93&amp;oem=8028AGN1B","8028AGN1B")</f>
        <v>8028AGN1B</v>
      </c>
      <c r="B8634" s="1" t="s">
        <v>16418</v>
      </c>
      <c r="C8634" s="9" t="s">
        <v>959</v>
      </c>
      <c r="D8634" s="14" t="s">
        <v>16419</v>
      </c>
      <c r="E8634" s="9" t="s">
        <v>8</v>
      </c>
    </row>
    <row r="8635" spans="1:5" ht="15" customHeight="1" outlineLevel="2" x14ac:dyDescent="0.25">
      <c r="A8635" s="3" t="str">
        <f>HYPERLINK("http://mystore1.ru/price_items/search?utf8=%E2%9C%93&amp;oem=8028AGN1C","8028AGN1C")</f>
        <v>8028AGN1C</v>
      </c>
      <c r="B8635" s="1" t="s">
        <v>16420</v>
      </c>
      <c r="C8635" s="9" t="s">
        <v>687</v>
      </c>
      <c r="D8635" s="14" t="s">
        <v>16421</v>
      </c>
      <c r="E8635" s="9" t="s">
        <v>8</v>
      </c>
    </row>
    <row r="8636" spans="1:5" ht="15" customHeight="1" outlineLevel="2" x14ac:dyDescent="0.25">
      <c r="A8636" s="3" t="str">
        <f>HYPERLINK("http://mystore1.ru/price_items/search?utf8=%E2%9C%93&amp;oem=8028AGNBL","8028AGNBL")</f>
        <v>8028AGNBL</v>
      </c>
      <c r="B8636" s="1" t="s">
        <v>16422</v>
      </c>
      <c r="C8636" s="9" t="s">
        <v>959</v>
      </c>
      <c r="D8636" s="14" t="s">
        <v>16423</v>
      </c>
      <c r="E8636" s="9" t="s">
        <v>8</v>
      </c>
    </row>
    <row r="8637" spans="1:5" ht="15" customHeight="1" outlineLevel="2" x14ac:dyDescent="0.25">
      <c r="A8637" s="3" t="str">
        <f>HYPERLINK("http://mystore1.ru/price_items/search?utf8=%E2%9C%93&amp;oem=8028AGNBL1B","8028AGNBL1B")</f>
        <v>8028AGNBL1B</v>
      </c>
      <c r="B8637" s="1" t="s">
        <v>16424</v>
      </c>
      <c r="C8637" s="9" t="s">
        <v>959</v>
      </c>
      <c r="D8637" s="14" t="s">
        <v>16423</v>
      </c>
      <c r="E8637" s="9" t="s">
        <v>8</v>
      </c>
    </row>
    <row r="8638" spans="1:5" ht="15" customHeight="1" outlineLevel="2" x14ac:dyDescent="0.25">
      <c r="A8638" s="3" t="str">
        <f>HYPERLINK("http://mystore1.ru/price_items/search?utf8=%E2%9C%93&amp;oem=8028ASMV","8028ASMV")</f>
        <v>8028ASMV</v>
      </c>
      <c r="B8638" s="1" t="s">
        <v>16425</v>
      </c>
      <c r="C8638" s="9" t="s">
        <v>25</v>
      </c>
      <c r="D8638" s="14" t="s">
        <v>16426</v>
      </c>
      <c r="E8638" s="9" t="s">
        <v>27</v>
      </c>
    </row>
    <row r="8639" spans="1:5" ht="15" customHeight="1" outlineLevel="2" x14ac:dyDescent="0.25">
      <c r="A8639" s="3" t="str">
        <f>HYPERLINK("http://mystore1.ru/price_items/search?utf8=%E2%9C%93&amp;oem=8028BGNV","8028BGNV")</f>
        <v>8028BGNV</v>
      </c>
      <c r="B8639" s="1" t="s">
        <v>16427</v>
      </c>
      <c r="C8639" s="9" t="s">
        <v>959</v>
      </c>
      <c r="D8639" s="14" t="s">
        <v>16428</v>
      </c>
      <c r="E8639" s="9" t="s">
        <v>30</v>
      </c>
    </row>
    <row r="8640" spans="1:5" ht="15" customHeight="1" outlineLevel="2" x14ac:dyDescent="0.25">
      <c r="A8640" s="3" t="str">
        <f>HYPERLINK("http://mystore1.ru/price_items/search?utf8=%E2%9C%93&amp;oem=8028LGNS4RDW","8028LGNS4RDW")</f>
        <v>8028LGNS4RDW</v>
      </c>
      <c r="B8640" s="1" t="s">
        <v>16429</v>
      </c>
      <c r="C8640" s="9" t="s">
        <v>959</v>
      </c>
      <c r="D8640" s="14" t="s">
        <v>16430</v>
      </c>
      <c r="E8640" s="9" t="s">
        <v>11</v>
      </c>
    </row>
    <row r="8641" spans="1:5" ht="15" customHeight="1" outlineLevel="2" x14ac:dyDescent="0.25">
      <c r="A8641" s="3" t="str">
        <f>HYPERLINK("http://mystore1.ru/price_items/search?utf8=%E2%9C%93&amp;oem=8028LGNV5FDW","8028LGNV5FDW")</f>
        <v>8028LGNV5FDW</v>
      </c>
      <c r="B8641" s="1" t="s">
        <v>16431</v>
      </c>
      <c r="C8641" s="9" t="s">
        <v>959</v>
      </c>
      <c r="D8641" s="14" t="s">
        <v>16432</v>
      </c>
      <c r="E8641" s="9" t="s">
        <v>11</v>
      </c>
    </row>
    <row r="8642" spans="1:5" ht="15" customHeight="1" outlineLevel="2" x14ac:dyDescent="0.25">
      <c r="A8642" s="3" t="str">
        <f>HYPERLINK("http://mystore1.ru/price_items/search?utf8=%E2%9C%93&amp;oem=8028LGNV5RDW","8028LGNV5RDW")</f>
        <v>8028LGNV5RDW</v>
      </c>
      <c r="B8642" s="1" t="s">
        <v>16433</v>
      </c>
      <c r="C8642" s="9" t="s">
        <v>959</v>
      </c>
      <c r="D8642" s="14" t="s">
        <v>16434</v>
      </c>
      <c r="E8642" s="9" t="s">
        <v>11</v>
      </c>
    </row>
    <row r="8643" spans="1:5" ht="15" customHeight="1" outlineLevel="2" x14ac:dyDescent="0.25">
      <c r="A8643" s="3" t="str">
        <f>HYPERLINK("http://mystore1.ru/price_items/search?utf8=%E2%9C%93&amp;oem=8028RGNS4RDW","8028RGNS4RDW")</f>
        <v>8028RGNS4RDW</v>
      </c>
      <c r="B8643" s="1" t="s">
        <v>16435</v>
      </c>
      <c r="C8643" s="9" t="s">
        <v>959</v>
      </c>
      <c r="D8643" s="14" t="s">
        <v>16436</v>
      </c>
      <c r="E8643" s="9" t="s">
        <v>11</v>
      </c>
    </row>
    <row r="8644" spans="1:5" ht="15" customHeight="1" outlineLevel="2" x14ac:dyDescent="0.25">
      <c r="A8644" s="3" t="str">
        <f>HYPERLINK("http://mystore1.ru/price_items/search?utf8=%E2%9C%93&amp;oem=8028RGNV5FDW","8028RGNV5FDW")</f>
        <v>8028RGNV5FDW</v>
      </c>
      <c r="B8644" s="1" t="s">
        <v>16437</v>
      </c>
      <c r="C8644" s="9" t="s">
        <v>959</v>
      </c>
      <c r="D8644" s="14" t="s">
        <v>16438</v>
      </c>
      <c r="E8644" s="9" t="s">
        <v>11</v>
      </c>
    </row>
    <row r="8645" spans="1:5" ht="15" customHeight="1" outlineLevel="2" x14ac:dyDescent="0.25">
      <c r="A8645" s="3" t="str">
        <f>HYPERLINK("http://mystore1.ru/price_items/search?utf8=%E2%9C%93&amp;oem=8028RGNV5RDW","8028RGNV5RDW")</f>
        <v>8028RGNV5RDW</v>
      </c>
      <c r="B8645" s="1" t="s">
        <v>16439</v>
      </c>
      <c r="C8645" s="9" t="s">
        <v>959</v>
      </c>
      <c r="D8645" s="14" t="s">
        <v>16440</v>
      </c>
      <c r="E8645" s="9" t="s">
        <v>11</v>
      </c>
    </row>
    <row r="8646" spans="1:5" outlineLevel="1" x14ac:dyDescent="0.25">
      <c r="A8646" s="2"/>
      <c r="B8646" s="6" t="s">
        <v>16441</v>
      </c>
      <c r="C8646" s="8"/>
      <c r="D8646" s="8"/>
      <c r="E8646" s="8"/>
    </row>
    <row r="8647" spans="1:5" ht="15" customHeight="1" outlineLevel="2" x14ac:dyDescent="0.25">
      <c r="A8647" s="3" t="str">
        <f>HYPERLINK("http://mystore1.ru/price_items/search?utf8=%E2%9C%93&amp;oem=8005ACL","8005ACL")</f>
        <v>8005ACL</v>
      </c>
      <c r="B8647" s="1" t="s">
        <v>16442</v>
      </c>
      <c r="C8647" s="9" t="s">
        <v>16443</v>
      </c>
      <c r="D8647" s="14" t="s">
        <v>16444</v>
      </c>
      <c r="E8647" s="9" t="s">
        <v>8</v>
      </c>
    </row>
    <row r="8648" spans="1:5" ht="15" customHeight="1" outlineLevel="2" x14ac:dyDescent="0.25">
      <c r="A8648" s="3" t="str">
        <f>HYPERLINK("http://mystore1.ru/price_items/search?utf8=%E2%9C%93&amp;oem=8005AGN","8005AGN")</f>
        <v>8005AGN</v>
      </c>
      <c r="B8648" s="1" t="s">
        <v>16445</v>
      </c>
      <c r="C8648" s="9" t="s">
        <v>16443</v>
      </c>
      <c r="D8648" s="14" t="s">
        <v>16446</v>
      </c>
      <c r="E8648" s="9" t="s">
        <v>8</v>
      </c>
    </row>
    <row r="8649" spans="1:5" ht="15" customHeight="1" outlineLevel="2" x14ac:dyDescent="0.25">
      <c r="A8649" s="3" t="str">
        <f>HYPERLINK("http://mystore1.ru/price_items/search?utf8=%E2%9C%93&amp;oem=8005ASRR","8005ASRR")</f>
        <v>8005ASRR</v>
      </c>
      <c r="B8649" s="1" t="s">
        <v>16447</v>
      </c>
      <c r="C8649" s="9" t="s">
        <v>25</v>
      </c>
      <c r="D8649" s="14" t="s">
        <v>16448</v>
      </c>
      <c r="E8649" s="9" t="s">
        <v>27</v>
      </c>
    </row>
    <row r="8650" spans="1:5" ht="15" customHeight="1" outlineLevel="2" x14ac:dyDescent="0.25">
      <c r="A8650" s="3" t="str">
        <f>HYPERLINK("http://mystore1.ru/price_items/search?utf8=%E2%9C%93&amp;oem=8005LCLR3FD","8005LCLR3FD")</f>
        <v>8005LCLR3FD</v>
      </c>
      <c r="B8650" s="1" t="s">
        <v>16449</v>
      </c>
      <c r="C8650" s="9" t="s">
        <v>16443</v>
      </c>
      <c r="D8650" s="14" t="s">
        <v>16450</v>
      </c>
      <c r="E8650" s="9" t="s">
        <v>11</v>
      </c>
    </row>
    <row r="8651" spans="1:5" ht="15" customHeight="1" outlineLevel="2" x14ac:dyDescent="0.25">
      <c r="A8651" s="3" t="str">
        <f>HYPERLINK("http://mystore1.ru/price_items/search?utf8=%E2%9C%93&amp;oem=8005RCLR3FD","8005RCLR3FD")</f>
        <v>8005RCLR3FD</v>
      </c>
      <c r="B8651" s="1" t="s">
        <v>16451</v>
      </c>
      <c r="C8651" s="9" t="s">
        <v>16443</v>
      </c>
      <c r="D8651" s="14" t="s">
        <v>16452</v>
      </c>
      <c r="E8651" s="9" t="s">
        <v>11</v>
      </c>
    </row>
    <row r="8652" spans="1:5" outlineLevel="1" x14ac:dyDescent="0.25">
      <c r="A8652" s="2"/>
      <c r="B8652" s="6" t="s">
        <v>16453</v>
      </c>
      <c r="C8652" s="8"/>
      <c r="D8652" s="8"/>
      <c r="E8652" s="8"/>
    </row>
    <row r="8653" spans="1:5" ht="15" customHeight="1" outlineLevel="2" x14ac:dyDescent="0.25">
      <c r="A8653" s="3" t="str">
        <f>HYPERLINK("http://mystore1.ru/price_items/search?utf8=%E2%9C%93&amp;oem=8034BGDHW","8034BGDHW")</f>
        <v>8034BGDHW</v>
      </c>
      <c r="B8653" s="1" t="s">
        <v>16454</v>
      </c>
      <c r="C8653" s="9" t="s">
        <v>642</v>
      </c>
      <c r="D8653" s="14" t="s">
        <v>16455</v>
      </c>
      <c r="E8653" s="9" t="s">
        <v>30</v>
      </c>
    </row>
    <row r="8654" spans="1:5" ht="15" customHeight="1" outlineLevel="2" x14ac:dyDescent="0.25">
      <c r="A8654" s="3" t="str">
        <f>HYPERLINK("http://mystore1.ru/price_items/search?utf8=%E2%9C%93&amp;oem=8034BGNHW","8034BGNHW")</f>
        <v>8034BGNHW</v>
      </c>
      <c r="B8654" s="1" t="s">
        <v>16456</v>
      </c>
      <c r="C8654" s="9" t="s">
        <v>642</v>
      </c>
      <c r="D8654" s="14" t="s">
        <v>16457</v>
      </c>
      <c r="E8654" s="9" t="s">
        <v>30</v>
      </c>
    </row>
    <row r="8655" spans="1:5" outlineLevel="1" x14ac:dyDescent="0.25">
      <c r="A8655" s="2"/>
      <c r="B8655" s="6" t="s">
        <v>16458</v>
      </c>
      <c r="C8655" s="8"/>
      <c r="D8655" s="8"/>
      <c r="E8655" s="8"/>
    </row>
    <row r="8656" spans="1:5" ht="15" customHeight="1" outlineLevel="2" x14ac:dyDescent="0.25">
      <c r="A8656" s="3" t="str">
        <f>HYPERLINK("http://mystore1.ru/price_items/search?utf8=%E2%9C%93&amp;oem=8007ABL","8007ABL")</f>
        <v>8007ABL</v>
      </c>
      <c r="B8656" s="1" t="s">
        <v>16459</v>
      </c>
      <c r="C8656" s="9" t="s">
        <v>791</v>
      </c>
      <c r="D8656" s="14" t="s">
        <v>16460</v>
      </c>
      <c r="E8656" s="9" t="s">
        <v>8</v>
      </c>
    </row>
    <row r="8657" spans="1:5" ht="15" customHeight="1" outlineLevel="2" x14ac:dyDescent="0.25">
      <c r="A8657" s="3" t="str">
        <f>HYPERLINK("http://mystore1.ru/price_items/search?utf8=%E2%9C%93&amp;oem=8007ACL","8007ACL")</f>
        <v>8007ACL</v>
      </c>
      <c r="B8657" s="1" t="s">
        <v>16461</v>
      </c>
      <c r="C8657" s="9" t="s">
        <v>791</v>
      </c>
      <c r="D8657" s="14" t="s">
        <v>16462</v>
      </c>
      <c r="E8657" s="9" t="s">
        <v>8</v>
      </c>
    </row>
    <row r="8658" spans="1:5" ht="15" customHeight="1" outlineLevel="2" x14ac:dyDescent="0.25">
      <c r="A8658" s="3" t="str">
        <f>HYPERLINK("http://mystore1.ru/price_items/search?utf8=%E2%9C%93&amp;oem=8007AKMH","8007AKMH")</f>
        <v>8007AKMH</v>
      </c>
      <c r="B8658" s="1" t="s">
        <v>16463</v>
      </c>
      <c r="C8658" s="9" t="s">
        <v>25</v>
      </c>
      <c r="D8658" s="14" t="s">
        <v>16464</v>
      </c>
      <c r="E8658" s="9" t="s">
        <v>27</v>
      </c>
    </row>
    <row r="8659" spans="1:5" outlineLevel="1" x14ac:dyDescent="0.25">
      <c r="A8659" s="2"/>
      <c r="B8659" s="6" t="s">
        <v>16465</v>
      </c>
      <c r="C8659" s="8"/>
      <c r="D8659" s="8"/>
      <c r="E8659" s="8"/>
    </row>
    <row r="8660" spans="1:5" ht="15" customHeight="1" outlineLevel="2" x14ac:dyDescent="0.25">
      <c r="A8660" s="3" t="str">
        <f>HYPERLINK("http://mystore1.ru/price_items/search?utf8=%E2%9C%93&amp;oem=8011ABL","8011ABL")</f>
        <v>8011ABL</v>
      </c>
      <c r="B8660" s="1" t="s">
        <v>16466</v>
      </c>
      <c r="C8660" s="9" t="s">
        <v>16467</v>
      </c>
      <c r="D8660" s="14" t="s">
        <v>16468</v>
      </c>
      <c r="E8660" s="9" t="s">
        <v>8</v>
      </c>
    </row>
    <row r="8661" spans="1:5" ht="15" customHeight="1" outlineLevel="2" x14ac:dyDescent="0.25">
      <c r="A8661" s="3" t="str">
        <f>HYPERLINK("http://mystore1.ru/price_items/search?utf8=%E2%9C%93&amp;oem=8011ABLBL","8011ABLBL")</f>
        <v>8011ABLBL</v>
      </c>
      <c r="B8661" s="1" t="s">
        <v>16469</v>
      </c>
      <c r="C8661" s="9" t="s">
        <v>16467</v>
      </c>
      <c r="D8661" s="14" t="s">
        <v>16470</v>
      </c>
      <c r="E8661" s="9" t="s">
        <v>8</v>
      </c>
    </row>
    <row r="8662" spans="1:5" ht="15" customHeight="1" outlineLevel="2" x14ac:dyDescent="0.25">
      <c r="A8662" s="3" t="str">
        <f>HYPERLINK("http://mystore1.ru/price_items/search?utf8=%E2%9C%93&amp;oem=8011ACL","8011ACL")</f>
        <v>8011ACL</v>
      </c>
      <c r="B8662" s="1" t="s">
        <v>16471</v>
      </c>
      <c r="C8662" s="9" t="s">
        <v>16467</v>
      </c>
      <c r="D8662" s="14" t="s">
        <v>16472</v>
      </c>
      <c r="E8662" s="9" t="s">
        <v>8</v>
      </c>
    </row>
    <row r="8663" spans="1:5" ht="15" customHeight="1" outlineLevel="2" x14ac:dyDescent="0.25">
      <c r="A8663" s="3" t="str">
        <f>HYPERLINK("http://mystore1.ru/price_items/search?utf8=%E2%9C%93&amp;oem=8011ASMH","8011ASMH")</f>
        <v>8011ASMH</v>
      </c>
      <c r="B8663" s="1" t="s">
        <v>16473</v>
      </c>
      <c r="C8663" s="9" t="s">
        <v>25</v>
      </c>
      <c r="D8663" s="14" t="s">
        <v>16474</v>
      </c>
      <c r="E8663" s="9" t="s">
        <v>27</v>
      </c>
    </row>
    <row r="8664" spans="1:5" ht="15" customHeight="1" outlineLevel="2" x14ac:dyDescent="0.25">
      <c r="A8664" s="3" t="str">
        <f>HYPERLINK("http://mystore1.ru/price_items/search?utf8=%E2%9C%93&amp;oem=8011BBLH","8011BBLH")</f>
        <v>8011BBLH</v>
      </c>
      <c r="B8664" s="1" t="s">
        <v>16475</v>
      </c>
      <c r="C8664" s="9" t="s">
        <v>16467</v>
      </c>
      <c r="D8664" s="14" t="s">
        <v>16476</v>
      </c>
      <c r="E8664" s="9" t="s">
        <v>30</v>
      </c>
    </row>
    <row r="8665" spans="1:5" ht="15" customHeight="1" outlineLevel="2" x14ac:dyDescent="0.25">
      <c r="A8665" s="3" t="str">
        <f>HYPERLINK("http://mystore1.ru/price_items/search?utf8=%E2%9C%93&amp;oem=8011BCLH","8011BCLH")</f>
        <v>8011BCLH</v>
      </c>
      <c r="B8665" s="1" t="s">
        <v>16477</v>
      </c>
      <c r="C8665" s="9" t="s">
        <v>16467</v>
      </c>
      <c r="D8665" s="14" t="s">
        <v>16478</v>
      </c>
      <c r="E8665" s="9" t="s">
        <v>30</v>
      </c>
    </row>
    <row r="8666" spans="1:5" ht="15" customHeight="1" outlineLevel="2" x14ac:dyDescent="0.25">
      <c r="A8666" s="3" t="str">
        <f>HYPERLINK("http://mystore1.ru/price_items/search?utf8=%E2%9C%93&amp;oem=8011LBLH3FD","8011LBLH3FD")</f>
        <v>8011LBLH3FD</v>
      </c>
      <c r="B8666" s="1" t="s">
        <v>16479</v>
      </c>
      <c r="C8666" s="9" t="s">
        <v>16467</v>
      </c>
      <c r="D8666" s="14" t="s">
        <v>16480</v>
      </c>
      <c r="E8666" s="9" t="s">
        <v>11</v>
      </c>
    </row>
    <row r="8667" spans="1:5" ht="15" customHeight="1" outlineLevel="2" x14ac:dyDescent="0.25">
      <c r="A8667" s="3" t="str">
        <f>HYPERLINK("http://mystore1.ru/price_items/search?utf8=%E2%9C%93&amp;oem=8011LBLH3RQO","8011LBLH3RQO")</f>
        <v>8011LBLH3RQO</v>
      </c>
      <c r="B8667" s="1" t="s">
        <v>16481</v>
      </c>
      <c r="C8667" s="9" t="s">
        <v>16467</v>
      </c>
      <c r="D8667" s="14" t="s">
        <v>16482</v>
      </c>
      <c r="E8667" s="9" t="s">
        <v>11</v>
      </c>
    </row>
    <row r="8668" spans="1:5" ht="15" customHeight="1" outlineLevel="2" x14ac:dyDescent="0.25">
      <c r="A8668" s="3" t="str">
        <f>HYPERLINK("http://mystore1.ru/price_items/search?utf8=%E2%9C%93&amp;oem=8011LCLH3FD","8011LCLH3FD")</f>
        <v>8011LCLH3FD</v>
      </c>
      <c r="B8668" s="1" t="s">
        <v>16483</v>
      </c>
      <c r="C8668" s="9" t="s">
        <v>16467</v>
      </c>
      <c r="D8668" s="14" t="s">
        <v>16484</v>
      </c>
      <c r="E8668" s="9" t="s">
        <v>11</v>
      </c>
    </row>
    <row r="8669" spans="1:5" ht="15" customHeight="1" outlineLevel="2" x14ac:dyDescent="0.25">
      <c r="A8669" s="3" t="str">
        <f>HYPERLINK("http://mystore1.ru/price_items/search?utf8=%E2%9C%93&amp;oem=8011RBLH3FD","8011RBLH3FD")</f>
        <v>8011RBLH3FD</v>
      </c>
      <c r="B8669" s="1" t="s">
        <v>16485</v>
      </c>
      <c r="C8669" s="9" t="s">
        <v>16467</v>
      </c>
      <c r="D8669" s="14" t="s">
        <v>16486</v>
      </c>
      <c r="E8669" s="9" t="s">
        <v>11</v>
      </c>
    </row>
    <row r="8670" spans="1:5" ht="15" customHeight="1" outlineLevel="2" x14ac:dyDescent="0.25">
      <c r="A8670" s="3" t="str">
        <f>HYPERLINK("http://mystore1.ru/price_items/search?utf8=%E2%9C%93&amp;oem=8011RBLH3RQO","8011RBLH3RQO")</f>
        <v>8011RBLH3RQO</v>
      </c>
      <c r="B8670" s="1" t="s">
        <v>16487</v>
      </c>
      <c r="C8670" s="9" t="s">
        <v>16467</v>
      </c>
      <c r="D8670" s="14" t="s">
        <v>16488</v>
      </c>
      <c r="E8670" s="9" t="s">
        <v>11</v>
      </c>
    </row>
    <row r="8671" spans="1:5" ht="15" customHeight="1" outlineLevel="2" x14ac:dyDescent="0.25">
      <c r="A8671" s="3" t="str">
        <f>HYPERLINK("http://mystore1.ru/price_items/search?utf8=%E2%9C%93&amp;oem=8011RCLH3FD","8011RCLH3FD")</f>
        <v>8011RCLH3FD</v>
      </c>
      <c r="B8671" s="1" t="s">
        <v>16489</v>
      </c>
      <c r="C8671" s="9" t="s">
        <v>16467</v>
      </c>
      <c r="D8671" s="14" t="s">
        <v>16490</v>
      </c>
      <c r="E8671" s="9" t="s">
        <v>11</v>
      </c>
    </row>
    <row r="8672" spans="1:5" outlineLevel="1" x14ac:dyDescent="0.25">
      <c r="A8672" s="2"/>
      <c r="B8672" s="6" t="s">
        <v>16491</v>
      </c>
      <c r="C8672" s="8"/>
      <c r="D8672" s="8"/>
      <c r="E8672" s="8"/>
    </row>
    <row r="8673" spans="1:5" ht="15" customHeight="1" outlineLevel="2" x14ac:dyDescent="0.25">
      <c r="A8673" s="3" t="str">
        <f>HYPERLINK("http://mystore1.ru/price_items/search?utf8=%E2%9C%93&amp;oem=8012ABL","8012ABL")</f>
        <v>8012ABL</v>
      </c>
      <c r="B8673" s="1" t="s">
        <v>16492</v>
      </c>
      <c r="C8673" s="9" t="s">
        <v>16493</v>
      </c>
      <c r="D8673" s="14" t="s">
        <v>16494</v>
      </c>
      <c r="E8673" s="9" t="s">
        <v>8</v>
      </c>
    </row>
    <row r="8674" spans="1:5" ht="15" customHeight="1" outlineLevel="2" x14ac:dyDescent="0.25">
      <c r="A8674" s="3" t="str">
        <f>HYPERLINK("http://mystore1.ru/price_items/search?utf8=%E2%9C%93&amp;oem=8012ACL","8012ACL")</f>
        <v>8012ACL</v>
      </c>
      <c r="B8674" s="1" t="s">
        <v>16495</v>
      </c>
      <c r="C8674" s="9" t="s">
        <v>16493</v>
      </c>
      <c r="D8674" s="14" t="s">
        <v>16496</v>
      </c>
      <c r="E8674" s="9" t="s">
        <v>8</v>
      </c>
    </row>
    <row r="8675" spans="1:5" ht="15" customHeight="1" outlineLevel="2" x14ac:dyDescent="0.25">
      <c r="A8675" s="3" t="str">
        <f>HYPERLINK("http://mystore1.ru/price_items/search?utf8=%E2%9C%93&amp;oem=8012ASMH","8012ASMH")</f>
        <v>8012ASMH</v>
      </c>
      <c r="B8675" s="1" t="s">
        <v>16497</v>
      </c>
      <c r="C8675" s="9" t="s">
        <v>25</v>
      </c>
      <c r="D8675" s="14" t="s">
        <v>16498</v>
      </c>
      <c r="E8675" s="9" t="s">
        <v>27</v>
      </c>
    </row>
    <row r="8676" spans="1:5" ht="15" customHeight="1" outlineLevel="2" x14ac:dyDescent="0.25">
      <c r="A8676" s="3" t="str">
        <f>HYPERLINK("http://mystore1.ru/price_items/search?utf8=%E2%9C%93&amp;oem=8012BBLH","8012BBLH")</f>
        <v>8012BBLH</v>
      </c>
      <c r="B8676" s="1" t="s">
        <v>16499</v>
      </c>
      <c r="C8676" s="9" t="s">
        <v>16493</v>
      </c>
      <c r="D8676" s="14" t="s">
        <v>16500</v>
      </c>
      <c r="E8676" s="9" t="s">
        <v>30</v>
      </c>
    </row>
    <row r="8677" spans="1:5" ht="15" customHeight="1" outlineLevel="2" x14ac:dyDescent="0.25">
      <c r="A8677" s="3" t="str">
        <f>HYPERLINK("http://mystore1.ru/price_items/search?utf8=%E2%9C%93&amp;oem=8012LBLH5FD","8012LBLH5FD")</f>
        <v>8012LBLH5FD</v>
      </c>
      <c r="B8677" s="1" t="s">
        <v>16501</v>
      </c>
      <c r="C8677" s="9" t="s">
        <v>16493</v>
      </c>
      <c r="D8677" s="14" t="s">
        <v>16502</v>
      </c>
      <c r="E8677" s="9" t="s">
        <v>11</v>
      </c>
    </row>
    <row r="8678" spans="1:5" ht="15" customHeight="1" outlineLevel="2" x14ac:dyDescent="0.25">
      <c r="A8678" s="3" t="str">
        <f>HYPERLINK("http://mystore1.ru/price_items/search?utf8=%E2%9C%93&amp;oem=8012LBLH5RQ","8012LBLH5RQ")</f>
        <v>8012LBLH5RQ</v>
      </c>
      <c r="B8678" s="1" t="s">
        <v>16503</v>
      </c>
      <c r="C8678" s="9" t="s">
        <v>16493</v>
      </c>
      <c r="D8678" s="14" t="s">
        <v>16504</v>
      </c>
      <c r="E8678" s="9" t="s">
        <v>11</v>
      </c>
    </row>
    <row r="8679" spans="1:5" ht="15" customHeight="1" outlineLevel="2" x14ac:dyDescent="0.25">
      <c r="A8679" s="3" t="str">
        <f>HYPERLINK("http://mystore1.ru/price_items/search?utf8=%E2%9C%93&amp;oem=8012RBLH5RQ","8012RBLH5RQ")</f>
        <v>8012RBLH5RQ</v>
      </c>
      <c r="B8679" s="1" t="s">
        <v>16505</v>
      </c>
      <c r="C8679" s="9" t="s">
        <v>16493</v>
      </c>
      <c r="D8679" s="14" t="s">
        <v>16506</v>
      </c>
      <c r="E8679" s="9" t="s">
        <v>11</v>
      </c>
    </row>
    <row r="8680" spans="1:5" ht="15" customHeight="1" outlineLevel="2" x14ac:dyDescent="0.25">
      <c r="A8680" s="3" t="str">
        <f>HYPERLINK("http://mystore1.ru/price_items/search?utf8=%E2%9C%93&amp;oem=8012RCLH5FD","8012RCLH5FD")</f>
        <v>8012RCLH5FD</v>
      </c>
      <c r="B8680" s="1" t="s">
        <v>16507</v>
      </c>
      <c r="C8680" s="9" t="s">
        <v>16493</v>
      </c>
      <c r="D8680" s="14" t="s">
        <v>16508</v>
      </c>
      <c r="E8680" s="9" t="s">
        <v>11</v>
      </c>
    </row>
    <row r="8681" spans="1:5" outlineLevel="1" x14ac:dyDescent="0.25">
      <c r="A8681" s="2"/>
      <c r="B8681" s="6" t="s">
        <v>16509</v>
      </c>
      <c r="C8681" s="8"/>
      <c r="D8681" s="8"/>
      <c r="E8681" s="8"/>
    </row>
    <row r="8682" spans="1:5" ht="15" customHeight="1" outlineLevel="2" x14ac:dyDescent="0.25">
      <c r="A8682" s="3" t="str">
        <f>HYPERLINK("http://mystore1.ru/price_items/search?utf8=%E2%9C%93&amp;oem=8031AGN","8031AGN")</f>
        <v>8031AGN</v>
      </c>
      <c r="B8682" s="1" t="s">
        <v>16510</v>
      </c>
      <c r="C8682" s="9" t="s">
        <v>1629</v>
      </c>
      <c r="D8682" s="14" t="s">
        <v>16511</v>
      </c>
      <c r="E8682" s="9" t="s">
        <v>8</v>
      </c>
    </row>
    <row r="8683" spans="1:5" ht="15" customHeight="1" outlineLevel="2" x14ac:dyDescent="0.25">
      <c r="A8683" s="3" t="str">
        <f>HYPERLINK("http://mystore1.ru/price_items/search?utf8=%E2%9C%93&amp;oem=8031BGNHW","8031BGNHW")</f>
        <v>8031BGNHW</v>
      </c>
      <c r="B8683" s="1" t="s">
        <v>16512</v>
      </c>
      <c r="C8683" s="9" t="s">
        <v>1629</v>
      </c>
      <c r="D8683" s="14" t="s">
        <v>16513</v>
      </c>
      <c r="E8683" s="9" t="s">
        <v>30</v>
      </c>
    </row>
    <row r="8684" spans="1:5" ht="15" customHeight="1" outlineLevel="2" x14ac:dyDescent="0.25">
      <c r="A8684" s="3" t="str">
        <f>HYPERLINK("http://mystore1.ru/price_items/search?utf8=%E2%9C%93&amp;oem=8031LGNH5FD","8031LGNH5FD")</f>
        <v>8031LGNH5FD</v>
      </c>
      <c r="B8684" s="1" t="s">
        <v>16514</v>
      </c>
      <c r="C8684" s="9" t="s">
        <v>1629</v>
      </c>
      <c r="D8684" s="14" t="s">
        <v>16515</v>
      </c>
      <c r="E8684" s="9" t="s">
        <v>11</v>
      </c>
    </row>
    <row r="8685" spans="1:5" ht="15" customHeight="1" outlineLevel="2" x14ac:dyDescent="0.25">
      <c r="A8685" s="3" t="str">
        <f>HYPERLINK("http://mystore1.ru/price_items/search?utf8=%E2%9C%93&amp;oem=8031LGNH5RD","8031LGNH5RD")</f>
        <v>8031LGNH5RD</v>
      </c>
      <c r="B8685" s="1" t="s">
        <v>16516</v>
      </c>
      <c r="C8685" s="9" t="s">
        <v>1629</v>
      </c>
      <c r="D8685" s="14" t="s">
        <v>16517</v>
      </c>
      <c r="E8685" s="9" t="s">
        <v>11</v>
      </c>
    </row>
    <row r="8686" spans="1:5" ht="15" customHeight="1" outlineLevel="2" x14ac:dyDescent="0.25">
      <c r="A8686" s="3" t="str">
        <f>HYPERLINK("http://mystore1.ru/price_items/search?utf8=%E2%9C%93&amp;oem=8031RGNH5FD","8031RGNH5FD")</f>
        <v>8031RGNH5FD</v>
      </c>
      <c r="B8686" s="1" t="s">
        <v>16518</v>
      </c>
      <c r="C8686" s="9" t="s">
        <v>1629</v>
      </c>
      <c r="D8686" s="14" t="s">
        <v>16519</v>
      </c>
      <c r="E8686" s="9" t="s">
        <v>11</v>
      </c>
    </row>
    <row r="8687" spans="1:5" ht="15" customHeight="1" outlineLevel="2" x14ac:dyDescent="0.25">
      <c r="A8687" s="3" t="str">
        <f>HYPERLINK("http://mystore1.ru/price_items/search?utf8=%E2%9C%93&amp;oem=8031RGNH5RD","8031RGNH5RD")</f>
        <v>8031RGNH5RD</v>
      </c>
      <c r="B8687" s="1" t="s">
        <v>16520</v>
      </c>
      <c r="C8687" s="9" t="s">
        <v>1629</v>
      </c>
      <c r="D8687" s="14" t="s">
        <v>16521</v>
      </c>
      <c r="E8687" s="9" t="s">
        <v>11</v>
      </c>
    </row>
    <row r="8688" spans="1:5" ht="15" customHeight="1" outlineLevel="2" x14ac:dyDescent="0.25">
      <c r="A8688" s="3" t="str">
        <f>HYPERLINK("http://mystore1.ru/price_items/search?utf8=%E2%9C%93&amp;oem=8031RGNH5RV","8031RGNH5RV")</f>
        <v>8031RGNH5RV</v>
      </c>
      <c r="B8688" s="1" t="s">
        <v>16522</v>
      </c>
      <c r="C8688" s="9" t="s">
        <v>1629</v>
      </c>
      <c r="D8688" s="14" t="s">
        <v>16523</v>
      </c>
      <c r="E8688" s="9" t="s">
        <v>11</v>
      </c>
    </row>
    <row r="8689" spans="1:5" outlineLevel="1" x14ac:dyDescent="0.25">
      <c r="A8689" s="2"/>
      <c r="B8689" s="6" t="s">
        <v>16524</v>
      </c>
      <c r="C8689" s="8"/>
      <c r="D8689" s="8"/>
      <c r="E8689" s="8"/>
    </row>
    <row r="8690" spans="1:5" ht="15" customHeight="1" outlineLevel="2" x14ac:dyDescent="0.25">
      <c r="A8690" s="3" t="str">
        <f>HYPERLINK("http://mystore1.ru/price_items/search?utf8=%E2%9C%93&amp;oem=8037AGSZ","8037AGSZ")</f>
        <v>8037AGSZ</v>
      </c>
      <c r="B8690" s="1" t="s">
        <v>16525</v>
      </c>
      <c r="C8690" s="9" t="s">
        <v>601</v>
      </c>
      <c r="D8690" s="14" t="s">
        <v>16526</v>
      </c>
      <c r="E8690" s="9" t="s">
        <v>8</v>
      </c>
    </row>
    <row r="8691" spans="1:5" ht="15" customHeight="1" outlineLevel="2" x14ac:dyDescent="0.25">
      <c r="A8691" s="3" t="str">
        <f>HYPERLINK("http://mystore1.ru/price_items/search?utf8=%E2%9C%93&amp;oem=8037LGNH5FDW","8037LGNH5FDW")</f>
        <v>8037LGNH5FDW</v>
      </c>
      <c r="B8691" s="1" t="s">
        <v>16527</v>
      </c>
      <c r="C8691" s="9" t="s">
        <v>601</v>
      </c>
      <c r="D8691" s="14" t="s">
        <v>16528</v>
      </c>
      <c r="E8691" s="9" t="s">
        <v>11</v>
      </c>
    </row>
    <row r="8692" spans="1:5" ht="15" customHeight="1" outlineLevel="2" x14ac:dyDescent="0.25">
      <c r="A8692" s="3" t="str">
        <f>HYPERLINK("http://mystore1.ru/price_items/search?utf8=%E2%9C%93&amp;oem=8037LGNH5RDW","8037LGNH5RDW")</f>
        <v>8037LGNH5RDW</v>
      </c>
      <c r="B8692" s="1" t="s">
        <v>16529</v>
      </c>
      <c r="C8692" s="9" t="s">
        <v>601</v>
      </c>
      <c r="D8692" s="14" t="s">
        <v>16530</v>
      </c>
      <c r="E8692" s="9" t="s">
        <v>11</v>
      </c>
    </row>
    <row r="8693" spans="1:5" ht="15" customHeight="1" outlineLevel="2" x14ac:dyDescent="0.25">
      <c r="A8693" s="3" t="str">
        <f>HYPERLINK("http://mystore1.ru/price_items/search?utf8=%E2%9C%93&amp;oem=8037LGNH5RV","8037LGNH5RV")</f>
        <v>8037LGNH5RV</v>
      </c>
      <c r="B8693" s="1" t="s">
        <v>16531</v>
      </c>
      <c r="C8693" s="9" t="s">
        <v>601</v>
      </c>
      <c r="D8693" s="14" t="s">
        <v>16532</v>
      </c>
      <c r="E8693" s="9" t="s">
        <v>11</v>
      </c>
    </row>
    <row r="8694" spans="1:5" ht="15" customHeight="1" outlineLevel="2" x14ac:dyDescent="0.25">
      <c r="A8694" s="3" t="str">
        <f>HYPERLINK("http://mystore1.ru/price_items/search?utf8=%E2%9C%93&amp;oem=8037LYPH5RDW","8037LYPH5RDW")</f>
        <v>8037LYPH5RDW</v>
      </c>
      <c r="B8694" s="1" t="s">
        <v>16533</v>
      </c>
      <c r="C8694" s="9" t="s">
        <v>601</v>
      </c>
      <c r="D8694" s="14" t="s">
        <v>16534</v>
      </c>
      <c r="E8694" s="9" t="s">
        <v>11</v>
      </c>
    </row>
    <row r="8695" spans="1:5" ht="15" customHeight="1" outlineLevel="2" x14ac:dyDescent="0.25">
      <c r="A8695" s="3" t="str">
        <f>HYPERLINK("http://mystore1.ru/price_items/search?utf8=%E2%9C%93&amp;oem=8037LYPH5RV","8037LYPH5RV")</f>
        <v>8037LYPH5RV</v>
      </c>
      <c r="B8695" s="1" t="s">
        <v>16535</v>
      </c>
      <c r="C8695" s="9" t="s">
        <v>601</v>
      </c>
      <c r="D8695" s="14" t="s">
        <v>16536</v>
      </c>
      <c r="E8695" s="9" t="s">
        <v>11</v>
      </c>
    </row>
    <row r="8696" spans="1:5" ht="15" customHeight="1" outlineLevel="2" x14ac:dyDescent="0.25">
      <c r="A8696" s="3" t="str">
        <f>HYPERLINK("http://mystore1.ru/price_items/search?utf8=%E2%9C%93&amp;oem=8037RGNH5FDW","8037RGNH5FDW")</f>
        <v>8037RGNH5FDW</v>
      </c>
      <c r="B8696" s="1" t="s">
        <v>16537</v>
      </c>
      <c r="C8696" s="9" t="s">
        <v>601</v>
      </c>
      <c r="D8696" s="14" t="s">
        <v>16538</v>
      </c>
      <c r="E8696" s="9" t="s">
        <v>11</v>
      </c>
    </row>
    <row r="8697" spans="1:5" ht="15" customHeight="1" outlineLevel="2" x14ac:dyDescent="0.25">
      <c r="A8697" s="3" t="str">
        <f>HYPERLINK("http://mystore1.ru/price_items/search?utf8=%E2%9C%93&amp;oem=8037RGNH5RDW","8037RGNH5RDW")</f>
        <v>8037RGNH5RDW</v>
      </c>
      <c r="B8697" s="1" t="s">
        <v>16539</v>
      </c>
      <c r="C8697" s="9" t="s">
        <v>601</v>
      </c>
      <c r="D8697" s="14" t="s">
        <v>16540</v>
      </c>
      <c r="E8697" s="9" t="s">
        <v>11</v>
      </c>
    </row>
    <row r="8698" spans="1:5" ht="15" customHeight="1" outlineLevel="2" x14ac:dyDescent="0.25">
      <c r="A8698" s="3" t="str">
        <f>HYPERLINK("http://mystore1.ru/price_items/search?utf8=%E2%9C%93&amp;oem=8037RGNH5RV","8037RGNH5RV")</f>
        <v>8037RGNH5RV</v>
      </c>
      <c r="B8698" s="1" t="s">
        <v>16541</v>
      </c>
      <c r="C8698" s="9" t="s">
        <v>601</v>
      </c>
      <c r="D8698" s="14" t="s">
        <v>16542</v>
      </c>
      <c r="E8698" s="9" t="s">
        <v>11</v>
      </c>
    </row>
    <row r="8699" spans="1:5" ht="15" customHeight="1" outlineLevel="2" x14ac:dyDescent="0.25">
      <c r="A8699" s="3" t="str">
        <f>HYPERLINK("http://mystore1.ru/price_items/search?utf8=%E2%9C%93&amp;oem=8037RYPH5RDW","8037RYPH5RDW")</f>
        <v>8037RYPH5RDW</v>
      </c>
      <c r="B8699" s="1" t="s">
        <v>16543</v>
      </c>
      <c r="C8699" s="9" t="s">
        <v>601</v>
      </c>
      <c r="D8699" s="14" t="s">
        <v>16544</v>
      </c>
      <c r="E8699" s="9" t="s">
        <v>11</v>
      </c>
    </row>
    <row r="8700" spans="1:5" ht="15" customHeight="1" outlineLevel="2" x14ac:dyDescent="0.25">
      <c r="A8700" s="3" t="str">
        <f>HYPERLINK("http://mystore1.ru/price_items/search?utf8=%E2%9C%93&amp;oem=8037RYPH5RV","8037RYPH5RV")</f>
        <v>8037RYPH5RV</v>
      </c>
      <c r="B8700" s="1" t="s">
        <v>16545</v>
      </c>
      <c r="C8700" s="9" t="s">
        <v>601</v>
      </c>
      <c r="D8700" s="14" t="s">
        <v>16546</v>
      </c>
      <c r="E8700" s="9" t="s">
        <v>11</v>
      </c>
    </row>
    <row r="8701" spans="1:5" outlineLevel="1" x14ac:dyDescent="0.25">
      <c r="A8701" s="2"/>
      <c r="B8701" s="6" t="s">
        <v>16547</v>
      </c>
      <c r="C8701" s="8"/>
      <c r="D8701" s="8"/>
      <c r="E8701" s="8"/>
    </row>
    <row r="8702" spans="1:5" ht="15" customHeight="1" outlineLevel="2" x14ac:dyDescent="0.25">
      <c r="A8702" s="3" t="str">
        <f>HYPERLINK("http://mystore1.ru/price_items/search?utf8=%E2%9C%93&amp;oem=8033AGS","8033AGS")</f>
        <v>8033AGS</v>
      </c>
      <c r="B8702" s="1" t="s">
        <v>16548</v>
      </c>
      <c r="C8702" s="9" t="s">
        <v>687</v>
      </c>
      <c r="D8702" s="14" t="s">
        <v>16549</v>
      </c>
      <c r="E8702" s="9" t="s">
        <v>8</v>
      </c>
    </row>
    <row r="8703" spans="1:5" ht="15" customHeight="1" outlineLevel="2" x14ac:dyDescent="0.25">
      <c r="A8703" s="3" t="str">
        <f>HYPERLINK("http://mystore1.ru/price_items/search?utf8=%E2%9C%93&amp;oem=3363ASMR","3363ASMR")</f>
        <v>3363ASMR</v>
      </c>
      <c r="B8703" s="1" t="s">
        <v>16550</v>
      </c>
      <c r="C8703" s="9" t="s">
        <v>25</v>
      </c>
      <c r="D8703" s="14" t="s">
        <v>16551</v>
      </c>
      <c r="E8703" s="9" t="s">
        <v>27</v>
      </c>
    </row>
    <row r="8704" spans="1:5" ht="15" customHeight="1" outlineLevel="2" x14ac:dyDescent="0.25">
      <c r="A8704" s="3" t="str">
        <f>HYPERLINK("http://mystore1.ru/price_items/search?utf8=%E2%9C%93&amp;oem=8033LGSR5FD","8033LGSR5FD")</f>
        <v>8033LGSR5FD</v>
      </c>
      <c r="B8704" s="1" t="s">
        <v>16552</v>
      </c>
      <c r="C8704" s="9" t="s">
        <v>687</v>
      </c>
      <c r="D8704" s="14" t="s">
        <v>16553</v>
      </c>
      <c r="E8704" s="9" t="s">
        <v>11</v>
      </c>
    </row>
    <row r="8705" spans="1:5" ht="15" customHeight="1" outlineLevel="2" x14ac:dyDescent="0.25">
      <c r="A8705" s="3" t="str">
        <f>HYPERLINK("http://mystore1.ru/price_items/search?utf8=%E2%9C%93&amp;oem=8033LGSR5FQZ","8033LGSR5FQZ")</f>
        <v>8033LGSR5FQZ</v>
      </c>
      <c r="B8705" s="1" t="s">
        <v>16554</v>
      </c>
      <c r="C8705" s="9" t="s">
        <v>687</v>
      </c>
      <c r="D8705" s="14" t="s">
        <v>16555</v>
      </c>
      <c r="E8705" s="9" t="s">
        <v>11</v>
      </c>
    </row>
    <row r="8706" spans="1:5" ht="15" customHeight="1" outlineLevel="2" x14ac:dyDescent="0.25">
      <c r="A8706" s="3" t="str">
        <f>HYPERLINK("http://mystore1.ru/price_items/search?utf8=%E2%9C%93&amp;oem=8033LGSR5RD","8033LGSR5RD")</f>
        <v>8033LGSR5RD</v>
      </c>
      <c r="B8706" s="1" t="s">
        <v>16556</v>
      </c>
      <c r="C8706" s="9" t="s">
        <v>687</v>
      </c>
      <c r="D8706" s="14" t="s">
        <v>16557</v>
      </c>
      <c r="E8706" s="9" t="s">
        <v>11</v>
      </c>
    </row>
    <row r="8707" spans="1:5" ht="15" customHeight="1" outlineLevel="2" x14ac:dyDescent="0.25">
      <c r="A8707" s="3" t="str">
        <f>HYPERLINK("http://mystore1.ru/price_items/search?utf8=%E2%9C%93&amp;oem=8033RGSR5FD","8033RGSR5FD")</f>
        <v>8033RGSR5FD</v>
      </c>
      <c r="B8707" s="1" t="s">
        <v>16558</v>
      </c>
      <c r="C8707" s="9" t="s">
        <v>687</v>
      </c>
      <c r="D8707" s="14" t="s">
        <v>16559</v>
      </c>
      <c r="E8707" s="9" t="s">
        <v>11</v>
      </c>
    </row>
    <row r="8708" spans="1:5" ht="15" customHeight="1" outlineLevel="2" x14ac:dyDescent="0.25">
      <c r="A8708" s="3" t="str">
        <f>HYPERLINK("http://mystore1.ru/price_items/search?utf8=%E2%9C%93&amp;oem=8033RGSR5FQZ","8033RGSR5FQZ")</f>
        <v>8033RGSR5FQZ</v>
      </c>
      <c r="B8708" s="1" t="s">
        <v>16560</v>
      </c>
      <c r="C8708" s="9" t="s">
        <v>687</v>
      </c>
      <c r="D8708" s="14" t="s">
        <v>16561</v>
      </c>
      <c r="E8708" s="9" t="s">
        <v>11</v>
      </c>
    </row>
    <row r="8709" spans="1:5" ht="15" customHeight="1" outlineLevel="2" x14ac:dyDescent="0.25">
      <c r="A8709" s="3" t="str">
        <f>HYPERLINK("http://mystore1.ru/price_items/search?utf8=%E2%9C%93&amp;oem=8033RGSR5RD","8033RGSR5RD")</f>
        <v>8033RGSR5RD</v>
      </c>
      <c r="B8709" s="1" t="s">
        <v>16562</v>
      </c>
      <c r="C8709" s="9" t="s">
        <v>687</v>
      </c>
      <c r="D8709" s="14" t="s">
        <v>16563</v>
      </c>
      <c r="E8709" s="9" t="s">
        <v>11</v>
      </c>
    </row>
    <row r="8710" spans="1:5" outlineLevel="1" x14ac:dyDescent="0.25">
      <c r="A8710" s="2"/>
      <c r="B8710" s="6" t="s">
        <v>16564</v>
      </c>
      <c r="C8710" s="8"/>
      <c r="D8710" s="8"/>
      <c r="E8710" s="8"/>
    </row>
    <row r="8711" spans="1:5" ht="15" customHeight="1" outlineLevel="2" x14ac:dyDescent="0.25">
      <c r="A8711" s="3" t="str">
        <f>HYPERLINK("http://mystore1.ru/price_items/search?utf8=%E2%9C%93&amp;oem=3363AGS","3363AGS")</f>
        <v>3363AGS</v>
      </c>
      <c r="B8711" s="1" t="s">
        <v>16565</v>
      </c>
      <c r="C8711" s="9" t="s">
        <v>687</v>
      </c>
      <c r="D8711" s="14" t="s">
        <v>16566</v>
      </c>
      <c r="E8711" s="9" t="s">
        <v>8</v>
      </c>
    </row>
    <row r="8712" spans="1:5" ht="15" customHeight="1" outlineLevel="2" x14ac:dyDescent="0.25">
      <c r="A8712" s="3" t="str">
        <f>HYPERLINK("http://mystore1.ru/price_items/search?utf8=%E2%9C%93&amp;oem=3363ASMR","3363ASMR")</f>
        <v>3363ASMR</v>
      </c>
      <c r="B8712" s="1" t="s">
        <v>16550</v>
      </c>
      <c r="C8712" s="9" t="s">
        <v>25</v>
      </c>
      <c r="D8712" s="14" t="s">
        <v>16551</v>
      </c>
      <c r="E8712" s="9" t="s">
        <v>27</v>
      </c>
    </row>
    <row r="8713" spans="1:5" ht="15" customHeight="1" outlineLevel="2" x14ac:dyDescent="0.25">
      <c r="A8713" s="3" t="str">
        <f>HYPERLINK("http://mystore1.ru/price_items/search?utf8=%E2%9C%93&amp;oem=3363BGSR","3363BGSR")</f>
        <v>3363BGSR</v>
      </c>
      <c r="B8713" s="1" t="s">
        <v>16567</v>
      </c>
      <c r="C8713" s="9" t="s">
        <v>687</v>
      </c>
      <c r="D8713" s="14" t="s">
        <v>16568</v>
      </c>
      <c r="E8713" s="9" t="s">
        <v>30</v>
      </c>
    </row>
    <row r="8714" spans="1:5" ht="15" customHeight="1" outlineLevel="2" x14ac:dyDescent="0.25">
      <c r="A8714" s="3" t="str">
        <f>HYPERLINK("http://mystore1.ru/price_items/search?utf8=%E2%9C%93&amp;oem=3363LGSR5FD","3363LGSR5FD")</f>
        <v>3363LGSR5FD</v>
      </c>
      <c r="B8714" s="1" t="s">
        <v>16569</v>
      </c>
      <c r="C8714" s="9" t="s">
        <v>687</v>
      </c>
      <c r="D8714" s="14" t="s">
        <v>16570</v>
      </c>
      <c r="E8714" s="9" t="s">
        <v>11</v>
      </c>
    </row>
    <row r="8715" spans="1:5" ht="15" customHeight="1" outlineLevel="2" x14ac:dyDescent="0.25">
      <c r="A8715" s="3" t="str">
        <f>HYPERLINK("http://mystore1.ru/price_items/search?utf8=%E2%9C%93&amp;oem=3363LGSR5FQZ","3363LGSR5FQZ")</f>
        <v>3363LGSR5FQZ</v>
      </c>
      <c r="B8715" s="1" t="s">
        <v>16571</v>
      </c>
      <c r="C8715" s="9" t="s">
        <v>687</v>
      </c>
      <c r="D8715" s="14" t="s">
        <v>16572</v>
      </c>
      <c r="E8715" s="9" t="s">
        <v>11</v>
      </c>
    </row>
    <row r="8716" spans="1:5" ht="15" customHeight="1" outlineLevel="2" x14ac:dyDescent="0.25">
      <c r="A8716" s="3" t="str">
        <f>HYPERLINK("http://mystore1.ru/price_items/search?utf8=%E2%9C%93&amp;oem=3363LGSR5RD","3363LGSR5RD")</f>
        <v>3363LGSR5RD</v>
      </c>
      <c r="B8716" s="1" t="s">
        <v>16573</v>
      </c>
      <c r="C8716" s="9" t="s">
        <v>687</v>
      </c>
      <c r="D8716" s="14" t="s">
        <v>16574</v>
      </c>
      <c r="E8716" s="9" t="s">
        <v>11</v>
      </c>
    </row>
    <row r="8717" spans="1:5" ht="15" customHeight="1" outlineLevel="2" x14ac:dyDescent="0.25">
      <c r="A8717" s="3" t="str">
        <f>HYPERLINK("http://mystore1.ru/price_items/search?utf8=%E2%9C%93&amp;oem=3363RGSR5FD","3363RGSR5FD")</f>
        <v>3363RGSR5FD</v>
      </c>
      <c r="B8717" s="1" t="s">
        <v>16575</v>
      </c>
      <c r="C8717" s="9" t="s">
        <v>687</v>
      </c>
      <c r="D8717" s="14" t="s">
        <v>16576</v>
      </c>
      <c r="E8717" s="9" t="s">
        <v>11</v>
      </c>
    </row>
    <row r="8718" spans="1:5" ht="15" customHeight="1" outlineLevel="2" x14ac:dyDescent="0.25">
      <c r="A8718" s="3" t="str">
        <f>HYPERLINK("http://mystore1.ru/price_items/search?utf8=%E2%9C%93&amp;oem=3363RGSR5FQZ","3363RGSR5FQZ")</f>
        <v>3363RGSR5FQZ</v>
      </c>
      <c r="B8718" s="1" t="s">
        <v>16577</v>
      </c>
      <c r="C8718" s="9" t="s">
        <v>687</v>
      </c>
      <c r="D8718" s="14" t="s">
        <v>16578</v>
      </c>
      <c r="E8718" s="9" t="s">
        <v>11</v>
      </c>
    </row>
    <row r="8719" spans="1:5" ht="15" customHeight="1" outlineLevel="2" x14ac:dyDescent="0.25">
      <c r="A8719" s="3" t="str">
        <f>HYPERLINK("http://mystore1.ru/price_items/search?utf8=%E2%9C%93&amp;oem=3363RGSR5RD","3363RGSR5RD")</f>
        <v>3363RGSR5RD</v>
      </c>
      <c r="B8719" s="1" t="s">
        <v>16579</v>
      </c>
      <c r="C8719" s="9" t="s">
        <v>687</v>
      </c>
      <c r="D8719" s="14" t="s">
        <v>16580</v>
      </c>
      <c r="E8719" s="9" t="s">
        <v>11</v>
      </c>
    </row>
    <row r="8720" spans="1:5" outlineLevel="1" x14ac:dyDescent="0.25">
      <c r="A8720" s="2"/>
      <c r="B8720" s="6" t="s">
        <v>16581</v>
      </c>
      <c r="C8720" s="8"/>
      <c r="D8720" s="8"/>
      <c r="E8720" s="8"/>
    </row>
    <row r="8721" spans="1:5" ht="15" customHeight="1" outlineLevel="2" x14ac:dyDescent="0.25">
      <c r="A8721" s="3" t="str">
        <f>HYPERLINK("http://mystore1.ru/price_items/search?utf8=%E2%9C%93&amp;oem=8010ABL","8010ABL")</f>
        <v>8010ABL</v>
      </c>
      <c r="B8721" s="1" t="s">
        <v>16582</v>
      </c>
      <c r="C8721" s="9" t="s">
        <v>16583</v>
      </c>
      <c r="D8721" s="14" t="s">
        <v>16584</v>
      </c>
      <c r="E8721" s="9" t="s">
        <v>8</v>
      </c>
    </row>
    <row r="8722" spans="1:5" ht="15" customHeight="1" outlineLevel="2" x14ac:dyDescent="0.25">
      <c r="A8722" s="3" t="str">
        <f>HYPERLINK("http://mystore1.ru/price_items/search?utf8=%E2%9C%93&amp;oem=8010ABLBL","8010ABLBL")</f>
        <v>8010ABLBL</v>
      </c>
      <c r="B8722" s="1" t="s">
        <v>16585</v>
      </c>
      <c r="C8722" s="9" t="s">
        <v>16583</v>
      </c>
      <c r="D8722" s="14" t="s">
        <v>16586</v>
      </c>
      <c r="E8722" s="9" t="s">
        <v>8</v>
      </c>
    </row>
    <row r="8723" spans="1:5" ht="15" customHeight="1" outlineLevel="2" x14ac:dyDescent="0.25">
      <c r="A8723" s="3" t="str">
        <f>HYPERLINK("http://mystore1.ru/price_items/search?utf8=%E2%9C%93&amp;oem=8010ABZ","8010ABZ")</f>
        <v>8010ABZ</v>
      </c>
      <c r="B8723" s="1" t="s">
        <v>16587</v>
      </c>
      <c r="C8723" s="9" t="s">
        <v>16583</v>
      </c>
      <c r="D8723" s="14" t="s">
        <v>16588</v>
      </c>
      <c r="E8723" s="9" t="s">
        <v>8</v>
      </c>
    </row>
    <row r="8724" spans="1:5" ht="15" customHeight="1" outlineLevel="2" x14ac:dyDescent="0.25">
      <c r="A8724" s="3" t="str">
        <f>HYPERLINK("http://mystore1.ru/price_items/search?utf8=%E2%9C%93&amp;oem=8010ABZBL","8010ABZBL")</f>
        <v>8010ABZBL</v>
      </c>
      <c r="B8724" s="1" t="s">
        <v>16589</v>
      </c>
      <c r="C8724" s="9" t="s">
        <v>16583</v>
      </c>
      <c r="D8724" s="14" t="s">
        <v>16590</v>
      </c>
      <c r="E8724" s="9" t="s">
        <v>8</v>
      </c>
    </row>
    <row r="8725" spans="1:5" ht="15" customHeight="1" outlineLevel="2" x14ac:dyDescent="0.25">
      <c r="A8725" s="3" t="str">
        <f>HYPERLINK("http://mystore1.ru/price_items/search?utf8=%E2%9C%93&amp;oem=8010ACL","8010ACL")</f>
        <v>8010ACL</v>
      </c>
      <c r="B8725" s="1" t="s">
        <v>16591</v>
      </c>
      <c r="C8725" s="9" t="s">
        <v>16583</v>
      </c>
      <c r="D8725" s="14" t="s">
        <v>16592</v>
      </c>
      <c r="E8725" s="9" t="s">
        <v>8</v>
      </c>
    </row>
    <row r="8726" spans="1:5" ht="15" customHeight="1" outlineLevel="2" x14ac:dyDescent="0.25">
      <c r="A8726" s="3" t="str">
        <f>HYPERLINK("http://mystore1.ru/price_items/search?utf8=%E2%9C%93&amp;oem=8010AGN","8010AGN")</f>
        <v>8010AGN</v>
      </c>
      <c r="B8726" s="1" t="s">
        <v>16593</v>
      </c>
      <c r="C8726" s="9" t="s">
        <v>16583</v>
      </c>
      <c r="D8726" s="14" t="s">
        <v>16594</v>
      </c>
      <c r="E8726" s="9" t="s">
        <v>8</v>
      </c>
    </row>
    <row r="8727" spans="1:5" ht="15" customHeight="1" outlineLevel="2" x14ac:dyDescent="0.25">
      <c r="A8727" s="3" t="str">
        <f>HYPERLINK("http://mystore1.ru/price_items/search?utf8=%E2%9C%93&amp;oem=8010AKMR","8010AKMR")</f>
        <v>8010AKMR</v>
      </c>
      <c r="B8727" s="1" t="s">
        <v>16595</v>
      </c>
      <c r="C8727" s="9" t="s">
        <v>25</v>
      </c>
      <c r="D8727" s="14" t="s">
        <v>16596</v>
      </c>
      <c r="E8727" s="9" t="s">
        <v>27</v>
      </c>
    </row>
    <row r="8728" spans="1:5" ht="15" customHeight="1" outlineLevel="2" x14ac:dyDescent="0.25">
      <c r="A8728" s="3" t="str">
        <f>HYPERLINK("http://mystore1.ru/price_items/search?utf8=%E2%9C%93&amp;oem=8010ASMR","8010ASMR")</f>
        <v>8010ASMR</v>
      </c>
      <c r="B8728" s="1" t="s">
        <v>16597</v>
      </c>
      <c r="C8728" s="9" t="s">
        <v>25</v>
      </c>
      <c r="D8728" s="14" t="s">
        <v>16598</v>
      </c>
      <c r="E8728" s="9" t="s">
        <v>27</v>
      </c>
    </row>
    <row r="8729" spans="1:5" ht="15" customHeight="1" outlineLevel="2" x14ac:dyDescent="0.25">
      <c r="A8729" s="3" t="str">
        <f>HYPERLINK("http://mystore1.ru/price_items/search?utf8=%E2%9C%93&amp;oem=8010BBLR","8010BBLR")</f>
        <v>8010BBLR</v>
      </c>
      <c r="B8729" s="1" t="s">
        <v>16599</v>
      </c>
      <c r="C8729" s="9" t="s">
        <v>16583</v>
      </c>
      <c r="D8729" s="14" t="s">
        <v>16600</v>
      </c>
      <c r="E8729" s="9" t="s">
        <v>30</v>
      </c>
    </row>
    <row r="8730" spans="1:5" ht="15" customHeight="1" outlineLevel="2" x14ac:dyDescent="0.25">
      <c r="A8730" s="3" t="str">
        <f>HYPERLINK("http://mystore1.ru/price_items/search?utf8=%E2%9C%93&amp;oem=8010BGNR","8010BGNR")</f>
        <v>8010BGNR</v>
      </c>
      <c r="B8730" s="1" t="s">
        <v>16601</v>
      </c>
      <c r="C8730" s="9" t="s">
        <v>16583</v>
      </c>
      <c r="D8730" s="14" t="s">
        <v>16602</v>
      </c>
      <c r="E8730" s="9" t="s">
        <v>30</v>
      </c>
    </row>
    <row r="8731" spans="1:5" ht="15" customHeight="1" outlineLevel="2" x14ac:dyDescent="0.25">
      <c r="A8731" s="3" t="str">
        <f>HYPERLINK("http://mystore1.ru/price_items/search?utf8=%E2%9C%93&amp;oem=8010LBLR3FD","8010LBLR3FD")</f>
        <v>8010LBLR3FD</v>
      </c>
      <c r="B8731" s="1" t="s">
        <v>16603</v>
      </c>
      <c r="C8731" s="9" t="s">
        <v>16583</v>
      </c>
      <c r="D8731" s="14" t="s">
        <v>16604</v>
      </c>
      <c r="E8731" s="9" t="s">
        <v>11</v>
      </c>
    </row>
    <row r="8732" spans="1:5" ht="15" customHeight="1" outlineLevel="2" x14ac:dyDescent="0.25">
      <c r="A8732" s="3" t="str">
        <f>HYPERLINK("http://mystore1.ru/price_items/search?utf8=%E2%9C%93&amp;oem=8010LBLR5FDW","8010LBLR5FDW")</f>
        <v>8010LBLR5FDW</v>
      </c>
      <c r="B8732" s="1" t="s">
        <v>16605</v>
      </c>
      <c r="C8732" s="9" t="s">
        <v>16583</v>
      </c>
      <c r="D8732" s="14" t="s">
        <v>16606</v>
      </c>
      <c r="E8732" s="9" t="s">
        <v>11</v>
      </c>
    </row>
    <row r="8733" spans="1:5" ht="15" customHeight="1" outlineLevel="2" x14ac:dyDescent="0.25">
      <c r="A8733" s="3" t="str">
        <f>HYPERLINK("http://mystore1.ru/price_items/search?utf8=%E2%9C%93&amp;oem=8010LBLR5RV","8010LBLR5RV")</f>
        <v>8010LBLR5RV</v>
      </c>
      <c r="B8733" s="1" t="s">
        <v>16607</v>
      </c>
      <c r="C8733" s="9" t="s">
        <v>16583</v>
      </c>
      <c r="D8733" s="14" t="s">
        <v>16608</v>
      </c>
      <c r="E8733" s="9" t="s">
        <v>11</v>
      </c>
    </row>
    <row r="8734" spans="1:5" ht="15" customHeight="1" outlineLevel="2" x14ac:dyDescent="0.25">
      <c r="A8734" s="3" t="str">
        <f>HYPERLINK("http://mystore1.ru/price_items/search?utf8=%E2%9C%93&amp;oem=8010LGNR3FD","8010LGNR3FD")</f>
        <v>8010LGNR3FD</v>
      </c>
      <c r="B8734" s="1" t="s">
        <v>16609</v>
      </c>
      <c r="C8734" s="9" t="s">
        <v>16583</v>
      </c>
      <c r="D8734" s="14" t="s">
        <v>16610</v>
      </c>
      <c r="E8734" s="9" t="s">
        <v>11</v>
      </c>
    </row>
    <row r="8735" spans="1:5" ht="15" customHeight="1" outlineLevel="2" x14ac:dyDescent="0.25">
      <c r="A8735" s="3" t="str">
        <f>HYPERLINK("http://mystore1.ru/price_items/search?utf8=%E2%9C%93&amp;oem=8010LGNR5FD","8010LGNR5FD")</f>
        <v>8010LGNR5FD</v>
      </c>
      <c r="B8735" s="1" t="s">
        <v>16611</v>
      </c>
      <c r="C8735" s="9" t="s">
        <v>16583</v>
      </c>
      <c r="D8735" s="14" t="s">
        <v>16612</v>
      </c>
      <c r="E8735" s="9" t="s">
        <v>11</v>
      </c>
    </row>
    <row r="8736" spans="1:5" ht="15" customHeight="1" outlineLevel="2" x14ac:dyDescent="0.25">
      <c r="A8736" s="3" t="str">
        <f>HYPERLINK("http://mystore1.ru/price_items/search?utf8=%E2%9C%93&amp;oem=8010RBLR3FD","8010RBLR3FD")</f>
        <v>8010RBLR3FD</v>
      </c>
      <c r="B8736" s="1" t="s">
        <v>16613</v>
      </c>
      <c r="C8736" s="9" t="s">
        <v>16583</v>
      </c>
      <c r="D8736" s="14" t="s">
        <v>16614</v>
      </c>
      <c r="E8736" s="9" t="s">
        <v>11</v>
      </c>
    </row>
    <row r="8737" spans="1:5" ht="15" customHeight="1" outlineLevel="2" x14ac:dyDescent="0.25">
      <c r="A8737" s="3" t="str">
        <f>HYPERLINK("http://mystore1.ru/price_items/search?utf8=%E2%9C%93&amp;oem=8010RBLR5FDW","8010RBLR5FDW")</f>
        <v>8010RBLR5FDW</v>
      </c>
      <c r="B8737" s="1" t="s">
        <v>16615</v>
      </c>
      <c r="C8737" s="9" t="s">
        <v>16583</v>
      </c>
      <c r="D8737" s="14" t="s">
        <v>16616</v>
      </c>
      <c r="E8737" s="9" t="s">
        <v>11</v>
      </c>
    </row>
    <row r="8738" spans="1:5" ht="15" customHeight="1" outlineLevel="2" x14ac:dyDescent="0.25">
      <c r="A8738" s="3" t="str">
        <f>HYPERLINK("http://mystore1.ru/price_items/search?utf8=%E2%9C%93&amp;oem=8010RBLR5RDW","8010RBLR5RDW")</f>
        <v>8010RBLR5RDW</v>
      </c>
      <c r="B8738" s="1" t="s">
        <v>16617</v>
      </c>
      <c r="C8738" s="9" t="s">
        <v>16583</v>
      </c>
      <c r="D8738" s="14" t="s">
        <v>16618</v>
      </c>
      <c r="E8738" s="9" t="s">
        <v>11</v>
      </c>
    </row>
    <row r="8739" spans="1:5" ht="15" customHeight="1" outlineLevel="2" x14ac:dyDescent="0.25">
      <c r="A8739" s="3" t="str">
        <f>HYPERLINK("http://mystore1.ru/price_items/search?utf8=%E2%9C%93&amp;oem=8010RBLR5RV","8010RBLR5RV")</f>
        <v>8010RBLR5RV</v>
      </c>
      <c r="B8739" s="1" t="s">
        <v>16619</v>
      </c>
      <c r="C8739" s="9" t="s">
        <v>16583</v>
      </c>
      <c r="D8739" s="14" t="s">
        <v>16620</v>
      </c>
      <c r="E8739" s="9" t="s">
        <v>11</v>
      </c>
    </row>
    <row r="8740" spans="1:5" ht="15" customHeight="1" outlineLevel="2" x14ac:dyDescent="0.25">
      <c r="A8740" s="3" t="str">
        <f>HYPERLINK("http://mystore1.ru/price_items/search?utf8=%E2%9C%93&amp;oem=8010RBZR3FD","8010RBZR3FD")</f>
        <v>8010RBZR3FD</v>
      </c>
      <c r="B8740" s="1" t="s">
        <v>16621</v>
      </c>
      <c r="C8740" s="9" t="s">
        <v>16583</v>
      </c>
      <c r="D8740" s="14" t="s">
        <v>16622</v>
      </c>
      <c r="E8740" s="9" t="s">
        <v>11</v>
      </c>
    </row>
    <row r="8741" spans="1:5" ht="15" customHeight="1" outlineLevel="2" x14ac:dyDescent="0.25">
      <c r="A8741" s="3" t="str">
        <f>HYPERLINK("http://mystore1.ru/price_items/search?utf8=%E2%9C%93&amp;oem=8010RGNR3FD","8010RGNR3FD")</f>
        <v>8010RGNR3FD</v>
      </c>
      <c r="B8741" s="1" t="s">
        <v>16623</v>
      </c>
      <c r="C8741" s="9" t="s">
        <v>16583</v>
      </c>
      <c r="D8741" s="14" t="s">
        <v>16624</v>
      </c>
      <c r="E8741" s="9" t="s">
        <v>11</v>
      </c>
    </row>
    <row r="8742" spans="1:5" ht="15" customHeight="1" outlineLevel="2" x14ac:dyDescent="0.25">
      <c r="A8742" s="3" t="str">
        <f>HYPERLINK("http://mystore1.ru/price_items/search?utf8=%E2%9C%93&amp;oem=8010RGNR5FD","8010RGNR5FD")</f>
        <v>8010RGNR5FD</v>
      </c>
      <c r="B8742" s="1" t="s">
        <v>16625</v>
      </c>
      <c r="C8742" s="9" t="s">
        <v>16583</v>
      </c>
      <c r="D8742" s="14" t="s">
        <v>16626</v>
      </c>
      <c r="E8742" s="9" t="s">
        <v>11</v>
      </c>
    </row>
    <row r="8743" spans="1:5" outlineLevel="1" x14ac:dyDescent="0.25">
      <c r="A8743" s="2"/>
      <c r="B8743" s="6" t="s">
        <v>16627</v>
      </c>
      <c r="C8743" s="8"/>
      <c r="D8743" s="8"/>
      <c r="E8743" s="8"/>
    </row>
    <row r="8744" spans="1:5" ht="15" customHeight="1" outlineLevel="2" x14ac:dyDescent="0.25">
      <c r="A8744" s="3" t="str">
        <f>HYPERLINK("http://mystore1.ru/price_items/search?utf8=%E2%9C%93&amp;oem=8021RCLR3FD","8021RCLR3FD")</f>
        <v>8021RCLR3FD</v>
      </c>
      <c r="B8744" s="1" t="s">
        <v>16628</v>
      </c>
      <c r="C8744" s="9" t="s">
        <v>16583</v>
      </c>
      <c r="D8744" s="14" t="s">
        <v>16629</v>
      </c>
      <c r="E8744" s="9" t="s">
        <v>11</v>
      </c>
    </row>
    <row r="8745" spans="1:5" outlineLevel="1" x14ac:dyDescent="0.25">
      <c r="A8745" s="2"/>
      <c r="B8745" s="6" t="s">
        <v>16630</v>
      </c>
      <c r="C8745" s="8"/>
      <c r="D8745" s="8"/>
      <c r="E8745" s="8"/>
    </row>
    <row r="8746" spans="1:5" ht="15" customHeight="1" outlineLevel="2" x14ac:dyDescent="0.25">
      <c r="A8746" s="3" t="str">
        <f>HYPERLINK("http://mystore1.ru/price_items/search?utf8=%E2%9C%93&amp;oem=8017AGN","8017AGN")</f>
        <v>8017AGN</v>
      </c>
      <c r="B8746" s="1" t="s">
        <v>16631</v>
      </c>
      <c r="C8746" s="9" t="s">
        <v>16632</v>
      </c>
      <c r="D8746" s="14" t="s">
        <v>16633</v>
      </c>
      <c r="E8746" s="9" t="s">
        <v>8</v>
      </c>
    </row>
    <row r="8747" spans="1:5" ht="15" customHeight="1" outlineLevel="2" x14ac:dyDescent="0.25">
      <c r="A8747" s="3" t="str">
        <f>HYPERLINK("http://mystore1.ru/price_items/search?utf8=%E2%9C%93&amp;oem=8017LGNR3FD","8017LGNR3FD")</f>
        <v>8017LGNR3FD</v>
      </c>
      <c r="B8747" s="1" t="s">
        <v>16634</v>
      </c>
      <c r="C8747" s="9" t="s">
        <v>16632</v>
      </c>
      <c r="D8747" s="14" t="s">
        <v>16635</v>
      </c>
      <c r="E8747" s="9" t="s">
        <v>11</v>
      </c>
    </row>
    <row r="8748" spans="1:5" ht="15" customHeight="1" outlineLevel="2" x14ac:dyDescent="0.25">
      <c r="A8748" s="3" t="str">
        <f>HYPERLINK("http://mystore1.ru/price_items/search?utf8=%E2%9C%93&amp;oem=8017LGNR3FV","8017LGNR3FV")</f>
        <v>8017LGNR3FV</v>
      </c>
      <c r="B8748" s="1" t="s">
        <v>16636</v>
      </c>
      <c r="C8748" s="9" t="s">
        <v>16632</v>
      </c>
      <c r="D8748" s="14" t="s">
        <v>16637</v>
      </c>
      <c r="E8748" s="9" t="s">
        <v>11</v>
      </c>
    </row>
    <row r="8749" spans="1:5" ht="15" customHeight="1" outlineLevel="2" x14ac:dyDescent="0.25">
      <c r="A8749" s="3" t="str">
        <f>HYPERLINK("http://mystore1.ru/price_items/search?utf8=%E2%9C%93&amp;oem=8017RGNR3FV","8017RGNR3FV")</f>
        <v>8017RGNR3FV</v>
      </c>
      <c r="B8749" s="1" t="s">
        <v>16638</v>
      </c>
      <c r="C8749" s="9" t="s">
        <v>16632</v>
      </c>
      <c r="D8749" s="14" t="s">
        <v>16639</v>
      </c>
      <c r="E8749" s="9" t="s">
        <v>11</v>
      </c>
    </row>
    <row r="8750" spans="1:5" outlineLevel="1" x14ac:dyDescent="0.25">
      <c r="A8750" s="2"/>
      <c r="B8750" s="6" t="s">
        <v>16640</v>
      </c>
      <c r="C8750" s="8"/>
      <c r="D8750" s="8"/>
      <c r="E8750" s="8"/>
    </row>
    <row r="8751" spans="1:5" ht="15" customHeight="1" outlineLevel="2" x14ac:dyDescent="0.25">
      <c r="A8751" s="3" t="str">
        <f>HYPERLINK("http://mystore1.ru/price_items/search?utf8=%E2%9C%93&amp;oem=8020ALG","8020ALG")</f>
        <v>8020ALG</v>
      </c>
      <c r="B8751" s="1" t="s">
        <v>16641</v>
      </c>
      <c r="C8751" s="9" t="s">
        <v>981</v>
      </c>
      <c r="D8751" s="14" t="s">
        <v>16642</v>
      </c>
      <c r="E8751" s="9" t="s">
        <v>8</v>
      </c>
    </row>
    <row r="8752" spans="1:5" ht="15" customHeight="1" outlineLevel="2" x14ac:dyDescent="0.25">
      <c r="A8752" s="3" t="str">
        <f>HYPERLINK("http://mystore1.ru/price_items/search?utf8=%E2%9C%93&amp;oem=8020ALG1B","8020ALG1B")</f>
        <v>8020ALG1B</v>
      </c>
      <c r="B8752" s="1" t="s">
        <v>16643</v>
      </c>
      <c r="C8752" s="9" t="s">
        <v>981</v>
      </c>
      <c r="D8752" s="14" t="s">
        <v>16644</v>
      </c>
      <c r="E8752" s="9" t="s">
        <v>8</v>
      </c>
    </row>
    <row r="8753" spans="1:5" ht="15" customHeight="1" outlineLevel="2" x14ac:dyDescent="0.25">
      <c r="A8753" s="3" t="str">
        <f>HYPERLINK("http://mystore1.ru/price_items/search?utf8=%E2%9C%93&amp;oem=8020ALGBL","8020ALGBL")</f>
        <v>8020ALGBL</v>
      </c>
      <c r="B8753" s="1" t="s">
        <v>16645</v>
      </c>
      <c r="C8753" s="9" t="s">
        <v>981</v>
      </c>
      <c r="D8753" s="14" t="s">
        <v>16646</v>
      </c>
      <c r="E8753" s="9" t="s">
        <v>8</v>
      </c>
    </row>
    <row r="8754" spans="1:5" ht="15" customHeight="1" outlineLevel="2" x14ac:dyDescent="0.25">
      <c r="A8754" s="3" t="str">
        <f>HYPERLINK("http://mystore1.ru/price_items/search?utf8=%E2%9C%93&amp;oem=8020ALGBL1B","8020ALGBL1B")</f>
        <v>8020ALGBL1B</v>
      </c>
      <c r="B8754" s="1" t="s">
        <v>16647</v>
      </c>
      <c r="C8754" s="9" t="s">
        <v>981</v>
      </c>
      <c r="D8754" s="14" t="s">
        <v>16648</v>
      </c>
      <c r="E8754" s="9" t="s">
        <v>8</v>
      </c>
    </row>
    <row r="8755" spans="1:5" ht="15" customHeight="1" outlineLevel="2" x14ac:dyDescent="0.25">
      <c r="A8755" s="3" t="str">
        <f>HYPERLINK("http://mystore1.ru/price_items/search?utf8=%E2%9C%93&amp;oem=8020ALGW1B","8020ALGW1B")</f>
        <v>8020ALGW1B</v>
      </c>
      <c r="B8755" s="1" t="s">
        <v>16649</v>
      </c>
      <c r="C8755" s="9" t="s">
        <v>981</v>
      </c>
      <c r="D8755" s="14" t="s">
        <v>16650</v>
      </c>
      <c r="E8755" s="9" t="s">
        <v>8</v>
      </c>
    </row>
    <row r="8756" spans="1:5" ht="15" customHeight="1" outlineLevel="2" x14ac:dyDescent="0.25">
      <c r="A8756" s="3" t="str">
        <f>HYPERLINK("http://mystore1.ru/price_items/search?utf8=%E2%9C%93&amp;oem=8020ASMR","8020ASMR")</f>
        <v>8020ASMR</v>
      </c>
      <c r="B8756" s="1" t="s">
        <v>16651</v>
      </c>
      <c r="C8756" s="9" t="s">
        <v>25</v>
      </c>
      <c r="D8756" s="14" t="s">
        <v>16652</v>
      </c>
      <c r="E8756" s="9" t="s">
        <v>27</v>
      </c>
    </row>
    <row r="8757" spans="1:5" ht="15" customHeight="1" outlineLevel="2" x14ac:dyDescent="0.25">
      <c r="A8757" s="3" t="str">
        <f>HYPERLINK("http://mystore1.ru/price_items/search?utf8=%E2%9C%93&amp;oem=8020BLGRW","8020BLGRW")</f>
        <v>8020BLGRW</v>
      </c>
      <c r="B8757" s="1" t="s">
        <v>16653</v>
      </c>
      <c r="C8757" s="9" t="s">
        <v>981</v>
      </c>
      <c r="D8757" s="14" t="s">
        <v>16654</v>
      </c>
      <c r="E8757" s="9" t="s">
        <v>30</v>
      </c>
    </row>
    <row r="8758" spans="1:5" ht="15" customHeight="1" outlineLevel="2" x14ac:dyDescent="0.25">
      <c r="A8758" s="3" t="str">
        <f>HYPERLINK("http://mystore1.ru/price_items/search?utf8=%E2%9C%93&amp;oem=8020LLGR3FD","8020LLGR3FD")</f>
        <v>8020LLGR3FD</v>
      </c>
      <c r="B8758" s="1" t="s">
        <v>16655</v>
      </c>
      <c r="C8758" s="9" t="s">
        <v>981</v>
      </c>
      <c r="D8758" s="14" t="s">
        <v>16656</v>
      </c>
      <c r="E8758" s="9" t="s">
        <v>11</v>
      </c>
    </row>
    <row r="8759" spans="1:5" ht="15" customHeight="1" outlineLevel="2" x14ac:dyDescent="0.25">
      <c r="A8759" s="3" t="str">
        <f>HYPERLINK("http://mystore1.ru/price_items/search?utf8=%E2%9C%93&amp;oem=8020LLGR5FD","8020LLGR5FD")</f>
        <v>8020LLGR5FD</v>
      </c>
      <c r="B8759" s="1" t="s">
        <v>16657</v>
      </c>
      <c r="C8759" s="9" t="s">
        <v>981</v>
      </c>
      <c r="D8759" s="14" t="s">
        <v>16658</v>
      </c>
      <c r="E8759" s="9" t="s">
        <v>11</v>
      </c>
    </row>
    <row r="8760" spans="1:5" ht="15" customHeight="1" outlineLevel="2" x14ac:dyDescent="0.25">
      <c r="A8760" s="3" t="str">
        <f>HYPERLINK("http://mystore1.ru/price_items/search?utf8=%E2%9C%93&amp;oem=8020LLGR5RD","8020LLGR5RD")</f>
        <v>8020LLGR5RD</v>
      </c>
      <c r="B8760" s="1" t="s">
        <v>16659</v>
      </c>
      <c r="C8760" s="9" t="s">
        <v>981</v>
      </c>
      <c r="D8760" s="14" t="s">
        <v>16660</v>
      </c>
      <c r="E8760" s="9" t="s">
        <v>11</v>
      </c>
    </row>
    <row r="8761" spans="1:5" ht="15" customHeight="1" outlineLevel="2" x14ac:dyDescent="0.25">
      <c r="A8761" s="3" t="str">
        <f>HYPERLINK("http://mystore1.ru/price_items/search?utf8=%E2%9C%93&amp;oem=8020LLGR5RD1J","8020LLGR5RD1J")</f>
        <v>8020LLGR5RD1J</v>
      </c>
      <c r="B8761" s="1" t="s">
        <v>16661</v>
      </c>
      <c r="C8761" s="9" t="s">
        <v>981</v>
      </c>
      <c r="D8761" s="14" t="s">
        <v>16660</v>
      </c>
      <c r="E8761" s="9" t="s">
        <v>11</v>
      </c>
    </row>
    <row r="8762" spans="1:5" ht="15" customHeight="1" outlineLevel="2" x14ac:dyDescent="0.25">
      <c r="A8762" s="3" t="str">
        <f>HYPERLINK("http://mystore1.ru/price_items/search?utf8=%E2%9C%93&amp;oem=8020LLGR5RV","8020LLGR5RV")</f>
        <v>8020LLGR5RV</v>
      </c>
      <c r="B8762" s="1" t="s">
        <v>16662</v>
      </c>
      <c r="C8762" s="9" t="s">
        <v>981</v>
      </c>
      <c r="D8762" s="14" t="s">
        <v>16663</v>
      </c>
      <c r="E8762" s="9" t="s">
        <v>11</v>
      </c>
    </row>
    <row r="8763" spans="1:5" ht="15" customHeight="1" outlineLevel="2" x14ac:dyDescent="0.25">
      <c r="A8763" s="3" t="str">
        <f>HYPERLINK("http://mystore1.ru/price_items/search?utf8=%E2%9C%93&amp;oem=8020RLGR3FD","8020RLGR3FD")</f>
        <v>8020RLGR3FD</v>
      </c>
      <c r="B8763" s="1" t="s">
        <v>16664</v>
      </c>
      <c r="C8763" s="9" t="s">
        <v>981</v>
      </c>
      <c r="D8763" s="14" t="s">
        <v>16665</v>
      </c>
      <c r="E8763" s="9" t="s">
        <v>11</v>
      </c>
    </row>
    <row r="8764" spans="1:5" ht="15" customHeight="1" outlineLevel="2" x14ac:dyDescent="0.25">
      <c r="A8764" s="3" t="str">
        <f>HYPERLINK("http://mystore1.ru/price_items/search?utf8=%E2%9C%93&amp;oem=8020RLGR5FD","8020RLGR5FD")</f>
        <v>8020RLGR5FD</v>
      </c>
      <c r="B8764" s="1" t="s">
        <v>16666</v>
      </c>
      <c r="C8764" s="9" t="s">
        <v>981</v>
      </c>
      <c r="D8764" s="14" t="s">
        <v>16665</v>
      </c>
      <c r="E8764" s="9" t="s">
        <v>11</v>
      </c>
    </row>
    <row r="8765" spans="1:5" ht="15" customHeight="1" outlineLevel="2" x14ac:dyDescent="0.25">
      <c r="A8765" s="3" t="str">
        <f>HYPERLINK("http://mystore1.ru/price_items/search?utf8=%E2%9C%93&amp;oem=8020RLGR5RD","8020RLGR5RD")</f>
        <v>8020RLGR5RD</v>
      </c>
      <c r="B8765" s="1" t="s">
        <v>16667</v>
      </c>
      <c r="C8765" s="9" t="s">
        <v>981</v>
      </c>
      <c r="D8765" s="14" t="s">
        <v>16668</v>
      </c>
      <c r="E8765" s="9" t="s">
        <v>11</v>
      </c>
    </row>
    <row r="8766" spans="1:5" ht="15" customHeight="1" outlineLevel="2" x14ac:dyDescent="0.25">
      <c r="A8766" s="3" t="str">
        <f>HYPERLINK("http://mystore1.ru/price_items/search?utf8=%E2%9C%93&amp;oem=8020RLGR5RD1J","8020RLGR5RD1J")</f>
        <v>8020RLGR5RD1J</v>
      </c>
      <c r="B8766" s="1" t="s">
        <v>16669</v>
      </c>
      <c r="C8766" s="9" t="s">
        <v>981</v>
      </c>
      <c r="D8766" s="14" t="s">
        <v>16670</v>
      </c>
      <c r="E8766" s="9" t="s">
        <v>11</v>
      </c>
    </row>
    <row r="8767" spans="1:5" ht="15" customHeight="1" outlineLevel="2" x14ac:dyDescent="0.25">
      <c r="A8767" s="3" t="str">
        <f>HYPERLINK("http://mystore1.ru/price_items/search?utf8=%E2%9C%93&amp;oem=8020RLGR5RV","8020RLGR5RV")</f>
        <v>8020RLGR5RV</v>
      </c>
      <c r="B8767" s="1" t="s">
        <v>16671</v>
      </c>
      <c r="C8767" s="9" t="s">
        <v>981</v>
      </c>
      <c r="D8767" s="14" t="s">
        <v>16672</v>
      </c>
      <c r="E8767" s="9" t="s">
        <v>11</v>
      </c>
    </row>
    <row r="8768" spans="1:5" outlineLevel="1" x14ac:dyDescent="0.25">
      <c r="A8768" s="2"/>
      <c r="B8768" s="6" t="s">
        <v>16673</v>
      </c>
      <c r="C8768" s="8"/>
      <c r="D8768" s="8"/>
      <c r="E8768" s="8"/>
    </row>
    <row r="8769" spans="1:5" ht="15" customHeight="1" outlineLevel="2" x14ac:dyDescent="0.25">
      <c r="A8769" s="3" t="str">
        <f>HYPERLINK("http://mystore1.ru/price_items/search?utf8=%E2%9C%93&amp;oem=8032AGN","8032AGN")</f>
        <v>8032AGN</v>
      </c>
      <c r="B8769" s="1" t="s">
        <v>16674</v>
      </c>
      <c r="C8769" s="9" t="s">
        <v>1607</v>
      </c>
      <c r="D8769" s="14" t="s">
        <v>16675</v>
      </c>
      <c r="E8769" s="9" t="s">
        <v>8</v>
      </c>
    </row>
    <row r="8770" spans="1:5" ht="15" customHeight="1" outlineLevel="2" x14ac:dyDescent="0.25">
      <c r="A8770" s="3" t="str">
        <f>HYPERLINK("http://mystore1.ru/price_items/search?utf8=%E2%9C%93&amp;oem=8032AGNGY","8032AGNGY")</f>
        <v>8032AGNGY</v>
      </c>
      <c r="B8770" s="1" t="s">
        <v>16676</v>
      </c>
      <c r="C8770" s="9" t="s">
        <v>1607</v>
      </c>
      <c r="D8770" s="14" t="s">
        <v>16677</v>
      </c>
      <c r="E8770" s="9" t="s">
        <v>8</v>
      </c>
    </row>
    <row r="8771" spans="1:5" ht="15" customHeight="1" outlineLevel="2" x14ac:dyDescent="0.25">
      <c r="A8771" s="3" t="str">
        <f>HYPERLINK("http://mystore1.ru/price_items/search?utf8=%E2%9C%93&amp;oem=8032ASMR","8032ASMR")</f>
        <v>8032ASMR</v>
      </c>
      <c r="B8771" s="1" t="s">
        <v>16678</v>
      </c>
      <c r="C8771" s="9" t="s">
        <v>25</v>
      </c>
      <c r="D8771" s="14" t="s">
        <v>16679</v>
      </c>
      <c r="E8771" s="9" t="s">
        <v>27</v>
      </c>
    </row>
    <row r="8772" spans="1:5" ht="15" customHeight="1" outlineLevel="2" x14ac:dyDescent="0.25">
      <c r="A8772" s="3" t="str">
        <f>HYPERLINK("http://mystore1.ru/price_items/search?utf8=%E2%9C%93&amp;oem=8032LGNR3FDW","8032LGNR3FDW")</f>
        <v>8032LGNR3FDW</v>
      </c>
      <c r="B8772" s="1" t="s">
        <v>16680</v>
      </c>
      <c r="C8772" s="9" t="s">
        <v>1607</v>
      </c>
      <c r="D8772" s="14" t="s">
        <v>16681</v>
      </c>
      <c r="E8772" s="9" t="s">
        <v>11</v>
      </c>
    </row>
    <row r="8773" spans="1:5" ht="15" customHeight="1" outlineLevel="2" x14ac:dyDescent="0.25">
      <c r="A8773" s="3" t="str">
        <f>HYPERLINK("http://mystore1.ru/price_items/search?utf8=%E2%9C%93&amp;oem=8032LGNR5FDW","8032LGNR5FDW")</f>
        <v>8032LGNR5FDW</v>
      </c>
      <c r="B8773" s="1" t="s">
        <v>16682</v>
      </c>
      <c r="C8773" s="9" t="s">
        <v>1607</v>
      </c>
      <c r="D8773" s="14" t="s">
        <v>16681</v>
      </c>
      <c r="E8773" s="9" t="s">
        <v>11</v>
      </c>
    </row>
    <row r="8774" spans="1:5" ht="15" customHeight="1" outlineLevel="2" x14ac:dyDescent="0.25">
      <c r="A8774" s="3" t="str">
        <f>HYPERLINK("http://mystore1.ru/price_items/search?utf8=%E2%9C%93&amp;oem=8032LGNR5RDW","8032LGNR5RDW")</f>
        <v>8032LGNR5RDW</v>
      </c>
      <c r="B8774" s="1" t="s">
        <v>16683</v>
      </c>
      <c r="C8774" s="9" t="s">
        <v>1607</v>
      </c>
      <c r="D8774" s="14" t="s">
        <v>16684</v>
      </c>
      <c r="E8774" s="9" t="s">
        <v>11</v>
      </c>
    </row>
    <row r="8775" spans="1:5" ht="15" customHeight="1" outlineLevel="2" x14ac:dyDescent="0.25">
      <c r="A8775" s="3" t="str">
        <f>HYPERLINK("http://mystore1.ru/price_items/search?utf8=%E2%9C%93&amp;oem=8032LGNR5RV","8032LGNR5RV")</f>
        <v>8032LGNR5RV</v>
      </c>
      <c r="B8775" s="1" t="s">
        <v>16685</v>
      </c>
      <c r="C8775" s="9" t="s">
        <v>1607</v>
      </c>
      <c r="D8775" s="14" t="s">
        <v>16686</v>
      </c>
      <c r="E8775" s="9" t="s">
        <v>11</v>
      </c>
    </row>
    <row r="8776" spans="1:5" ht="15" customHeight="1" outlineLevel="2" x14ac:dyDescent="0.25">
      <c r="A8776" s="3" t="str">
        <f>HYPERLINK("http://mystore1.ru/price_items/search?utf8=%E2%9C%93&amp;oem=8032RGNR3FDW","8032RGNR3FDW")</f>
        <v>8032RGNR3FDW</v>
      </c>
      <c r="B8776" s="1" t="s">
        <v>16687</v>
      </c>
      <c r="C8776" s="9" t="s">
        <v>1607</v>
      </c>
      <c r="D8776" s="14" t="s">
        <v>16688</v>
      </c>
      <c r="E8776" s="9" t="s">
        <v>11</v>
      </c>
    </row>
    <row r="8777" spans="1:5" ht="15" customHeight="1" outlineLevel="2" x14ac:dyDescent="0.25">
      <c r="A8777" s="3" t="str">
        <f>HYPERLINK("http://mystore1.ru/price_items/search?utf8=%E2%9C%93&amp;oem=8032RGNR5FDW","8032RGNR5FDW")</f>
        <v>8032RGNR5FDW</v>
      </c>
      <c r="B8777" s="1" t="s">
        <v>16689</v>
      </c>
      <c r="C8777" s="9" t="s">
        <v>1607</v>
      </c>
      <c r="D8777" s="14" t="s">
        <v>16688</v>
      </c>
      <c r="E8777" s="9" t="s">
        <v>11</v>
      </c>
    </row>
    <row r="8778" spans="1:5" ht="15" customHeight="1" outlineLevel="2" x14ac:dyDescent="0.25">
      <c r="A8778" s="3" t="str">
        <f>HYPERLINK("http://mystore1.ru/price_items/search?utf8=%E2%9C%93&amp;oem=8032RGNR5RDW","8032RGNR5RDW")</f>
        <v>8032RGNR5RDW</v>
      </c>
      <c r="B8778" s="1" t="s">
        <v>16690</v>
      </c>
      <c r="C8778" s="9" t="s">
        <v>1607</v>
      </c>
      <c r="D8778" s="14" t="s">
        <v>16691</v>
      </c>
      <c r="E8778" s="9" t="s">
        <v>11</v>
      </c>
    </row>
    <row r="8779" spans="1:5" ht="15" customHeight="1" outlineLevel="2" x14ac:dyDescent="0.25">
      <c r="A8779" s="3" t="str">
        <f>HYPERLINK("http://mystore1.ru/price_items/search?utf8=%E2%9C%93&amp;oem=8032RGNR5RV","8032RGNR5RV")</f>
        <v>8032RGNR5RV</v>
      </c>
      <c r="B8779" s="1" t="s">
        <v>16692</v>
      </c>
      <c r="C8779" s="9" t="s">
        <v>1607</v>
      </c>
      <c r="D8779" s="14" t="s">
        <v>16693</v>
      </c>
      <c r="E8779" s="9" t="s">
        <v>11</v>
      </c>
    </row>
    <row r="8780" spans="1:5" ht="15" customHeight="1" outlineLevel="2" x14ac:dyDescent="0.25">
      <c r="A8780" s="3" t="str">
        <f>HYPERLINK("http://mystore1.ru/price_items/search?utf8=%E2%9C%93&amp;oem=8032BGNRW","8032BGNRW")</f>
        <v>8032BGNRW</v>
      </c>
      <c r="B8780" s="1" t="s">
        <v>16694</v>
      </c>
      <c r="C8780" s="9" t="s">
        <v>1607</v>
      </c>
      <c r="D8780" s="14" t="s">
        <v>16695</v>
      </c>
      <c r="E8780" s="9" t="s">
        <v>30</v>
      </c>
    </row>
    <row r="8781" spans="1:5" outlineLevel="1" x14ac:dyDescent="0.25">
      <c r="A8781" s="2"/>
      <c r="B8781" s="6" t="s">
        <v>16696</v>
      </c>
      <c r="C8781" s="8"/>
      <c r="D8781" s="8"/>
      <c r="E8781" s="8"/>
    </row>
    <row r="8782" spans="1:5" ht="15" customHeight="1" outlineLevel="2" x14ac:dyDescent="0.25">
      <c r="A8782" s="3" t="str">
        <f>HYPERLINK("http://mystore1.ru/price_items/search?utf8=%E2%9C%93&amp;oem=8019AGN","8019AGN")</f>
        <v>8019AGN</v>
      </c>
      <c r="B8782" s="1" t="s">
        <v>16697</v>
      </c>
      <c r="C8782" s="9" t="s">
        <v>6602</v>
      </c>
      <c r="D8782" s="14" t="s">
        <v>16698</v>
      </c>
      <c r="E8782" s="9" t="s">
        <v>8</v>
      </c>
    </row>
    <row r="8783" spans="1:5" ht="15" customHeight="1" outlineLevel="2" x14ac:dyDescent="0.25">
      <c r="A8783" s="3" t="str">
        <f>HYPERLINK("http://mystore1.ru/price_items/search?utf8=%E2%9C%93&amp;oem=8019ASMV","8019ASMV")</f>
        <v>8019ASMV</v>
      </c>
      <c r="B8783" s="1" t="s">
        <v>16699</v>
      </c>
      <c r="C8783" s="9" t="s">
        <v>25</v>
      </c>
      <c r="D8783" s="14" t="s">
        <v>16700</v>
      </c>
      <c r="E8783" s="9" t="s">
        <v>27</v>
      </c>
    </row>
    <row r="8784" spans="1:5" ht="15" customHeight="1" outlineLevel="2" x14ac:dyDescent="0.25">
      <c r="A8784" s="3" t="str">
        <f>HYPERLINK("http://mystore1.ru/price_items/search?utf8=%E2%9C%93&amp;oem=8019BGNV","8019BGNV")</f>
        <v>8019BGNV</v>
      </c>
      <c r="B8784" s="1" t="s">
        <v>16701</v>
      </c>
      <c r="C8784" s="9" t="s">
        <v>6602</v>
      </c>
      <c r="D8784" s="14" t="s">
        <v>16702</v>
      </c>
      <c r="E8784" s="9" t="s">
        <v>30</v>
      </c>
    </row>
    <row r="8785" spans="1:5" ht="15" customHeight="1" outlineLevel="2" x14ac:dyDescent="0.25">
      <c r="A8785" s="3" t="str">
        <f>HYPERLINK("http://mystore1.ru/price_items/search?utf8=%E2%9C%93&amp;oem=8019RGNV5RQ","8019RGNV5RQ")</f>
        <v>8019RGNV5RQ</v>
      </c>
      <c r="B8785" s="1" t="s">
        <v>16703</v>
      </c>
      <c r="C8785" s="9" t="s">
        <v>6602</v>
      </c>
      <c r="D8785" s="14" t="s">
        <v>16704</v>
      </c>
      <c r="E8785" s="9" t="s">
        <v>11</v>
      </c>
    </row>
    <row r="8786" spans="1:5" outlineLevel="1" x14ac:dyDescent="0.25">
      <c r="A8786" s="2"/>
      <c r="B8786" s="6" t="s">
        <v>16705</v>
      </c>
      <c r="C8786" s="8"/>
      <c r="D8786" s="8"/>
      <c r="E8786" s="8"/>
    </row>
    <row r="8787" spans="1:5" outlineLevel="2" x14ac:dyDescent="0.25">
      <c r="A8787" s="3" t="str">
        <f>HYPERLINK("http://mystore1.ru/price_items/search?utf8=%E2%9C%93&amp;oem=8026ACL","8026ACL")</f>
        <v>8026ACL</v>
      </c>
      <c r="B8787" s="1" t="s">
        <v>16706</v>
      </c>
      <c r="C8787" s="9" t="s">
        <v>1403</v>
      </c>
      <c r="D8787" s="14" t="s">
        <v>16707</v>
      </c>
      <c r="E8787" s="9" t="s">
        <v>8</v>
      </c>
    </row>
    <row r="8788" spans="1:5" outlineLevel="2" x14ac:dyDescent="0.25">
      <c r="A8788" s="3" t="str">
        <f>HYPERLINK("http://mystore1.ru/price_items/search?utf8=%E2%9C%93&amp;oem=8026AGS","8026AGS")</f>
        <v>8026AGS</v>
      </c>
      <c r="B8788" s="1" t="s">
        <v>16708</v>
      </c>
      <c r="C8788" s="9" t="s">
        <v>1403</v>
      </c>
      <c r="D8788" s="14" t="s">
        <v>16709</v>
      </c>
      <c r="E8788" s="9" t="s">
        <v>8</v>
      </c>
    </row>
    <row r="8789" spans="1:5" outlineLevel="2" x14ac:dyDescent="0.25">
      <c r="A8789" s="3" t="str">
        <f>HYPERLINK("http://mystore1.ru/price_items/search?utf8=%E2%9C%93&amp;oem=8026ASMV","8026ASMV")</f>
        <v>8026ASMV</v>
      </c>
      <c r="B8789" s="1" t="s">
        <v>16710</v>
      </c>
      <c r="C8789" s="9" t="s">
        <v>25</v>
      </c>
      <c r="D8789" s="14" t="s">
        <v>16711</v>
      </c>
      <c r="E8789" s="9" t="s">
        <v>27</v>
      </c>
    </row>
    <row r="8790" spans="1:5" outlineLevel="2" x14ac:dyDescent="0.25">
      <c r="A8790" s="3" t="str">
        <f>HYPERLINK("http://mystore1.ru/price_items/search?utf8=%E2%9C%93&amp;oem=8026BCLVW","8026BCLVW")</f>
        <v>8026BCLVW</v>
      </c>
      <c r="B8790" s="1" t="s">
        <v>16712</v>
      </c>
      <c r="C8790" s="9" t="s">
        <v>1403</v>
      </c>
      <c r="D8790" s="14" t="s">
        <v>16713</v>
      </c>
      <c r="E8790" s="9" t="s">
        <v>30</v>
      </c>
    </row>
    <row r="8791" spans="1:5" outlineLevel="2" x14ac:dyDescent="0.25">
      <c r="A8791" s="3" t="str">
        <f>HYPERLINK("http://mystore1.ru/price_items/search?utf8=%E2%9C%93&amp;oem=8026BGSVW","8026BGSVW")</f>
        <v>8026BGSVW</v>
      </c>
      <c r="B8791" s="1" t="s">
        <v>16714</v>
      </c>
      <c r="C8791" s="9" t="s">
        <v>1403</v>
      </c>
      <c r="D8791" s="14" t="s">
        <v>16715</v>
      </c>
      <c r="E8791" s="9" t="s">
        <v>30</v>
      </c>
    </row>
    <row r="8792" spans="1:5" outlineLevel="2" x14ac:dyDescent="0.25">
      <c r="A8792" s="3" t="str">
        <f>HYPERLINK("http://mystore1.ru/price_items/search?utf8=%E2%9C%93&amp;oem=8026LCLV5FDW","8026LCLV5FDW")</f>
        <v>8026LCLV5FDW</v>
      </c>
      <c r="B8792" s="1" t="s">
        <v>16716</v>
      </c>
      <c r="C8792" s="9" t="s">
        <v>1403</v>
      </c>
      <c r="D8792" s="14" t="s">
        <v>16717</v>
      </c>
      <c r="E8792" s="9" t="s">
        <v>11</v>
      </c>
    </row>
    <row r="8793" spans="1:5" outlineLevel="2" x14ac:dyDescent="0.25">
      <c r="A8793" s="3" t="str">
        <f>HYPERLINK("http://mystore1.ru/price_items/search?utf8=%E2%9C%93&amp;oem=8026LCLV5FV","8026LCLV5FV")</f>
        <v>8026LCLV5FV</v>
      </c>
      <c r="B8793" s="1" t="s">
        <v>16718</v>
      </c>
      <c r="C8793" s="9" t="s">
        <v>1403</v>
      </c>
      <c r="D8793" s="14" t="s">
        <v>16719</v>
      </c>
      <c r="E8793" s="9" t="s">
        <v>11</v>
      </c>
    </row>
    <row r="8794" spans="1:5" outlineLevel="2" x14ac:dyDescent="0.25">
      <c r="A8794" s="3" t="str">
        <f>HYPERLINK("http://mystore1.ru/price_items/search?utf8=%E2%9C%93&amp;oem=8026LCLV5RDW","8026LCLV5RDW")</f>
        <v>8026LCLV5RDW</v>
      </c>
      <c r="B8794" s="1" t="s">
        <v>16720</v>
      </c>
      <c r="C8794" s="9" t="s">
        <v>1403</v>
      </c>
      <c r="D8794" s="14" t="s">
        <v>16721</v>
      </c>
      <c r="E8794" s="9" t="s">
        <v>11</v>
      </c>
    </row>
    <row r="8795" spans="1:5" outlineLevel="2" x14ac:dyDescent="0.25">
      <c r="A8795" s="3" t="str">
        <f>HYPERLINK("http://mystore1.ru/price_items/search?utf8=%E2%9C%93&amp;oem=8026LCLV5RQZ","8026LCLV5RQZ")</f>
        <v>8026LCLV5RQZ</v>
      </c>
      <c r="B8795" s="1" t="s">
        <v>16722</v>
      </c>
      <c r="C8795" s="9" t="s">
        <v>1403</v>
      </c>
      <c r="D8795" s="14" t="s">
        <v>16723</v>
      </c>
      <c r="E8795" s="9" t="s">
        <v>11</v>
      </c>
    </row>
    <row r="8796" spans="1:5" outlineLevel="2" x14ac:dyDescent="0.25">
      <c r="A8796" s="3" t="str">
        <f>HYPERLINK("http://mystore1.ru/price_items/search?utf8=%E2%9C%93&amp;oem=8026LGSV5FDW","8026LGSV5FDW")</f>
        <v>8026LGSV5FDW</v>
      </c>
      <c r="B8796" s="1" t="s">
        <v>16724</v>
      </c>
      <c r="C8796" s="9" t="s">
        <v>1403</v>
      </c>
      <c r="D8796" s="14" t="s">
        <v>16725</v>
      </c>
      <c r="E8796" s="9" t="s">
        <v>11</v>
      </c>
    </row>
    <row r="8797" spans="1:5" outlineLevel="2" x14ac:dyDescent="0.25">
      <c r="A8797" s="3" t="str">
        <f>HYPERLINK("http://mystore1.ru/price_items/search?utf8=%E2%9C%93&amp;oem=8026LGSV5FV","8026LGSV5FV")</f>
        <v>8026LGSV5FV</v>
      </c>
      <c r="B8797" s="1" t="s">
        <v>16726</v>
      </c>
      <c r="C8797" s="9" t="s">
        <v>1403</v>
      </c>
      <c r="D8797" s="14" t="s">
        <v>16727</v>
      </c>
      <c r="E8797" s="9" t="s">
        <v>11</v>
      </c>
    </row>
    <row r="8798" spans="1:5" outlineLevel="2" x14ac:dyDescent="0.25">
      <c r="A8798" s="3" t="str">
        <f>HYPERLINK("http://mystore1.ru/price_items/search?utf8=%E2%9C%93&amp;oem=8026LGSV5RDW","8026LGSV5RDW")</f>
        <v>8026LGSV5RDW</v>
      </c>
      <c r="B8798" s="1" t="s">
        <v>16728</v>
      </c>
      <c r="C8798" s="9" t="s">
        <v>1403</v>
      </c>
      <c r="D8798" s="14" t="s">
        <v>16729</v>
      </c>
      <c r="E8798" s="9" t="s">
        <v>11</v>
      </c>
    </row>
    <row r="8799" spans="1:5" outlineLevel="2" x14ac:dyDescent="0.25">
      <c r="A8799" s="3" t="str">
        <f>HYPERLINK("http://mystore1.ru/price_items/search?utf8=%E2%9C%93&amp;oem=8026LGSV5RQZ","8026LGSV5RQZ")</f>
        <v>8026LGSV5RQZ</v>
      </c>
      <c r="B8799" s="1" t="s">
        <v>16730</v>
      </c>
      <c r="C8799" s="9" t="s">
        <v>1403</v>
      </c>
      <c r="D8799" s="14" t="s">
        <v>16731</v>
      </c>
      <c r="E8799" s="9" t="s">
        <v>11</v>
      </c>
    </row>
    <row r="8800" spans="1:5" outlineLevel="2" x14ac:dyDescent="0.25">
      <c r="A8800" s="3" t="str">
        <f>HYPERLINK("http://mystore1.ru/price_items/search?utf8=%E2%9C%93&amp;oem=8026RCLV5FDW","8026RCLV5FDW")</f>
        <v>8026RCLV5FDW</v>
      </c>
      <c r="B8800" s="1" t="s">
        <v>16732</v>
      </c>
      <c r="C8800" s="9" t="s">
        <v>1403</v>
      </c>
      <c r="D8800" s="14" t="s">
        <v>16733</v>
      </c>
      <c r="E8800" s="9" t="s">
        <v>11</v>
      </c>
    </row>
    <row r="8801" spans="1:5" outlineLevel="2" x14ac:dyDescent="0.25">
      <c r="A8801" s="3" t="str">
        <f>HYPERLINK("http://mystore1.ru/price_items/search?utf8=%E2%9C%93&amp;oem=8026RCLV5FV","8026RCLV5FV")</f>
        <v>8026RCLV5FV</v>
      </c>
      <c r="B8801" s="1" t="s">
        <v>16734</v>
      </c>
      <c r="C8801" s="9" t="s">
        <v>1403</v>
      </c>
      <c r="D8801" s="14" t="s">
        <v>16735</v>
      </c>
      <c r="E8801" s="9" t="s">
        <v>11</v>
      </c>
    </row>
    <row r="8802" spans="1:5" outlineLevel="2" x14ac:dyDescent="0.25">
      <c r="A8802" s="3" t="str">
        <f>HYPERLINK("http://mystore1.ru/price_items/search?utf8=%E2%9C%93&amp;oem=8026RCLV5RDW","8026RCLV5RDW")</f>
        <v>8026RCLV5RDW</v>
      </c>
      <c r="B8802" s="1" t="s">
        <v>16736</v>
      </c>
      <c r="C8802" s="9" t="s">
        <v>1403</v>
      </c>
      <c r="D8802" s="14" t="s">
        <v>16737</v>
      </c>
      <c r="E8802" s="9" t="s">
        <v>11</v>
      </c>
    </row>
    <row r="8803" spans="1:5" outlineLevel="2" x14ac:dyDescent="0.25">
      <c r="A8803" s="3" t="str">
        <f>HYPERLINK("http://mystore1.ru/price_items/search?utf8=%E2%9C%93&amp;oem=8026RCLV5RQZ","8026RCLV5RQZ")</f>
        <v>8026RCLV5RQZ</v>
      </c>
      <c r="B8803" s="1" t="s">
        <v>16738</v>
      </c>
      <c r="C8803" s="9" t="s">
        <v>1403</v>
      </c>
      <c r="D8803" s="14" t="s">
        <v>16739</v>
      </c>
      <c r="E8803" s="9" t="s">
        <v>11</v>
      </c>
    </row>
    <row r="8804" spans="1:5" outlineLevel="2" x14ac:dyDescent="0.25">
      <c r="A8804" s="3" t="str">
        <f>HYPERLINK("http://mystore1.ru/price_items/search?utf8=%E2%9C%93&amp;oem=8026RGSV5FDW","8026RGSV5FDW")</f>
        <v>8026RGSV5FDW</v>
      </c>
      <c r="B8804" s="1" t="s">
        <v>16740</v>
      </c>
      <c r="C8804" s="9" t="s">
        <v>1403</v>
      </c>
      <c r="D8804" s="14" t="s">
        <v>16741</v>
      </c>
      <c r="E8804" s="9" t="s">
        <v>11</v>
      </c>
    </row>
    <row r="8805" spans="1:5" outlineLevel="2" x14ac:dyDescent="0.25">
      <c r="A8805" s="3" t="str">
        <f>HYPERLINK("http://mystore1.ru/price_items/search?utf8=%E2%9C%93&amp;oem=8026RGSV5FV","8026RGSV5FV")</f>
        <v>8026RGSV5FV</v>
      </c>
      <c r="B8805" s="1" t="s">
        <v>16742</v>
      </c>
      <c r="C8805" s="9" t="s">
        <v>1403</v>
      </c>
      <c r="D8805" s="14" t="s">
        <v>16743</v>
      </c>
      <c r="E8805" s="9" t="s">
        <v>11</v>
      </c>
    </row>
    <row r="8806" spans="1:5" outlineLevel="2" x14ac:dyDescent="0.25">
      <c r="A8806" s="3" t="str">
        <f>HYPERLINK("http://mystore1.ru/price_items/search?utf8=%E2%9C%93&amp;oem=8026RGSV5RDW","8026RGSV5RDW")</f>
        <v>8026RGSV5RDW</v>
      </c>
      <c r="B8806" s="1" t="s">
        <v>16744</v>
      </c>
      <c r="C8806" s="9" t="s">
        <v>1403</v>
      </c>
      <c r="D8806" s="14" t="s">
        <v>16745</v>
      </c>
      <c r="E8806" s="9" t="s">
        <v>11</v>
      </c>
    </row>
    <row r="8807" spans="1:5" outlineLevel="2" x14ac:dyDescent="0.25">
      <c r="A8807" s="3" t="str">
        <f>HYPERLINK("http://mystore1.ru/price_items/search?utf8=%E2%9C%93&amp;oem=8026RGSV5RQZ","8026RGSV5RQZ")</f>
        <v>8026RGSV5RQZ</v>
      </c>
      <c r="B8807" s="1" t="s">
        <v>16746</v>
      </c>
      <c r="C8807" s="9" t="s">
        <v>1403</v>
      </c>
      <c r="D8807" s="14" t="s">
        <v>16747</v>
      </c>
      <c r="E8807" s="9" t="s">
        <v>11</v>
      </c>
    </row>
    <row r="8808" spans="1:5" x14ac:dyDescent="0.25">
      <c r="A8808" s="61" t="s">
        <v>8006</v>
      </c>
      <c r="B8808" s="61"/>
      <c r="C8808" s="61"/>
      <c r="D8808" s="61"/>
      <c r="E8808" s="61"/>
    </row>
    <row r="8809" spans="1:5" outlineLevel="1" x14ac:dyDescent="0.25">
      <c r="A8809" s="2"/>
      <c r="B8809" s="6" t="s">
        <v>16748</v>
      </c>
      <c r="C8809" s="8"/>
      <c r="D8809" s="8"/>
      <c r="E8809" s="8"/>
    </row>
    <row r="8810" spans="1:5" ht="15" customHeight="1" outlineLevel="2" x14ac:dyDescent="0.25">
      <c r="A8810" s="3" t="str">
        <f>HYPERLINK("http://mystore1.ru/price_items/search?utf8=%E2%9C%93&amp;oem=8374AGABMVW1P","8374AGABMVW1P")</f>
        <v>8374AGABMVW1P</v>
      </c>
      <c r="B8810" s="1" t="s">
        <v>16749</v>
      </c>
      <c r="C8810" s="9" t="s">
        <v>6175</v>
      </c>
      <c r="D8810" s="14" t="s">
        <v>16750</v>
      </c>
      <c r="E8810" s="9" t="s">
        <v>8</v>
      </c>
    </row>
    <row r="8811" spans="1:5" ht="15" customHeight="1" outlineLevel="2" x14ac:dyDescent="0.25">
      <c r="A8811" s="3" t="str">
        <f>HYPERLINK("http://mystore1.ru/price_items/search?utf8=%E2%9C%93&amp;oem=8374AGAMW1P","8374AGAMW1P")</f>
        <v>8374AGAMW1P</v>
      </c>
      <c r="B8811" s="1" t="s">
        <v>16751</v>
      </c>
      <c r="C8811" s="9" t="s">
        <v>6175</v>
      </c>
      <c r="D8811" s="14" t="s">
        <v>16752</v>
      </c>
      <c r="E8811" s="9" t="s">
        <v>8</v>
      </c>
    </row>
    <row r="8812" spans="1:5" ht="15" customHeight="1" outlineLevel="2" x14ac:dyDescent="0.25">
      <c r="A8812" s="3" t="str">
        <f>HYPERLINK("http://mystore1.ru/price_items/search?utf8=%E2%9C%93&amp;oem=8374AGAW","8374AGAW")</f>
        <v>8374AGAW</v>
      </c>
      <c r="B8812" s="1" t="s">
        <v>16753</v>
      </c>
      <c r="C8812" s="9" t="s">
        <v>6175</v>
      </c>
      <c r="D8812" s="14" t="s">
        <v>16754</v>
      </c>
      <c r="E8812" s="9" t="s">
        <v>8</v>
      </c>
    </row>
    <row r="8813" spans="1:5" ht="15" customHeight="1" outlineLevel="2" x14ac:dyDescent="0.25">
      <c r="A8813" s="3" t="str">
        <f>HYPERLINK("http://mystore1.ru/price_items/search?utf8=%E2%9C%93&amp;oem=8374AGNMW1P","8374AGNMW1P")</f>
        <v>8374AGNMW1P</v>
      </c>
      <c r="B8813" s="1" t="s">
        <v>16755</v>
      </c>
      <c r="C8813" s="9" t="s">
        <v>6175</v>
      </c>
      <c r="D8813" s="14" t="s">
        <v>16756</v>
      </c>
      <c r="E8813" s="9" t="s">
        <v>8</v>
      </c>
    </row>
    <row r="8814" spans="1:5" ht="15" customHeight="1" outlineLevel="2" x14ac:dyDescent="0.25">
      <c r="A8814" s="3" t="str">
        <f>HYPERLINK("http://mystore1.ru/price_items/search?utf8=%E2%9C%93&amp;oem=8374AGNW","8374AGNW")</f>
        <v>8374AGNW</v>
      </c>
      <c r="B8814" s="1" t="s">
        <v>16757</v>
      </c>
      <c r="C8814" s="9" t="s">
        <v>6175</v>
      </c>
      <c r="D8814" s="14" t="s">
        <v>16758</v>
      </c>
      <c r="E8814" s="9" t="s">
        <v>8</v>
      </c>
    </row>
    <row r="8815" spans="1:5" ht="15" customHeight="1" outlineLevel="2" x14ac:dyDescent="0.25">
      <c r="A8815" s="3" t="str">
        <f>HYPERLINK("http://mystore1.ru/price_items/search?utf8=%E2%9C%93&amp;oem=8374LGNH5FDW","8374LGNH5FDW")</f>
        <v>8374LGNH5FDW</v>
      </c>
      <c r="B8815" s="1" t="s">
        <v>16759</v>
      </c>
      <c r="C8815" s="9" t="s">
        <v>6175</v>
      </c>
      <c r="D8815" s="14" t="s">
        <v>16760</v>
      </c>
      <c r="E8815" s="9" t="s">
        <v>11</v>
      </c>
    </row>
    <row r="8816" spans="1:5" ht="15" customHeight="1" outlineLevel="2" x14ac:dyDescent="0.25">
      <c r="A8816" s="3" t="str">
        <f>HYPERLINK("http://mystore1.ru/price_items/search?utf8=%E2%9C%93&amp;oem=8374LGSH5FQZ","8374LGSH5FQZ")</f>
        <v>8374LGSH5FQZ</v>
      </c>
      <c r="B8816" s="1" t="s">
        <v>16761</v>
      </c>
      <c r="C8816" s="9" t="s">
        <v>6175</v>
      </c>
      <c r="D8816" s="14" t="s">
        <v>16762</v>
      </c>
      <c r="E8816" s="9" t="s">
        <v>11</v>
      </c>
    </row>
    <row r="8817" spans="1:5" ht="15" customHeight="1" outlineLevel="2" x14ac:dyDescent="0.25">
      <c r="A8817" s="3" t="str">
        <f>HYPERLINK("http://mystore1.ru/price_items/search?utf8=%E2%9C%93&amp;oem=8374LGNH5RDW","8374LGNH5RDW")</f>
        <v>8374LGNH5RDW</v>
      </c>
      <c r="B8817" s="1" t="s">
        <v>16763</v>
      </c>
      <c r="C8817" s="9" t="s">
        <v>6175</v>
      </c>
      <c r="D8817" s="14" t="s">
        <v>16764</v>
      </c>
      <c r="E8817" s="9" t="s">
        <v>11</v>
      </c>
    </row>
    <row r="8818" spans="1:5" ht="15" customHeight="1" outlineLevel="2" x14ac:dyDescent="0.25">
      <c r="A8818" s="3" t="str">
        <f>HYPERLINK("http://mystore1.ru/price_items/search?utf8=%E2%9C%93&amp;oem=8374LYPH5RDW","8374LYPH5RDW")</f>
        <v>8374LYPH5RDW</v>
      </c>
      <c r="B8818" s="1" t="s">
        <v>16765</v>
      </c>
      <c r="C8818" s="9" t="s">
        <v>25</v>
      </c>
      <c r="D8818" s="14" t="s">
        <v>16766</v>
      </c>
      <c r="E8818" s="9" t="s">
        <v>11</v>
      </c>
    </row>
    <row r="8819" spans="1:5" ht="15" customHeight="1" outlineLevel="2" x14ac:dyDescent="0.25">
      <c r="A8819" s="3" t="str">
        <f>HYPERLINK("http://mystore1.ru/price_items/search?utf8=%E2%9C%93&amp;oem=8374LYPH5RV","8374LYPH5RV")</f>
        <v>8374LYPH5RV</v>
      </c>
      <c r="B8819" s="1" t="s">
        <v>16767</v>
      </c>
      <c r="C8819" s="9" t="s">
        <v>25</v>
      </c>
      <c r="D8819" s="14" t="s">
        <v>16768</v>
      </c>
      <c r="E8819" s="9" t="s">
        <v>11</v>
      </c>
    </row>
    <row r="8820" spans="1:5" ht="15" customHeight="1" outlineLevel="2" x14ac:dyDescent="0.25">
      <c r="A8820" s="3" t="str">
        <f>HYPERLINK("http://mystore1.ru/price_items/search?utf8=%E2%9C%93&amp;oem=8374LGSH5RV","8374LGSH5RV")</f>
        <v>8374LGSH5RV</v>
      </c>
      <c r="B8820" s="1" t="s">
        <v>16769</v>
      </c>
      <c r="C8820" s="9" t="s">
        <v>6175</v>
      </c>
      <c r="D8820" s="14" t="s">
        <v>16770</v>
      </c>
      <c r="E8820" s="9" t="s">
        <v>11</v>
      </c>
    </row>
    <row r="8821" spans="1:5" ht="15" customHeight="1" outlineLevel="2" x14ac:dyDescent="0.25">
      <c r="A8821" s="3" t="str">
        <f>HYPERLINK("http://mystore1.ru/price_items/search?utf8=%E2%9C%93&amp;oem=8374RGNH5FDW","8374RGNH5FDW")</f>
        <v>8374RGNH5FDW</v>
      </c>
      <c r="B8821" s="1" t="s">
        <v>16771</v>
      </c>
      <c r="C8821" s="9" t="s">
        <v>6175</v>
      </c>
      <c r="D8821" s="14" t="s">
        <v>16772</v>
      </c>
      <c r="E8821" s="9" t="s">
        <v>11</v>
      </c>
    </row>
    <row r="8822" spans="1:5" ht="15" customHeight="1" outlineLevel="2" x14ac:dyDescent="0.25">
      <c r="A8822" s="3" t="str">
        <f>HYPERLINK("http://mystore1.ru/price_items/search?utf8=%E2%9C%93&amp;oem=8374RGSH5FQZ","8374RGSH5FQZ")</f>
        <v>8374RGSH5FQZ</v>
      </c>
      <c r="B8822" s="1" t="s">
        <v>16773</v>
      </c>
      <c r="C8822" s="9" t="s">
        <v>6175</v>
      </c>
      <c r="D8822" s="14" t="s">
        <v>16774</v>
      </c>
      <c r="E8822" s="9" t="s">
        <v>11</v>
      </c>
    </row>
    <row r="8823" spans="1:5" ht="15" customHeight="1" outlineLevel="2" x14ac:dyDescent="0.25">
      <c r="A8823" s="3" t="str">
        <f>HYPERLINK("http://mystore1.ru/price_items/search?utf8=%E2%9C%93&amp;oem=8374RGNH5RDW","8374RGNH5RDW")</f>
        <v>8374RGNH5RDW</v>
      </c>
      <c r="B8823" s="1" t="s">
        <v>16775</v>
      </c>
      <c r="C8823" s="9" t="s">
        <v>6175</v>
      </c>
      <c r="D8823" s="14" t="s">
        <v>16776</v>
      </c>
      <c r="E8823" s="9" t="s">
        <v>11</v>
      </c>
    </row>
    <row r="8824" spans="1:5" ht="15" customHeight="1" outlineLevel="2" x14ac:dyDescent="0.25">
      <c r="A8824" s="3" t="str">
        <f>HYPERLINK("http://mystore1.ru/price_items/search?utf8=%E2%9C%93&amp;oem=8374RYPH5RDW","8374RYPH5RDW")</f>
        <v>8374RYPH5RDW</v>
      </c>
      <c r="B8824" s="1" t="s">
        <v>16777</v>
      </c>
      <c r="C8824" s="9" t="s">
        <v>6175</v>
      </c>
      <c r="D8824" s="14" t="s">
        <v>16778</v>
      </c>
      <c r="E8824" s="9" t="s">
        <v>11</v>
      </c>
    </row>
    <row r="8825" spans="1:5" ht="15" customHeight="1" outlineLevel="2" x14ac:dyDescent="0.25">
      <c r="A8825" s="3" t="str">
        <f>HYPERLINK("http://mystore1.ru/price_items/search?utf8=%E2%9C%93&amp;oem=8374RYPH5RV","8374RYPH5RV")</f>
        <v>8374RYPH5RV</v>
      </c>
      <c r="B8825" s="1" t="s">
        <v>16779</v>
      </c>
      <c r="C8825" s="9" t="s">
        <v>6175</v>
      </c>
      <c r="D8825" s="14" t="s">
        <v>16780</v>
      </c>
      <c r="E8825" s="9" t="s">
        <v>11</v>
      </c>
    </row>
    <row r="8826" spans="1:5" ht="15" customHeight="1" outlineLevel="2" x14ac:dyDescent="0.25">
      <c r="A8826" s="3" t="str">
        <f>HYPERLINK("http://mystore1.ru/price_items/search?utf8=%E2%9C%93&amp;oem=8374RGSH5RV","8374RGSH5RV")</f>
        <v>8374RGSH5RV</v>
      </c>
      <c r="B8826" s="1" t="s">
        <v>16781</v>
      </c>
      <c r="C8826" s="9" t="s">
        <v>6175</v>
      </c>
      <c r="D8826" s="14" t="s">
        <v>16782</v>
      </c>
      <c r="E8826" s="9" t="s">
        <v>11</v>
      </c>
    </row>
    <row r="8827" spans="1:5" outlineLevel="1" x14ac:dyDescent="0.25">
      <c r="A8827" s="2"/>
      <c r="B8827" s="6" t="s">
        <v>16783</v>
      </c>
      <c r="C8827" s="8"/>
      <c r="D8827" s="8"/>
      <c r="E8827" s="8"/>
    </row>
    <row r="8828" spans="1:5" ht="15" customHeight="1" outlineLevel="2" x14ac:dyDescent="0.25">
      <c r="A8828" s="3" t="str">
        <f>HYPERLINK("http://mystore1.ru/price_items/search?utf8=%E2%9C%93&amp;oem=8305AGN","8305AGN")</f>
        <v>8305AGN</v>
      </c>
      <c r="B8828" s="1" t="s">
        <v>16784</v>
      </c>
      <c r="C8828" s="9" t="s">
        <v>439</v>
      </c>
      <c r="D8828" s="14" t="s">
        <v>16785</v>
      </c>
      <c r="E8828" s="9" t="s">
        <v>8</v>
      </c>
    </row>
    <row r="8829" spans="1:5" ht="15" customHeight="1" outlineLevel="2" x14ac:dyDescent="0.25">
      <c r="A8829" s="3" t="str">
        <f>HYPERLINK("http://mystore1.ru/price_items/search?utf8=%E2%9C%93&amp;oem=8305AGNBL","8305AGNBL")</f>
        <v>8305AGNBL</v>
      </c>
      <c r="B8829" s="1" t="s">
        <v>16786</v>
      </c>
      <c r="C8829" s="9" t="s">
        <v>439</v>
      </c>
      <c r="D8829" s="14" t="s">
        <v>16787</v>
      </c>
      <c r="E8829" s="9" t="s">
        <v>8</v>
      </c>
    </row>
    <row r="8830" spans="1:5" ht="15" customHeight="1" outlineLevel="2" x14ac:dyDescent="0.25">
      <c r="A8830" s="3" t="str">
        <f>HYPERLINK("http://mystore1.ru/price_items/search?utf8=%E2%9C%93&amp;oem=8305AGNGN","8305AGNGN")</f>
        <v>8305AGNGN</v>
      </c>
      <c r="B8830" s="1" t="s">
        <v>16788</v>
      </c>
      <c r="C8830" s="9" t="s">
        <v>439</v>
      </c>
      <c r="D8830" s="14" t="s">
        <v>16789</v>
      </c>
      <c r="E8830" s="9" t="s">
        <v>8</v>
      </c>
    </row>
    <row r="8831" spans="1:5" ht="15" customHeight="1" outlineLevel="2" x14ac:dyDescent="0.25">
      <c r="A8831" s="3" t="str">
        <f>HYPERLINK("http://mystore1.ru/price_items/search?utf8=%E2%9C%93&amp;oem=8305AGNGNH","8305AGNGNH")</f>
        <v>8305AGNGNH</v>
      </c>
      <c r="B8831" s="1" t="s">
        <v>16790</v>
      </c>
      <c r="C8831" s="9" t="s">
        <v>439</v>
      </c>
      <c r="D8831" s="14" t="s">
        <v>16791</v>
      </c>
      <c r="E8831" s="9" t="s">
        <v>8</v>
      </c>
    </row>
    <row r="8832" spans="1:5" ht="15" customHeight="1" outlineLevel="2" x14ac:dyDescent="0.25">
      <c r="A8832" s="3" t="str">
        <f>HYPERLINK("http://mystore1.ru/price_items/search?utf8=%E2%9C%93&amp;oem=8305AGNH","8305AGNH")</f>
        <v>8305AGNH</v>
      </c>
      <c r="B8832" s="1" t="s">
        <v>16792</v>
      </c>
      <c r="C8832" s="9" t="s">
        <v>439</v>
      </c>
      <c r="D8832" s="14" t="s">
        <v>16793</v>
      </c>
      <c r="E8832" s="9" t="s">
        <v>8</v>
      </c>
    </row>
    <row r="8833" spans="1:5" ht="15" customHeight="1" outlineLevel="2" x14ac:dyDescent="0.25">
      <c r="A8833" s="3" t="str">
        <f>HYPERLINK("http://mystore1.ru/price_items/search?utf8=%E2%9C%93&amp;oem=8305ASMH","8305ASMH")</f>
        <v>8305ASMH</v>
      </c>
      <c r="B8833" s="1" t="s">
        <v>16794</v>
      </c>
      <c r="C8833" s="9" t="s">
        <v>25</v>
      </c>
      <c r="D8833" s="14" t="s">
        <v>16795</v>
      </c>
      <c r="E8833" s="9" t="s">
        <v>27</v>
      </c>
    </row>
    <row r="8834" spans="1:5" ht="15" customHeight="1" outlineLevel="2" x14ac:dyDescent="0.25">
      <c r="A8834" s="3" t="str">
        <f>HYPERLINK("http://mystore1.ru/price_items/search?utf8=%E2%9C%93&amp;oem=8305BGNE","8305BGNE")</f>
        <v>8305BGNE</v>
      </c>
      <c r="B8834" s="1" t="s">
        <v>16796</v>
      </c>
      <c r="C8834" s="9" t="s">
        <v>439</v>
      </c>
      <c r="D8834" s="14" t="s">
        <v>16797</v>
      </c>
      <c r="E8834" s="9" t="s">
        <v>30</v>
      </c>
    </row>
    <row r="8835" spans="1:5" ht="15" customHeight="1" outlineLevel="2" x14ac:dyDescent="0.25">
      <c r="A8835" s="3" t="str">
        <f>HYPERLINK("http://mystore1.ru/price_items/search?utf8=%E2%9C%93&amp;oem=8305BGNHB","8305BGNHB")</f>
        <v>8305BGNHB</v>
      </c>
      <c r="B8835" s="1" t="s">
        <v>16798</v>
      </c>
      <c r="C8835" s="9" t="s">
        <v>439</v>
      </c>
      <c r="D8835" s="14" t="s">
        <v>16799</v>
      </c>
      <c r="E8835" s="9" t="s">
        <v>30</v>
      </c>
    </row>
    <row r="8836" spans="1:5" ht="15" customHeight="1" outlineLevel="2" x14ac:dyDescent="0.25">
      <c r="A8836" s="3" t="str">
        <f>HYPERLINK("http://mystore1.ru/price_items/search?utf8=%E2%9C%93&amp;oem=8305BGNSW","8305BGNSW")</f>
        <v>8305BGNSW</v>
      </c>
      <c r="B8836" s="1" t="s">
        <v>16800</v>
      </c>
      <c r="C8836" s="9" t="s">
        <v>439</v>
      </c>
      <c r="D8836" s="14" t="s">
        <v>16801</v>
      </c>
      <c r="E8836" s="9" t="s">
        <v>30</v>
      </c>
    </row>
    <row r="8837" spans="1:5" ht="15" customHeight="1" outlineLevel="2" x14ac:dyDescent="0.25">
      <c r="A8837" s="3" t="str">
        <f>HYPERLINK("http://mystore1.ru/price_items/search?utf8=%E2%9C%93&amp;oem=8305LGNH5FDW","8305LGNH5FDW")</f>
        <v>8305LGNH5FDW</v>
      </c>
      <c r="B8837" s="1" t="s">
        <v>16802</v>
      </c>
      <c r="C8837" s="9" t="s">
        <v>439</v>
      </c>
      <c r="D8837" s="14" t="s">
        <v>16803</v>
      </c>
      <c r="E8837" s="9" t="s">
        <v>11</v>
      </c>
    </row>
    <row r="8838" spans="1:5" ht="15" customHeight="1" outlineLevel="2" x14ac:dyDescent="0.25">
      <c r="A8838" s="3" t="str">
        <f>HYPERLINK("http://mystore1.ru/price_items/search?utf8=%E2%9C%93&amp;oem=8305LGNS4RDW","8305LGNS4RDW")</f>
        <v>8305LGNS4RDW</v>
      </c>
      <c r="B8838" s="1" t="s">
        <v>16804</v>
      </c>
      <c r="C8838" s="9" t="s">
        <v>439</v>
      </c>
      <c r="D8838" s="14" t="s">
        <v>16805</v>
      </c>
      <c r="E8838" s="9" t="s">
        <v>11</v>
      </c>
    </row>
    <row r="8839" spans="1:5" ht="15" customHeight="1" outlineLevel="2" x14ac:dyDescent="0.25">
      <c r="A8839" s="3" t="str">
        <f>HYPERLINK("http://mystore1.ru/price_items/search?utf8=%E2%9C%93&amp;oem=8305LGNS4RV","8305LGNS4RV")</f>
        <v>8305LGNS4RV</v>
      </c>
      <c r="B8839" s="1" t="s">
        <v>16806</v>
      </c>
      <c r="C8839" s="9" t="s">
        <v>439</v>
      </c>
      <c r="D8839" s="14" t="s">
        <v>16807</v>
      </c>
      <c r="E8839" s="9" t="s">
        <v>11</v>
      </c>
    </row>
    <row r="8840" spans="1:5" ht="15" customHeight="1" outlineLevel="2" x14ac:dyDescent="0.25">
      <c r="A8840" s="3" t="str">
        <f>HYPERLINK("http://mystore1.ru/price_items/search?utf8=%E2%9C%93&amp;oem=8305RGNH5FDW","8305RGNH5FDW")</f>
        <v>8305RGNH5FDW</v>
      </c>
      <c r="B8840" s="1" t="s">
        <v>16808</v>
      </c>
      <c r="C8840" s="9" t="s">
        <v>439</v>
      </c>
      <c r="D8840" s="14" t="s">
        <v>16809</v>
      </c>
      <c r="E8840" s="9" t="s">
        <v>11</v>
      </c>
    </row>
    <row r="8841" spans="1:5" ht="15" customHeight="1" outlineLevel="2" x14ac:dyDescent="0.25">
      <c r="A8841" s="3" t="str">
        <f>HYPERLINK("http://mystore1.ru/price_items/search?utf8=%E2%9C%93&amp;oem=8305RGNS4RDW","8305RGNS4RDW")</f>
        <v>8305RGNS4RDW</v>
      </c>
      <c r="B8841" s="1" t="s">
        <v>16810</v>
      </c>
      <c r="C8841" s="9" t="s">
        <v>439</v>
      </c>
      <c r="D8841" s="14" t="s">
        <v>16811</v>
      </c>
      <c r="E8841" s="9" t="s">
        <v>11</v>
      </c>
    </row>
    <row r="8842" spans="1:5" ht="15" customHeight="1" outlineLevel="2" x14ac:dyDescent="0.25">
      <c r="A8842" s="3" t="str">
        <f>HYPERLINK("http://mystore1.ru/price_items/search?utf8=%E2%9C%93&amp;oem=8305RGNS4RV","8305RGNS4RV")</f>
        <v>8305RGNS4RV</v>
      </c>
      <c r="B8842" s="1" t="s">
        <v>16812</v>
      </c>
      <c r="C8842" s="9" t="s">
        <v>439</v>
      </c>
      <c r="D8842" s="14" t="s">
        <v>16813</v>
      </c>
      <c r="E8842" s="9" t="s">
        <v>11</v>
      </c>
    </row>
    <row r="8843" spans="1:5" outlineLevel="1" x14ac:dyDescent="0.25">
      <c r="A8843" s="2"/>
      <c r="B8843" s="6" t="s">
        <v>16814</v>
      </c>
      <c r="C8843" s="8"/>
      <c r="D8843" s="8"/>
      <c r="E8843" s="8"/>
    </row>
    <row r="8844" spans="1:5" ht="15" customHeight="1" outlineLevel="2" x14ac:dyDescent="0.25">
      <c r="A8844" s="3" t="str">
        <f>HYPERLINK("http://mystore1.ru/price_items/search?utf8=%E2%9C%93&amp;oem=8333AGN","8333AGN")</f>
        <v>8333AGN</v>
      </c>
      <c r="B8844" s="1" t="s">
        <v>16815</v>
      </c>
      <c r="C8844" s="9" t="s">
        <v>1147</v>
      </c>
      <c r="D8844" s="14" t="s">
        <v>16816</v>
      </c>
      <c r="E8844" s="9" t="s">
        <v>8</v>
      </c>
    </row>
    <row r="8845" spans="1:5" ht="15" customHeight="1" outlineLevel="2" x14ac:dyDescent="0.25">
      <c r="A8845" s="3" t="str">
        <f>HYPERLINK("http://mystore1.ru/price_items/search?utf8=%E2%9C%93&amp;oem=8333AGN1B","8333AGN1B")</f>
        <v>8333AGN1B</v>
      </c>
      <c r="B8845" s="1" t="s">
        <v>16817</v>
      </c>
      <c r="C8845" s="9" t="s">
        <v>1147</v>
      </c>
      <c r="D8845" s="14" t="s">
        <v>16818</v>
      </c>
      <c r="E8845" s="9" t="s">
        <v>8</v>
      </c>
    </row>
    <row r="8846" spans="1:5" ht="15" customHeight="1" outlineLevel="2" x14ac:dyDescent="0.25">
      <c r="A8846" s="3" t="str">
        <f>HYPERLINK("http://mystore1.ru/price_items/search?utf8=%E2%9C%93&amp;oem=8333ASMVT","8333ASMVT")</f>
        <v>8333ASMVT</v>
      </c>
      <c r="B8846" s="1" t="s">
        <v>16819</v>
      </c>
      <c r="C8846" s="9" t="s">
        <v>25</v>
      </c>
      <c r="D8846" s="14" t="s">
        <v>16820</v>
      </c>
      <c r="E8846" s="9" t="s">
        <v>27</v>
      </c>
    </row>
    <row r="8847" spans="1:5" outlineLevel="1" x14ac:dyDescent="0.25">
      <c r="A8847" s="2"/>
      <c r="B8847" s="6" t="s">
        <v>16821</v>
      </c>
      <c r="C8847" s="8"/>
      <c r="D8847" s="8"/>
      <c r="E8847" s="8"/>
    </row>
    <row r="8848" spans="1:5" ht="15" customHeight="1" outlineLevel="2" x14ac:dyDescent="0.25">
      <c r="A8848" s="3" t="str">
        <f>HYPERLINK("http://mystore1.ru/price_items/search?utf8=%E2%9C%93&amp;oem=8346AGAHM6P","8346AGAHM6P")</f>
        <v>8346AGAHM6P</v>
      </c>
      <c r="B8848" s="1" t="s">
        <v>16822</v>
      </c>
      <c r="C8848" s="9" t="s">
        <v>1362</v>
      </c>
      <c r="D8848" s="14" t="s">
        <v>16823</v>
      </c>
      <c r="E8848" s="9" t="s">
        <v>8</v>
      </c>
    </row>
    <row r="8849" spans="1:5" ht="15" customHeight="1" outlineLevel="2" x14ac:dyDescent="0.25">
      <c r="A8849" s="3" t="str">
        <f>HYPERLINK("http://mystore1.ru/price_items/search?utf8=%E2%9C%93&amp;oem=8346AGN","8346AGN")</f>
        <v>8346AGN</v>
      </c>
      <c r="B8849" s="1" t="s">
        <v>16824</v>
      </c>
      <c r="C8849" s="9" t="s">
        <v>1362</v>
      </c>
      <c r="D8849" s="14" t="s">
        <v>16825</v>
      </c>
      <c r="E8849" s="9" t="s">
        <v>8</v>
      </c>
    </row>
    <row r="8850" spans="1:5" ht="15" customHeight="1" outlineLevel="2" x14ac:dyDescent="0.25">
      <c r="A8850" s="3" t="str">
        <f>HYPERLINK("http://mystore1.ru/price_items/search?utf8=%E2%9C%93&amp;oem=8346AGNH","8346AGNH")</f>
        <v>8346AGNH</v>
      </c>
      <c r="B8850" s="1" t="s">
        <v>16826</v>
      </c>
      <c r="C8850" s="9" t="s">
        <v>1362</v>
      </c>
      <c r="D8850" s="14" t="s">
        <v>16827</v>
      </c>
      <c r="E8850" s="9" t="s">
        <v>8</v>
      </c>
    </row>
    <row r="8851" spans="1:5" ht="15" customHeight="1" outlineLevel="2" x14ac:dyDescent="0.25">
      <c r="A8851" s="3" t="str">
        <f>HYPERLINK("http://mystore1.ru/price_items/search?utf8=%E2%9C%93&amp;oem=8346AGNHM1P","8346AGNHM1P")</f>
        <v>8346AGNHM1P</v>
      </c>
      <c r="B8851" s="1" t="s">
        <v>16828</v>
      </c>
      <c r="C8851" s="9" t="s">
        <v>1590</v>
      </c>
      <c r="D8851" s="14" t="s">
        <v>16829</v>
      </c>
      <c r="E8851" s="9" t="s">
        <v>8</v>
      </c>
    </row>
    <row r="8852" spans="1:5" ht="15" customHeight="1" outlineLevel="2" x14ac:dyDescent="0.25">
      <c r="A8852" s="3" t="str">
        <f>HYPERLINK("http://mystore1.ru/price_items/search?utf8=%E2%9C%93&amp;oem=8346AGNHM6P","8346AGNHM6P")</f>
        <v>8346AGNHM6P</v>
      </c>
      <c r="B8852" s="1" t="s">
        <v>16830</v>
      </c>
      <c r="C8852" s="9" t="s">
        <v>1362</v>
      </c>
      <c r="D8852" s="14" t="s">
        <v>16831</v>
      </c>
      <c r="E8852" s="9" t="s">
        <v>8</v>
      </c>
    </row>
    <row r="8853" spans="1:5" ht="15" customHeight="1" outlineLevel="2" x14ac:dyDescent="0.25">
      <c r="A8853" s="3" t="str">
        <f>HYPERLINK("http://mystore1.ru/price_items/search?utf8=%E2%9C%93&amp;oem=8346AGNM1P","8346AGNM1P")</f>
        <v>8346AGNM1P</v>
      </c>
      <c r="B8853" s="1" t="s">
        <v>16832</v>
      </c>
      <c r="C8853" s="9" t="s">
        <v>1590</v>
      </c>
      <c r="D8853" s="14" t="s">
        <v>16833</v>
      </c>
      <c r="E8853" s="9" t="s">
        <v>8</v>
      </c>
    </row>
    <row r="8854" spans="1:5" ht="15" customHeight="1" outlineLevel="2" x14ac:dyDescent="0.25">
      <c r="A8854" s="3" t="str">
        <f>HYPERLINK("http://mystore1.ru/price_items/search?utf8=%E2%9C%93&amp;oem=8346AGNMV1P","8346AGNMV1P")</f>
        <v>8346AGNMV1P</v>
      </c>
      <c r="B8854" s="1" t="s">
        <v>16834</v>
      </c>
      <c r="C8854" s="9" t="s">
        <v>1590</v>
      </c>
      <c r="D8854" s="14" t="s">
        <v>16835</v>
      </c>
      <c r="E8854" s="9" t="s">
        <v>8</v>
      </c>
    </row>
    <row r="8855" spans="1:5" ht="15" customHeight="1" outlineLevel="2" x14ac:dyDescent="0.25">
      <c r="A8855" s="3" t="str">
        <f>HYPERLINK("http://mystore1.ru/price_items/search?utf8=%E2%9C%93&amp;oem=8346AGNMV6P","8346AGNMV6P")</f>
        <v>8346AGNMV6P</v>
      </c>
      <c r="B8855" s="1" t="s">
        <v>16836</v>
      </c>
      <c r="C8855" s="9" t="s">
        <v>1362</v>
      </c>
      <c r="D8855" s="14" t="s">
        <v>16837</v>
      </c>
      <c r="E8855" s="9" t="s">
        <v>8</v>
      </c>
    </row>
    <row r="8856" spans="1:5" ht="15" customHeight="1" outlineLevel="2" x14ac:dyDescent="0.25">
      <c r="A8856" s="3" t="str">
        <f>HYPERLINK("http://mystore1.ru/price_items/search?utf8=%E2%9C%93&amp;oem=8346AGNV","8346AGNV")</f>
        <v>8346AGNV</v>
      </c>
      <c r="B8856" s="1" t="s">
        <v>16838</v>
      </c>
      <c r="C8856" s="9" t="s">
        <v>1362</v>
      </c>
      <c r="D8856" s="14" t="s">
        <v>16839</v>
      </c>
      <c r="E8856" s="9" t="s">
        <v>8</v>
      </c>
    </row>
    <row r="8857" spans="1:5" ht="15" customHeight="1" outlineLevel="2" x14ac:dyDescent="0.25">
      <c r="A8857" s="3" t="str">
        <f>HYPERLINK("http://mystore1.ru/price_items/search?utf8=%E2%9C%93&amp;oem=8346ASMH","8346ASMH")</f>
        <v>8346ASMH</v>
      </c>
      <c r="B8857" s="1" t="s">
        <v>16840</v>
      </c>
      <c r="C8857" s="9" t="s">
        <v>25</v>
      </c>
      <c r="D8857" s="14" t="s">
        <v>16841</v>
      </c>
      <c r="E8857" s="9" t="s">
        <v>27</v>
      </c>
    </row>
    <row r="8858" spans="1:5" ht="15" customHeight="1" outlineLevel="2" x14ac:dyDescent="0.25">
      <c r="A8858" s="3" t="str">
        <f>HYPERLINK("http://mystore1.ru/price_items/search?utf8=%E2%9C%93&amp;oem=8346ASMH1H","8346ASMH1H")</f>
        <v>8346ASMH1H</v>
      </c>
      <c r="B8858" s="1" t="s">
        <v>16842</v>
      </c>
      <c r="C8858" s="9" t="s">
        <v>25</v>
      </c>
      <c r="D8858" s="14" t="s">
        <v>16843</v>
      </c>
      <c r="E8858" s="9" t="s">
        <v>27</v>
      </c>
    </row>
    <row r="8859" spans="1:5" ht="15" customHeight="1" outlineLevel="2" x14ac:dyDescent="0.25">
      <c r="A8859" s="3" t="str">
        <f>HYPERLINK("http://mystore1.ru/price_items/search?utf8=%E2%9C%93&amp;oem=8346BGNEW","8346BGNEW")</f>
        <v>8346BGNEW</v>
      </c>
      <c r="B8859" s="1" t="s">
        <v>16844</v>
      </c>
      <c r="C8859" s="9" t="s">
        <v>1362</v>
      </c>
      <c r="D8859" s="14" t="s">
        <v>16845</v>
      </c>
      <c r="E8859" s="9" t="s">
        <v>30</v>
      </c>
    </row>
    <row r="8860" spans="1:5" ht="15" customHeight="1" outlineLevel="2" x14ac:dyDescent="0.25">
      <c r="A8860" s="3" t="str">
        <f>HYPERLINK("http://mystore1.ru/price_items/search?utf8=%E2%9C%93&amp;oem=8346BGNHBW","8346BGNHBW")</f>
        <v>8346BGNHBW</v>
      </c>
      <c r="B8860" s="1" t="s">
        <v>16846</v>
      </c>
      <c r="C8860" s="9" t="s">
        <v>1362</v>
      </c>
      <c r="D8860" s="14" t="s">
        <v>16847</v>
      </c>
      <c r="E8860" s="9" t="s">
        <v>30</v>
      </c>
    </row>
    <row r="8861" spans="1:5" ht="15" customHeight="1" outlineLevel="2" x14ac:dyDescent="0.25">
      <c r="A8861" s="3" t="str">
        <f>HYPERLINK("http://mystore1.ru/price_items/search?utf8=%E2%9C%93&amp;oem=8346BGNSA","8346BGNSA")</f>
        <v>8346BGNSA</v>
      </c>
      <c r="B8861" s="1" t="s">
        <v>16848</v>
      </c>
      <c r="C8861" s="9" t="s">
        <v>1362</v>
      </c>
      <c r="D8861" s="14" t="s">
        <v>16849</v>
      </c>
      <c r="E8861" s="9" t="s">
        <v>30</v>
      </c>
    </row>
    <row r="8862" spans="1:5" ht="15" customHeight="1" outlineLevel="2" x14ac:dyDescent="0.25">
      <c r="A8862" s="3" t="str">
        <f>HYPERLINK("http://mystore1.ru/price_items/search?utf8=%E2%9C%93&amp;oem=8346BYPEW","8346BYPEW")</f>
        <v>8346BYPEW</v>
      </c>
      <c r="B8862" s="1" t="s">
        <v>16850</v>
      </c>
      <c r="C8862" s="9" t="s">
        <v>1362</v>
      </c>
      <c r="D8862" s="14" t="s">
        <v>16851</v>
      </c>
      <c r="E8862" s="9" t="s">
        <v>30</v>
      </c>
    </row>
    <row r="8863" spans="1:5" ht="15" customHeight="1" outlineLevel="2" x14ac:dyDescent="0.25">
      <c r="A8863" s="3" t="str">
        <f>HYPERLINK("http://mystore1.ru/price_items/search?utf8=%E2%9C%93&amp;oem=8346LGNE5RDW","8346LGNE5RDW")</f>
        <v>8346LGNE5RDW</v>
      </c>
      <c r="B8863" s="1" t="s">
        <v>16852</v>
      </c>
      <c r="C8863" s="9" t="s">
        <v>1362</v>
      </c>
      <c r="D8863" s="14" t="s">
        <v>16853</v>
      </c>
      <c r="E8863" s="9" t="s">
        <v>11</v>
      </c>
    </row>
    <row r="8864" spans="1:5" ht="15" customHeight="1" outlineLevel="2" x14ac:dyDescent="0.25">
      <c r="A8864" s="3" t="str">
        <f>HYPERLINK("http://mystore1.ru/price_items/search?utf8=%E2%9C%93&amp;oem=8346LGNE5RQZ","8346LGNE5RQZ")</f>
        <v>8346LGNE5RQZ</v>
      </c>
      <c r="B8864" s="1" t="s">
        <v>16854</v>
      </c>
      <c r="C8864" s="9" t="s">
        <v>1362</v>
      </c>
      <c r="D8864" s="14" t="s">
        <v>16855</v>
      </c>
      <c r="E8864" s="9" t="s">
        <v>11</v>
      </c>
    </row>
    <row r="8865" spans="1:5" ht="15" customHeight="1" outlineLevel="2" x14ac:dyDescent="0.25">
      <c r="A8865" s="3" t="str">
        <f>HYPERLINK("http://mystore1.ru/price_items/search?utf8=%E2%9C%93&amp;oem=8346LGNE5RV","8346LGNE5RV")</f>
        <v>8346LGNE5RV</v>
      </c>
      <c r="B8865" s="1" t="s">
        <v>16856</v>
      </c>
      <c r="C8865" s="9" t="s">
        <v>1362</v>
      </c>
      <c r="D8865" s="14" t="s">
        <v>16857</v>
      </c>
      <c r="E8865" s="9" t="s">
        <v>11</v>
      </c>
    </row>
    <row r="8866" spans="1:5" ht="15" customHeight="1" outlineLevel="2" x14ac:dyDescent="0.25">
      <c r="A8866" s="3" t="str">
        <f>HYPERLINK("http://mystore1.ru/price_items/search?utf8=%E2%9C%93&amp;oem=8346LGNH5FDW","8346LGNH5FDW")</f>
        <v>8346LGNH5FDW</v>
      </c>
      <c r="B8866" s="1" t="s">
        <v>16858</v>
      </c>
      <c r="C8866" s="9" t="s">
        <v>1362</v>
      </c>
      <c r="D8866" s="14" t="s">
        <v>16859</v>
      </c>
      <c r="E8866" s="9" t="s">
        <v>11</v>
      </c>
    </row>
    <row r="8867" spans="1:5" ht="15" customHeight="1" outlineLevel="2" x14ac:dyDescent="0.25">
      <c r="A8867" s="3" t="str">
        <f>HYPERLINK("http://mystore1.ru/price_items/search?utf8=%E2%9C%93&amp;oem=8346LGNH5RDW","8346LGNH5RDW")</f>
        <v>8346LGNH5RDW</v>
      </c>
      <c r="B8867" s="1" t="s">
        <v>16860</v>
      </c>
      <c r="C8867" s="9" t="s">
        <v>1362</v>
      </c>
      <c r="D8867" s="14" t="s">
        <v>16853</v>
      </c>
      <c r="E8867" s="9" t="s">
        <v>11</v>
      </c>
    </row>
    <row r="8868" spans="1:5" ht="15" customHeight="1" outlineLevel="2" x14ac:dyDescent="0.25">
      <c r="A8868" s="3" t="str">
        <f>HYPERLINK("http://mystore1.ru/price_items/search?utf8=%E2%9C%93&amp;oem=8346LGNH5RV","8346LGNH5RV")</f>
        <v>8346LGNH5RV</v>
      </c>
      <c r="B8868" s="1" t="s">
        <v>16861</v>
      </c>
      <c r="C8868" s="9" t="s">
        <v>1362</v>
      </c>
      <c r="D8868" s="14" t="s">
        <v>16862</v>
      </c>
      <c r="E8868" s="9" t="s">
        <v>11</v>
      </c>
    </row>
    <row r="8869" spans="1:5" ht="15" customHeight="1" outlineLevel="2" x14ac:dyDescent="0.25">
      <c r="A8869" s="3" t="str">
        <f>HYPERLINK("http://mystore1.ru/price_items/search?utf8=%E2%9C%93&amp;oem=8346LYPE5RDW","8346LYPE5RDW")</f>
        <v>8346LYPE5RDW</v>
      </c>
      <c r="B8869" s="1" t="s">
        <v>16863</v>
      </c>
      <c r="C8869" s="9" t="s">
        <v>1362</v>
      </c>
      <c r="D8869" s="14" t="s">
        <v>16853</v>
      </c>
      <c r="E8869" s="9" t="s">
        <v>11</v>
      </c>
    </row>
    <row r="8870" spans="1:5" ht="15" customHeight="1" outlineLevel="2" x14ac:dyDescent="0.25">
      <c r="A8870" s="3" t="str">
        <f>HYPERLINK("http://mystore1.ru/price_items/search?utf8=%E2%9C%93&amp;oem=8346LYPE5RQJZ","8346LYPE5RQJZ")</f>
        <v>8346LYPE5RQJZ</v>
      </c>
      <c r="B8870" s="1" t="s">
        <v>16864</v>
      </c>
      <c r="C8870" s="9" t="s">
        <v>1362</v>
      </c>
      <c r="D8870" s="14" t="s">
        <v>16865</v>
      </c>
      <c r="E8870" s="9" t="s">
        <v>11</v>
      </c>
    </row>
    <row r="8871" spans="1:5" ht="15" customHeight="1" outlineLevel="2" x14ac:dyDescent="0.25">
      <c r="A8871" s="3" t="str">
        <f>HYPERLINK("http://mystore1.ru/price_items/search?utf8=%E2%9C%93&amp;oem=8346LYPE5RQZ","8346LYPE5RQZ")</f>
        <v>8346LYPE5RQZ</v>
      </c>
      <c r="B8871" s="1" t="s">
        <v>16866</v>
      </c>
      <c r="C8871" s="9" t="s">
        <v>1362</v>
      </c>
      <c r="D8871" s="14" t="s">
        <v>16867</v>
      </c>
      <c r="E8871" s="9" t="s">
        <v>11</v>
      </c>
    </row>
    <row r="8872" spans="1:5" ht="15" customHeight="1" outlineLevel="2" x14ac:dyDescent="0.25">
      <c r="A8872" s="3" t="str">
        <f>HYPERLINK("http://mystore1.ru/price_items/search?utf8=%E2%9C%93&amp;oem=8346LYPE5RV","8346LYPE5RV")</f>
        <v>8346LYPE5RV</v>
      </c>
      <c r="B8872" s="1" t="s">
        <v>16868</v>
      </c>
      <c r="C8872" s="9" t="s">
        <v>1362</v>
      </c>
      <c r="D8872" s="14" t="s">
        <v>16869</v>
      </c>
      <c r="E8872" s="9" t="s">
        <v>11</v>
      </c>
    </row>
    <row r="8873" spans="1:5" ht="15" customHeight="1" outlineLevel="2" x14ac:dyDescent="0.25">
      <c r="A8873" s="3" t="str">
        <f>HYPERLINK("http://mystore1.ru/price_items/search?utf8=%E2%9C%93&amp;oem=8346RGNE5RDW","8346RGNE5RDW")</f>
        <v>8346RGNE5RDW</v>
      </c>
      <c r="B8873" s="1" t="s">
        <v>16870</v>
      </c>
      <c r="C8873" s="9" t="s">
        <v>1362</v>
      </c>
      <c r="D8873" s="14" t="s">
        <v>16871</v>
      </c>
      <c r="E8873" s="9" t="s">
        <v>11</v>
      </c>
    </row>
    <row r="8874" spans="1:5" ht="15" customHeight="1" outlineLevel="2" x14ac:dyDescent="0.25">
      <c r="A8874" s="3" t="str">
        <f>HYPERLINK("http://mystore1.ru/price_items/search?utf8=%E2%9C%93&amp;oem=8346RGNE5RQAZ","8346RGNE5RQAZ")</f>
        <v>8346RGNE5RQAZ</v>
      </c>
      <c r="B8874" s="1" t="s">
        <v>16872</v>
      </c>
      <c r="C8874" s="9" t="s">
        <v>1362</v>
      </c>
      <c r="D8874" s="14" t="s">
        <v>16873</v>
      </c>
      <c r="E8874" s="9" t="s">
        <v>11</v>
      </c>
    </row>
    <row r="8875" spans="1:5" ht="15" customHeight="1" outlineLevel="2" x14ac:dyDescent="0.25">
      <c r="A8875" s="3" t="str">
        <f>HYPERLINK("http://mystore1.ru/price_items/search?utf8=%E2%9C%93&amp;oem=8346RGNE5RV","8346RGNE5RV")</f>
        <v>8346RGNE5RV</v>
      </c>
      <c r="B8875" s="1" t="s">
        <v>16874</v>
      </c>
      <c r="C8875" s="9" t="s">
        <v>1362</v>
      </c>
      <c r="D8875" s="14" t="s">
        <v>16875</v>
      </c>
      <c r="E8875" s="9" t="s">
        <v>11</v>
      </c>
    </row>
    <row r="8876" spans="1:5" ht="15" customHeight="1" outlineLevel="2" x14ac:dyDescent="0.25">
      <c r="A8876" s="3" t="str">
        <f>HYPERLINK("http://mystore1.ru/price_items/search?utf8=%E2%9C%93&amp;oem=8346RGNH5FDW","8346RGNH5FDW")</f>
        <v>8346RGNH5FDW</v>
      </c>
      <c r="B8876" s="1" t="s">
        <v>16876</v>
      </c>
      <c r="C8876" s="9" t="s">
        <v>1362</v>
      </c>
      <c r="D8876" s="14" t="s">
        <v>16877</v>
      </c>
      <c r="E8876" s="9" t="s">
        <v>11</v>
      </c>
    </row>
    <row r="8877" spans="1:5" ht="15" customHeight="1" outlineLevel="2" x14ac:dyDescent="0.25">
      <c r="A8877" s="3" t="str">
        <f>HYPERLINK("http://mystore1.ru/price_items/search?utf8=%E2%9C%93&amp;oem=8346RGNH5RDW","8346RGNH5RDW")</f>
        <v>8346RGNH5RDW</v>
      </c>
      <c r="B8877" s="1" t="s">
        <v>16878</v>
      </c>
      <c r="C8877" s="9" t="s">
        <v>1362</v>
      </c>
      <c r="D8877" s="14" t="s">
        <v>16871</v>
      </c>
      <c r="E8877" s="9" t="s">
        <v>11</v>
      </c>
    </row>
    <row r="8878" spans="1:5" ht="15" customHeight="1" outlineLevel="2" x14ac:dyDescent="0.25">
      <c r="A8878" s="3" t="str">
        <f>HYPERLINK("http://mystore1.ru/price_items/search?utf8=%E2%9C%93&amp;oem=8346RGNH5RV","8346RGNH5RV")</f>
        <v>8346RGNH5RV</v>
      </c>
      <c r="B8878" s="1" t="s">
        <v>16879</v>
      </c>
      <c r="C8878" s="9" t="s">
        <v>1362</v>
      </c>
      <c r="D8878" s="14" t="s">
        <v>16880</v>
      </c>
      <c r="E8878" s="9" t="s">
        <v>11</v>
      </c>
    </row>
    <row r="8879" spans="1:5" ht="15" customHeight="1" outlineLevel="2" x14ac:dyDescent="0.25">
      <c r="A8879" s="3" t="str">
        <f>HYPERLINK("http://mystore1.ru/price_items/search?utf8=%E2%9C%93&amp;oem=8346RYPE5RDW","8346RYPE5RDW")</f>
        <v>8346RYPE5RDW</v>
      </c>
      <c r="B8879" s="1" t="s">
        <v>16881</v>
      </c>
      <c r="C8879" s="9" t="s">
        <v>1362</v>
      </c>
      <c r="D8879" s="14" t="s">
        <v>16871</v>
      </c>
      <c r="E8879" s="9" t="s">
        <v>11</v>
      </c>
    </row>
    <row r="8880" spans="1:5" ht="15" customHeight="1" outlineLevel="2" x14ac:dyDescent="0.25">
      <c r="A8880" s="3" t="str">
        <f>HYPERLINK("http://mystore1.ru/price_items/search?utf8=%E2%9C%93&amp;oem=8346RYPE5RQAZ","8346RYPE5RQAZ")</f>
        <v>8346RYPE5RQAZ</v>
      </c>
      <c r="B8880" s="1" t="s">
        <v>16882</v>
      </c>
      <c r="C8880" s="9" t="s">
        <v>1362</v>
      </c>
      <c r="D8880" s="14" t="s">
        <v>16883</v>
      </c>
      <c r="E8880" s="9" t="s">
        <v>11</v>
      </c>
    </row>
    <row r="8881" spans="1:5" ht="15" customHeight="1" outlineLevel="2" x14ac:dyDescent="0.25">
      <c r="A8881" s="3" t="str">
        <f>HYPERLINK("http://mystore1.ru/price_items/search?utf8=%E2%9C%93&amp;oem=8346RYPE5RQAZ1F","8346RYPE5RQAZ1F")</f>
        <v>8346RYPE5RQAZ1F</v>
      </c>
      <c r="B8881" s="1" t="s">
        <v>16884</v>
      </c>
      <c r="C8881" s="9" t="s">
        <v>1362</v>
      </c>
      <c r="D8881" s="14" t="s">
        <v>16885</v>
      </c>
      <c r="E8881" s="9" t="s">
        <v>11</v>
      </c>
    </row>
    <row r="8882" spans="1:5" ht="15" customHeight="1" outlineLevel="2" x14ac:dyDescent="0.25">
      <c r="A8882" s="3" t="str">
        <f>HYPERLINK("http://mystore1.ru/price_items/search?utf8=%E2%9C%93&amp;oem=8346RYPE5RV","8346RYPE5RV")</f>
        <v>8346RYPE5RV</v>
      </c>
      <c r="B8882" s="1" t="s">
        <v>16886</v>
      </c>
      <c r="C8882" s="9" t="s">
        <v>1362</v>
      </c>
      <c r="D8882" s="14" t="s">
        <v>16887</v>
      </c>
      <c r="E8882" s="9" t="s">
        <v>11</v>
      </c>
    </row>
    <row r="8883" spans="1:5" outlineLevel="1" x14ac:dyDescent="0.25">
      <c r="A8883" s="2"/>
      <c r="B8883" s="6" t="s">
        <v>16888</v>
      </c>
      <c r="C8883" s="8"/>
      <c r="D8883" s="8"/>
      <c r="E8883" s="8"/>
    </row>
    <row r="8884" spans="1:5" ht="15" customHeight="1" outlineLevel="2" x14ac:dyDescent="0.25">
      <c r="A8884" s="3" t="str">
        <f>HYPERLINK("http://mystore1.ru/price_items/search?utf8=%E2%9C%93&amp;oem=8379AGAMZ1B","8379AGAMZ1B")</f>
        <v>8379AGAMZ1B</v>
      </c>
      <c r="B8884" s="1" t="s">
        <v>16889</v>
      </c>
      <c r="C8884" s="9" t="s">
        <v>642</v>
      </c>
      <c r="D8884" s="14" t="s">
        <v>16890</v>
      </c>
      <c r="E8884" s="9" t="s">
        <v>8</v>
      </c>
    </row>
    <row r="8885" spans="1:5" ht="15" customHeight="1" outlineLevel="2" x14ac:dyDescent="0.25">
      <c r="A8885" s="3" t="str">
        <f>HYPERLINK("http://mystore1.ru/price_items/search?utf8=%E2%9C%93&amp;oem=8379AGAZ","8379AGAZ")</f>
        <v>8379AGAZ</v>
      </c>
      <c r="B8885" s="1" t="s">
        <v>16891</v>
      </c>
      <c r="C8885" s="9" t="s">
        <v>642</v>
      </c>
      <c r="D8885" s="14" t="s">
        <v>16892</v>
      </c>
      <c r="E8885" s="9" t="s">
        <v>8</v>
      </c>
    </row>
    <row r="8886" spans="1:5" ht="15" customHeight="1" outlineLevel="2" x14ac:dyDescent="0.25">
      <c r="A8886" s="3" t="str">
        <f>HYPERLINK("http://mystore1.ru/price_items/search?utf8=%E2%9C%93&amp;oem=8379AGAMPZ2V","8379AGAMPZ2V")</f>
        <v>8379AGAMPZ2V</v>
      </c>
      <c r="B8886" s="1" t="s">
        <v>16893</v>
      </c>
      <c r="C8886" s="9" t="s">
        <v>642</v>
      </c>
      <c r="D8886" s="14" t="s">
        <v>16894</v>
      </c>
      <c r="E8886" s="9" t="s">
        <v>8</v>
      </c>
    </row>
    <row r="8887" spans="1:5" ht="15" customHeight="1" outlineLevel="2" x14ac:dyDescent="0.25">
      <c r="A8887" s="3" t="str">
        <f>HYPERLINK("http://mystore1.ru/price_items/search?utf8=%E2%9C%93&amp;oem=8379AGAMZ1V","8379AGAMZ1V")</f>
        <v>8379AGAMZ1V</v>
      </c>
      <c r="B8887" s="1" t="s">
        <v>16895</v>
      </c>
      <c r="C8887" s="9" t="s">
        <v>642</v>
      </c>
      <c r="D8887" s="14" t="s">
        <v>16896</v>
      </c>
      <c r="E8887" s="9" t="s">
        <v>8</v>
      </c>
    </row>
    <row r="8888" spans="1:5" ht="15" customHeight="1" outlineLevel="2" x14ac:dyDescent="0.25">
      <c r="A8888" s="3" t="str">
        <f>HYPERLINK("http://mystore1.ru/price_items/search?utf8=%E2%9C%93&amp;oem=8379AGAHMZ1B","8379AGAHMZ1B")</f>
        <v>8379AGAHMZ1B</v>
      </c>
      <c r="B8888" s="1" t="s">
        <v>16897</v>
      </c>
      <c r="C8888" s="9" t="s">
        <v>642</v>
      </c>
      <c r="D8888" s="14" t="s">
        <v>16898</v>
      </c>
      <c r="E8888" s="9" t="s">
        <v>8</v>
      </c>
    </row>
    <row r="8889" spans="1:5" ht="15" customHeight="1" outlineLevel="2" x14ac:dyDescent="0.25">
      <c r="A8889" s="3" t="str">
        <f>HYPERLINK("http://mystore1.ru/price_items/search?utf8=%E2%9C%93&amp;oem=8379AGACHMPZ2V","8379AGACHMPZ2V")</f>
        <v>8379AGACHMPZ2V</v>
      </c>
      <c r="B8889" s="1" t="s">
        <v>16899</v>
      </c>
      <c r="C8889" s="9" t="s">
        <v>642</v>
      </c>
      <c r="D8889" s="14" t="s">
        <v>16898</v>
      </c>
      <c r="E8889" s="9" t="s">
        <v>8</v>
      </c>
    </row>
    <row r="8890" spans="1:5" ht="15" customHeight="1" outlineLevel="2" x14ac:dyDescent="0.25">
      <c r="A8890" s="3" t="str">
        <f>HYPERLINK("http://mystore1.ru/price_items/search?utf8=%E2%9C%93&amp;oem=8379AGAHMZ1V","8379AGAHMZ1V")</f>
        <v>8379AGAHMZ1V</v>
      </c>
      <c r="B8890" s="1" t="s">
        <v>16900</v>
      </c>
      <c r="C8890" s="9" t="s">
        <v>642</v>
      </c>
      <c r="D8890" s="14" t="s">
        <v>16898</v>
      </c>
      <c r="E8890" s="9" t="s">
        <v>8</v>
      </c>
    </row>
    <row r="8891" spans="1:5" ht="15" customHeight="1" outlineLevel="2" x14ac:dyDescent="0.25">
      <c r="A8891" s="3" t="str">
        <f>HYPERLINK("http://mystore1.ru/price_items/search?utf8=%E2%9C%93&amp;oem=8379AGAHZ","8379AGAHZ")</f>
        <v>8379AGAHZ</v>
      </c>
      <c r="B8891" s="1" t="s">
        <v>16901</v>
      </c>
      <c r="C8891" s="9" t="s">
        <v>642</v>
      </c>
      <c r="D8891" s="14" t="s">
        <v>16902</v>
      </c>
      <c r="E8891" s="9" t="s">
        <v>8</v>
      </c>
    </row>
    <row r="8892" spans="1:5" ht="15" customHeight="1" outlineLevel="2" x14ac:dyDescent="0.25">
      <c r="A8892" s="3" t="str">
        <f>HYPERLINK("http://mystore1.ru/price_items/search?utf8=%E2%9C%93&amp;oem=8379RGNE5RV","8379RGNE5RV")</f>
        <v>8379RGNE5RV</v>
      </c>
      <c r="B8892" s="1" t="s">
        <v>16903</v>
      </c>
      <c r="C8892" s="9" t="s">
        <v>642</v>
      </c>
      <c r="D8892" s="14" t="s">
        <v>16904</v>
      </c>
      <c r="E8892" s="9" t="s">
        <v>11</v>
      </c>
    </row>
    <row r="8893" spans="1:5" ht="15" customHeight="1" outlineLevel="2" x14ac:dyDescent="0.25">
      <c r="A8893" s="3" t="str">
        <f>HYPERLINK("http://mystore1.ru/price_items/search?utf8=%E2%9C%93&amp;oem=8379LGNE5RV","8379LGNE5RV")</f>
        <v>8379LGNE5RV</v>
      </c>
      <c r="B8893" s="1" t="s">
        <v>16905</v>
      </c>
      <c r="C8893" s="9" t="s">
        <v>642</v>
      </c>
      <c r="D8893" s="14" t="s">
        <v>16906</v>
      </c>
      <c r="E8893" s="9" t="s">
        <v>11</v>
      </c>
    </row>
    <row r="8894" spans="1:5" outlineLevel="1" x14ac:dyDescent="0.25">
      <c r="A8894" s="2"/>
      <c r="B8894" s="6" t="s">
        <v>16907</v>
      </c>
      <c r="C8894" s="8"/>
      <c r="D8894" s="8"/>
      <c r="E8894" s="8"/>
    </row>
    <row r="8895" spans="1:5" ht="15" customHeight="1" outlineLevel="2" x14ac:dyDescent="0.25">
      <c r="A8895" s="3" t="str">
        <f>HYPERLINK("http://mystore1.ru/price_items/search?utf8=%E2%9C%93&amp;oem=8363AGS","8363AGS")</f>
        <v>8363AGS</v>
      </c>
      <c r="B8895" s="1" t="s">
        <v>16908</v>
      </c>
      <c r="C8895" s="9" t="s">
        <v>1607</v>
      </c>
      <c r="D8895" s="14" t="s">
        <v>16909</v>
      </c>
      <c r="E8895" s="9" t="s">
        <v>8</v>
      </c>
    </row>
    <row r="8896" spans="1:5" ht="15" customHeight="1" outlineLevel="2" x14ac:dyDescent="0.25">
      <c r="A8896" s="3" t="str">
        <f>HYPERLINK("http://mystore1.ru/price_items/search?utf8=%E2%9C%93&amp;oem=8363BGSHO","8363BGSHO")</f>
        <v>8363BGSHO</v>
      </c>
      <c r="B8896" s="1" t="s">
        <v>16910</v>
      </c>
      <c r="C8896" s="9" t="s">
        <v>1607</v>
      </c>
      <c r="D8896" s="14" t="s">
        <v>16911</v>
      </c>
      <c r="E8896" s="9" t="s">
        <v>30</v>
      </c>
    </row>
    <row r="8897" spans="1:5" ht="15" customHeight="1" outlineLevel="2" x14ac:dyDescent="0.25">
      <c r="A8897" s="3" t="str">
        <f>HYPERLINK("http://mystore1.ru/price_items/search?utf8=%E2%9C%93&amp;oem=8363LGSH3FD","8363LGSH3FD")</f>
        <v>8363LGSH3FD</v>
      </c>
      <c r="B8897" s="1" t="s">
        <v>16912</v>
      </c>
      <c r="C8897" s="9" t="s">
        <v>1607</v>
      </c>
      <c r="D8897" s="14" t="s">
        <v>16913</v>
      </c>
      <c r="E8897" s="9" t="s">
        <v>11</v>
      </c>
    </row>
    <row r="8898" spans="1:5" ht="15" customHeight="1" outlineLevel="2" x14ac:dyDescent="0.25">
      <c r="A8898" s="3" t="str">
        <f>HYPERLINK("http://mystore1.ru/price_items/search?utf8=%E2%9C%93&amp;oem=8363LGSH3RQ","8363LGSH3RQ")</f>
        <v>8363LGSH3RQ</v>
      </c>
      <c r="B8898" s="1" t="s">
        <v>16914</v>
      </c>
      <c r="C8898" s="9" t="s">
        <v>1607</v>
      </c>
      <c r="D8898" s="14" t="s">
        <v>16915</v>
      </c>
      <c r="E8898" s="9" t="s">
        <v>11</v>
      </c>
    </row>
    <row r="8899" spans="1:5" ht="15" customHeight="1" outlineLevel="2" x14ac:dyDescent="0.25">
      <c r="A8899" s="3" t="str">
        <f>HYPERLINK("http://mystore1.ru/price_items/search?utf8=%E2%9C%93&amp;oem=8363LGSH5FD","8363LGSH5FD")</f>
        <v>8363LGSH5FD</v>
      </c>
      <c r="B8899" s="1" t="s">
        <v>16916</v>
      </c>
      <c r="C8899" s="9" t="s">
        <v>1607</v>
      </c>
      <c r="D8899" s="14" t="s">
        <v>16917</v>
      </c>
      <c r="E8899" s="9" t="s">
        <v>11</v>
      </c>
    </row>
    <row r="8900" spans="1:5" ht="15" customHeight="1" outlineLevel="2" x14ac:dyDescent="0.25">
      <c r="A8900" s="3" t="str">
        <f>HYPERLINK("http://mystore1.ru/price_items/search?utf8=%E2%9C%93&amp;oem=8363LGSH5RDOW","8363LGSH5RDOW")</f>
        <v>8363LGSH5RDOW</v>
      </c>
      <c r="B8900" s="1" t="s">
        <v>16918</v>
      </c>
      <c r="C8900" s="9" t="s">
        <v>1607</v>
      </c>
      <c r="D8900" s="14" t="s">
        <v>16919</v>
      </c>
      <c r="E8900" s="9" t="s">
        <v>11</v>
      </c>
    </row>
    <row r="8901" spans="1:5" ht="15" customHeight="1" outlineLevel="2" x14ac:dyDescent="0.25">
      <c r="A8901" s="3" t="str">
        <f>HYPERLINK("http://mystore1.ru/price_items/search?utf8=%E2%9C%93&amp;oem=8363RGSH3FD","8363RGSH3FD")</f>
        <v>8363RGSH3FD</v>
      </c>
      <c r="B8901" s="1" t="s">
        <v>16920</v>
      </c>
      <c r="C8901" s="9" t="s">
        <v>1607</v>
      </c>
      <c r="D8901" s="14" t="s">
        <v>16921</v>
      </c>
      <c r="E8901" s="9" t="s">
        <v>11</v>
      </c>
    </row>
    <row r="8902" spans="1:5" ht="15" customHeight="1" outlineLevel="2" x14ac:dyDescent="0.25">
      <c r="A8902" s="3" t="str">
        <f>HYPERLINK("http://mystore1.ru/price_items/search?utf8=%E2%9C%93&amp;oem=8363RGSH3RQ","8363RGSH3RQ")</f>
        <v>8363RGSH3RQ</v>
      </c>
      <c r="B8902" s="1" t="s">
        <v>16922</v>
      </c>
      <c r="C8902" s="9" t="s">
        <v>1607</v>
      </c>
      <c r="D8902" s="14" t="s">
        <v>16923</v>
      </c>
      <c r="E8902" s="9" t="s">
        <v>11</v>
      </c>
    </row>
    <row r="8903" spans="1:5" ht="15" customHeight="1" outlineLevel="2" x14ac:dyDescent="0.25">
      <c r="A8903" s="3" t="str">
        <f>HYPERLINK("http://mystore1.ru/price_items/search?utf8=%E2%9C%93&amp;oem=8363RGSH5FD","8363RGSH5FD")</f>
        <v>8363RGSH5FD</v>
      </c>
      <c r="B8903" s="1" t="s">
        <v>16924</v>
      </c>
      <c r="C8903" s="9" t="s">
        <v>1607</v>
      </c>
      <c r="D8903" s="14" t="s">
        <v>16925</v>
      </c>
      <c r="E8903" s="9" t="s">
        <v>11</v>
      </c>
    </row>
    <row r="8904" spans="1:5" ht="15" customHeight="1" outlineLevel="2" x14ac:dyDescent="0.25">
      <c r="A8904" s="3" t="str">
        <f>HYPERLINK("http://mystore1.ru/price_items/search?utf8=%E2%9C%93&amp;oem=8363RGSH5RDOW","8363RGSH5RDOW")</f>
        <v>8363RGSH5RDOW</v>
      </c>
      <c r="B8904" s="1" t="s">
        <v>16926</v>
      </c>
      <c r="C8904" s="9" t="s">
        <v>1607</v>
      </c>
      <c r="D8904" s="14" t="s">
        <v>16927</v>
      </c>
      <c r="E8904" s="9" t="s">
        <v>11</v>
      </c>
    </row>
    <row r="8905" spans="1:5" outlineLevel="1" x14ac:dyDescent="0.25">
      <c r="A8905" s="2"/>
      <c r="B8905" s="6" t="s">
        <v>16928</v>
      </c>
      <c r="C8905" s="8"/>
      <c r="D8905" s="8"/>
      <c r="E8905" s="8"/>
    </row>
    <row r="8906" spans="1:5" ht="15" customHeight="1" outlineLevel="2" x14ac:dyDescent="0.25">
      <c r="A8906" s="3" t="str">
        <f>HYPERLINK("http://mystore1.ru/price_items/search?utf8=%E2%9C%93&amp;oem=8258ABL","8258ABL")</f>
        <v>8258ABL</v>
      </c>
      <c r="B8906" s="1" t="s">
        <v>16929</v>
      </c>
      <c r="C8906" s="9" t="s">
        <v>5855</v>
      </c>
      <c r="D8906" s="14" t="s">
        <v>16930</v>
      </c>
      <c r="E8906" s="9" t="s">
        <v>8</v>
      </c>
    </row>
    <row r="8907" spans="1:5" ht="15" customHeight="1" outlineLevel="2" x14ac:dyDescent="0.25">
      <c r="A8907" s="3" t="str">
        <f>HYPERLINK("http://mystore1.ru/price_items/search?utf8=%E2%9C%93&amp;oem=8258ABLBL","8258ABLBL")</f>
        <v>8258ABLBL</v>
      </c>
      <c r="B8907" s="1" t="s">
        <v>16931</v>
      </c>
      <c r="C8907" s="9" t="s">
        <v>5855</v>
      </c>
      <c r="D8907" s="14" t="s">
        <v>16932</v>
      </c>
      <c r="E8907" s="9" t="s">
        <v>8</v>
      </c>
    </row>
    <row r="8908" spans="1:5" ht="15" customHeight="1" outlineLevel="2" x14ac:dyDescent="0.25">
      <c r="A8908" s="3" t="str">
        <f>HYPERLINK("http://mystore1.ru/price_items/search?utf8=%E2%9C%93&amp;oem=8258AKCS","8258AKCS")</f>
        <v>8258AKCS</v>
      </c>
      <c r="B8908" s="1" t="s">
        <v>16933</v>
      </c>
      <c r="C8908" s="9" t="s">
        <v>25</v>
      </c>
      <c r="D8908" s="14" t="s">
        <v>16934</v>
      </c>
      <c r="E8908" s="9" t="s">
        <v>27</v>
      </c>
    </row>
    <row r="8909" spans="1:5" ht="15" customHeight="1" outlineLevel="2" x14ac:dyDescent="0.25">
      <c r="A8909" s="3" t="str">
        <f>HYPERLINK("http://mystore1.ru/price_items/search?utf8=%E2%9C%93&amp;oem=8258ASMSTC","8258ASMSTC")</f>
        <v>8258ASMSTC</v>
      </c>
      <c r="B8909" s="1" t="s">
        <v>16935</v>
      </c>
      <c r="C8909" s="9" t="s">
        <v>25</v>
      </c>
      <c r="D8909" s="14" t="s">
        <v>16936</v>
      </c>
      <c r="E8909" s="9" t="s">
        <v>27</v>
      </c>
    </row>
    <row r="8910" spans="1:5" ht="15" customHeight="1" outlineLevel="2" x14ac:dyDescent="0.25">
      <c r="A8910" s="3" t="str">
        <f>HYPERLINK("http://mystore1.ru/price_items/search?utf8=%E2%9C%93&amp;oem=8258LBLS4FD","8258LBLS4FD")</f>
        <v>8258LBLS4FD</v>
      </c>
      <c r="B8910" s="1" t="s">
        <v>16937</v>
      </c>
      <c r="C8910" s="9" t="s">
        <v>5855</v>
      </c>
      <c r="D8910" s="14" t="s">
        <v>16938</v>
      </c>
      <c r="E8910" s="9" t="s">
        <v>11</v>
      </c>
    </row>
    <row r="8911" spans="1:5" outlineLevel="1" x14ac:dyDescent="0.25">
      <c r="A8911" s="2"/>
      <c r="B8911" s="6" t="s">
        <v>16939</v>
      </c>
      <c r="C8911" s="8"/>
      <c r="D8911" s="8"/>
      <c r="E8911" s="8"/>
    </row>
    <row r="8912" spans="1:5" ht="15" customHeight="1" outlineLevel="2" x14ac:dyDescent="0.25">
      <c r="A8912" s="3" t="str">
        <f>HYPERLINK("http://mystore1.ru/price_items/search?utf8=%E2%9C%93&amp;oem=8278ABL","8278ABL")</f>
        <v>8278ABL</v>
      </c>
      <c r="B8912" s="1" t="s">
        <v>16940</v>
      </c>
      <c r="C8912" s="9" t="s">
        <v>5911</v>
      </c>
      <c r="D8912" s="14" t="s">
        <v>16941</v>
      </c>
      <c r="E8912" s="9" t="s">
        <v>8</v>
      </c>
    </row>
    <row r="8913" spans="1:5" ht="15" customHeight="1" outlineLevel="2" x14ac:dyDescent="0.25">
      <c r="A8913" s="3" t="str">
        <f>HYPERLINK("http://mystore1.ru/price_items/search?utf8=%E2%9C%93&amp;oem=8278ABLBL","8278ABLBL")</f>
        <v>8278ABLBL</v>
      </c>
      <c r="B8913" s="1" t="s">
        <v>16942</v>
      </c>
      <c r="C8913" s="9" t="s">
        <v>5911</v>
      </c>
      <c r="D8913" s="14" t="s">
        <v>16943</v>
      </c>
      <c r="E8913" s="9" t="s">
        <v>8</v>
      </c>
    </row>
    <row r="8914" spans="1:5" ht="15" customHeight="1" outlineLevel="2" x14ac:dyDescent="0.25">
      <c r="A8914" s="3" t="str">
        <f>HYPERLINK("http://mystore1.ru/price_items/search?utf8=%E2%9C%93&amp;oem=8278AGNBL","8278AGNBL")</f>
        <v>8278AGNBL</v>
      </c>
      <c r="B8914" s="1" t="s">
        <v>16944</v>
      </c>
      <c r="C8914" s="9" t="s">
        <v>5911</v>
      </c>
      <c r="D8914" s="14" t="s">
        <v>16945</v>
      </c>
      <c r="E8914" s="9" t="s">
        <v>8</v>
      </c>
    </row>
    <row r="8915" spans="1:5" ht="15" customHeight="1" outlineLevel="2" x14ac:dyDescent="0.25">
      <c r="A8915" s="3" t="str">
        <f>HYPERLINK("http://mystore1.ru/price_items/search?utf8=%E2%9C%93&amp;oem=8278AKCS","8278AKCS")</f>
        <v>8278AKCS</v>
      </c>
      <c r="B8915" s="1" t="s">
        <v>16946</v>
      </c>
      <c r="C8915" s="9" t="s">
        <v>25</v>
      </c>
      <c r="D8915" s="14" t="s">
        <v>16947</v>
      </c>
      <c r="E8915" s="9" t="s">
        <v>27</v>
      </c>
    </row>
    <row r="8916" spans="1:5" ht="15" customHeight="1" outlineLevel="2" x14ac:dyDescent="0.25">
      <c r="A8916" s="3" t="str">
        <f>HYPERLINK("http://mystore1.ru/price_items/search?utf8=%E2%9C%93&amp;oem=8278ASMST","8278ASMST")</f>
        <v>8278ASMST</v>
      </c>
      <c r="B8916" s="1" t="s">
        <v>16948</v>
      </c>
      <c r="C8916" s="9" t="s">
        <v>25</v>
      </c>
      <c r="D8916" s="14" t="s">
        <v>16949</v>
      </c>
      <c r="E8916" s="9" t="s">
        <v>27</v>
      </c>
    </row>
    <row r="8917" spans="1:5" ht="15" customHeight="1" outlineLevel="2" x14ac:dyDescent="0.25">
      <c r="A8917" s="3" t="str">
        <f>HYPERLINK("http://mystore1.ru/price_items/search?utf8=%E2%9C%93&amp;oem=8278ASMSTC","8278ASMSTC")</f>
        <v>8278ASMSTC</v>
      </c>
      <c r="B8917" s="1" t="s">
        <v>16950</v>
      </c>
      <c r="C8917" s="9" t="s">
        <v>25</v>
      </c>
      <c r="D8917" s="14" t="s">
        <v>16951</v>
      </c>
      <c r="E8917" s="9" t="s">
        <v>27</v>
      </c>
    </row>
    <row r="8918" spans="1:5" ht="15" customHeight="1" outlineLevel="2" x14ac:dyDescent="0.25">
      <c r="A8918" s="3" t="str">
        <f>HYPERLINK("http://mystore1.ru/price_items/search?utf8=%E2%9C%93&amp;oem=8278BBLS","8278BBLS")</f>
        <v>8278BBLS</v>
      </c>
      <c r="B8918" s="1" t="s">
        <v>16952</v>
      </c>
      <c r="C8918" s="9" t="s">
        <v>5911</v>
      </c>
      <c r="D8918" s="14" t="s">
        <v>16953</v>
      </c>
      <c r="E8918" s="9" t="s">
        <v>30</v>
      </c>
    </row>
    <row r="8919" spans="1:5" ht="15" customHeight="1" outlineLevel="2" x14ac:dyDescent="0.25">
      <c r="A8919" s="3" t="str">
        <f>HYPERLINK("http://mystore1.ru/price_items/search?utf8=%E2%9C%93&amp;oem=8278LBLS4FDW","8278LBLS4FDW")</f>
        <v>8278LBLS4FDW</v>
      </c>
      <c r="B8919" s="1" t="s">
        <v>16954</v>
      </c>
      <c r="C8919" s="9" t="s">
        <v>5911</v>
      </c>
      <c r="D8919" s="14" t="s">
        <v>16955</v>
      </c>
      <c r="E8919" s="9" t="s">
        <v>11</v>
      </c>
    </row>
    <row r="8920" spans="1:5" ht="15" customHeight="1" outlineLevel="2" x14ac:dyDescent="0.25">
      <c r="A8920" s="3" t="str">
        <f>HYPERLINK("http://mystore1.ru/price_items/search?utf8=%E2%9C%93&amp;oem=8278LBLS4RDW","8278LBLS4RDW")</f>
        <v>8278LBLS4RDW</v>
      </c>
      <c r="B8920" s="1" t="s">
        <v>16956</v>
      </c>
      <c r="C8920" s="9" t="s">
        <v>5911</v>
      </c>
      <c r="D8920" s="14" t="s">
        <v>16957</v>
      </c>
      <c r="E8920" s="9" t="s">
        <v>11</v>
      </c>
    </row>
    <row r="8921" spans="1:5" ht="15" customHeight="1" outlineLevel="2" x14ac:dyDescent="0.25">
      <c r="A8921" s="3" t="str">
        <f>HYPERLINK("http://mystore1.ru/price_items/search?utf8=%E2%9C%93&amp;oem=8278RBLS4FDW","8278RBLS4FDW")</f>
        <v>8278RBLS4FDW</v>
      </c>
      <c r="B8921" s="1" t="s">
        <v>16958</v>
      </c>
      <c r="C8921" s="9" t="s">
        <v>5911</v>
      </c>
      <c r="D8921" s="14" t="s">
        <v>16959</v>
      </c>
      <c r="E8921" s="9" t="s">
        <v>11</v>
      </c>
    </row>
    <row r="8922" spans="1:5" ht="15" customHeight="1" outlineLevel="2" x14ac:dyDescent="0.25">
      <c r="A8922" s="3" t="str">
        <f>HYPERLINK("http://mystore1.ru/price_items/search?utf8=%E2%9C%93&amp;oem=8278RBLS4RDW","8278RBLS4RDW")</f>
        <v>8278RBLS4RDW</v>
      </c>
      <c r="B8922" s="1" t="s">
        <v>16960</v>
      </c>
      <c r="C8922" s="9" t="s">
        <v>5911</v>
      </c>
      <c r="D8922" s="14" t="s">
        <v>16961</v>
      </c>
      <c r="E8922" s="9" t="s">
        <v>11</v>
      </c>
    </row>
    <row r="8923" spans="1:5" outlineLevel="1" x14ac:dyDescent="0.25">
      <c r="A8923" s="2"/>
      <c r="B8923" s="6" t="s">
        <v>16962</v>
      </c>
      <c r="C8923" s="8"/>
      <c r="D8923" s="8"/>
      <c r="E8923" s="8"/>
    </row>
    <row r="8924" spans="1:5" ht="15" customHeight="1" outlineLevel="2" x14ac:dyDescent="0.25">
      <c r="A8924" s="3" t="str">
        <f>HYPERLINK("http://mystore1.ru/price_items/search?utf8=%E2%9C%93&amp;oem=8302AGNGN","8302AGNGN")</f>
        <v>8302AGNGN</v>
      </c>
      <c r="B8924" s="1" t="s">
        <v>16963</v>
      </c>
      <c r="C8924" s="9" t="s">
        <v>2099</v>
      </c>
      <c r="D8924" s="14" t="s">
        <v>16964</v>
      </c>
      <c r="E8924" s="9" t="s">
        <v>8</v>
      </c>
    </row>
    <row r="8925" spans="1:5" ht="15" customHeight="1" outlineLevel="2" x14ac:dyDescent="0.25">
      <c r="A8925" s="3" t="str">
        <f>HYPERLINK("http://mystore1.ru/price_items/search?utf8=%E2%9C%93&amp;oem=8302ASMST","8302ASMST")</f>
        <v>8302ASMST</v>
      </c>
      <c r="B8925" s="1" t="s">
        <v>16965</v>
      </c>
      <c r="C8925" s="9" t="s">
        <v>25</v>
      </c>
      <c r="D8925" s="14" t="s">
        <v>16966</v>
      </c>
      <c r="E8925" s="9" t="s">
        <v>27</v>
      </c>
    </row>
    <row r="8926" spans="1:5" ht="15" customHeight="1" outlineLevel="2" x14ac:dyDescent="0.25">
      <c r="A8926" s="3" t="str">
        <f>HYPERLINK("http://mystore1.ru/price_items/search?utf8=%E2%9C%93&amp;oem=8302LGNS4FD","8302LGNS4FD")</f>
        <v>8302LGNS4FD</v>
      </c>
      <c r="B8926" s="1" t="s">
        <v>16967</v>
      </c>
      <c r="C8926" s="9" t="s">
        <v>2099</v>
      </c>
      <c r="D8926" s="14" t="s">
        <v>16968</v>
      </c>
      <c r="E8926" s="9" t="s">
        <v>11</v>
      </c>
    </row>
    <row r="8927" spans="1:5" ht="15" customHeight="1" outlineLevel="2" x14ac:dyDescent="0.25">
      <c r="A8927" s="3" t="str">
        <f>HYPERLINK("http://mystore1.ru/price_items/search?utf8=%E2%9C%93&amp;oem=8302LGNS4RD","8302LGNS4RD")</f>
        <v>8302LGNS4RD</v>
      </c>
      <c r="B8927" s="1" t="s">
        <v>16969</v>
      </c>
      <c r="C8927" s="9" t="s">
        <v>2099</v>
      </c>
      <c r="D8927" s="14" t="s">
        <v>16970</v>
      </c>
      <c r="E8927" s="9" t="s">
        <v>11</v>
      </c>
    </row>
    <row r="8928" spans="1:5" ht="15" customHeight="1" outlineLevel="2" x14ac:dyDescent="0.25">
      <c r="A8928" s="3" t="str">
        <f>HYPERLINK("http://mystore1.ru/price_items/search?utf8=%E2%9C%93&amp;oem=8302RGNS4RD","8302RGNS4RD")</f>
        <v>8302RGNS4RD</v>
      </c>
      <c r="B8928" s="1" t="s">
        <v>16971</v>
      </c>
      <c r="C8928" s="9" t="s">
        <v>2099</v>
      </c>
      <c r="D8928" s="14" t="s">
        <v>16972</v>
      </c>
      <c r="E8928" s="9" t="s">
        <v>11</v>
      </c>
    </row>
    <row r="8929" spans="1:5" ht="15" customHeight="1" outlineLevel="2" x14ac:dyDescent="0.25">
      <c r="A8929" s="3" t="str">
        <f>HYPERLINK("http://mystore1.ru/price_items/search?utf8=%E2%9C%93&amp;oem=8302RGNS4FD","8302RGNS4FD")</f>
        <v>8302RGNS4FD</v>
      </c>
      <c r="B8929" s="1" t="s">
        <v>16973</v>
      </c>
      <c r="C8929" s="9" t="s">
        <v>2099</v>
      </c>
      <c r="D8929" s="14" t="s">
        <v>16974</v>
      </c>
      <c r="E8929" s="9" t="s">
        <v>11</v>
      </c>
    </row>
    <row r="8930" spans="1:5" outlineLevel="1" x14ac:dyDescent="0.25">
      <c r="A8930" s="2"/>
      <c r="B8930" s="6" t="s">
        <v>16975</v>
      </c>
      <c r="C8930" s="8"/>
      <c r="D8930" s="8"/>
      <c r="E8930" s="8"/>
    </row>
    <row r="8931" spans="1:5" ht="15" customHeight="1" outlineLevel="2" x14ac:dyDescent="0.25">
      <c r="A8931" s="3" t="str">
        <f>HYPERLINK("http://mystore1.ru/price_items/search?utf8=%E2%9C%93&amp;oem=8339AGNBLMV","8339AGNBLMV")</f>
        <v>8339AGNBLMV</v>
      </c>
      <c r="B8931" s="1" t="s">
        <v>16976</v>
      </c>
      <c r="C8931" s="9" t="s">
        <v>959</v>
      </c>
      <c r="D8931" s="14" t="s">
        <v>16977</v>
      </c>
      <c r="E8931" s="9" t="s">
        <v>8</v>
      </c>
    </row>
    <row r="8932" spans="1:5" ht="15" customHeight="1" outlineLevel="2" x14ac:dyDescent="0.25">
      <c r="A8932" s="3" t="str">
        <f>HYPERLINK("http://mystore1.ru/price_items/search?utf8=%E2%9C%93&amp;oem=8339ASMS","8339ASMS")</f>
        <v>8339ASMS</v>
      </c>
      <c r="B8932" s="1" t="s">
        <v>16978</v>
      </c>
      <c r="C8932" s="9" t="s">
        <v>25</v>
      </c>
      <c r="D8932" s="14" t="s">
        <v>16979</v>
      </c>
      <c r="E8932" s="9" t="s">
        <v>27</v>
      </c>
    </row>
    <row r="8933" spans="1:5" ht="15" customHeight="1" outlineLevel="2" x14ac:dyDescent="0.25">
      <c r="A8933" s="3" t="str">
        <f>HYPERLINK("http://mystore1.ru/price_items/search?utf8=%E2%9C%93&amp;oem=8337BGSSB","8337BGSSB")</f>
        <v>8337BGSSB</v>
      </c>
      <c r="B8933" s="1" t="s">
        <v>16980</v>
      </c>
      <c r="C8933" s="9" t="s">
        <v>959</v>
      </c>
      <c r="D8933" s="14" t="s">
        <v>16981</v>
      </c>
      <c r="E8933" s="9" t="s">
        <v>30</v>
      </c>
    </row>
    <row r="8934" spans="1:5" ht="15" customHeight="1" outlineLevel="2" x14ac:dyDescent="0.25">
      <c r="A8934" s="3" t="str">
        <f>HYPERLINK("http://mystore1.ru/price_items/search?utf8=%E2%9C%93&amp;oem=8339LGSS4RD","8339LGSS4RD")</f>
        <v>8339LGSS4RD</v>
      </c>
      <c r="B8934" s="1" t="s">
        <v>16982</v>
      </c>
      <c r="C8934" s="9" t="s">
        <v>959</v>
      </c>
      <c r="D8934" s="14" t="s">
        <v>16983</v>
      </c>
      <c r="E8934" s="9" t="s">
        <v>11</v>
      </c>
    </row>
    <row r="8935" spans="1:5" ht="15" customHeight="1" outlineLevel="2" x14ac:dyDescent="0.25">
      <c r="A8935" s="3" t="str">
        <f>HYPERLINK("http://mystore1.ru/price_items/search?utf8=%E2%9C%93&amp;oem=8339RGSS4RD","8339RGSS4RD")</f>
        <v>8339RGSS4RD</v>
      </c>
      <c r="B8935" s="1" t="s">
        <v>16984</v>
      </c>
      <c r="C8935" s="9" t="s">
        <v>959</v>
      </c>
      <c r="D8935" s="14" t="s">
        <v>16985</v>
      </c>
      <c r="E8935" s="9" t="s">
        <v>11</v>
      </c>
    </row>
    <row r="8936" spans="1:5" outlineLevel="1" x14ac:dyDescent="0.25">
      <c r="A8936" s="2"/>
      <c r="B8936" s="6" t="s">
        <v>16986</v>
      </c>
      <c r="C8936" s="8"/>
      <c r="D8936" s="8"/>
      <c r="E8936" s="8"/>
    </row>
    <row r="8937" spans="1:5" ht="15" customHeight="1" outlineLevel="2" x14ac:dyDescent="0.25">
      <c r="A8937" s="3" t="str">
        <f>HYPERLINK("http://mystore1.ru/price_items/search?utf8=%E2%9C%93&amp;oem=8377AGNGNMV1C","8377AGNGNMV1C")</f>
        <v>8377AGNGNMV1C</v>
      </c>
      <c r="B8937" s="1" t="s">
        <v>16987</v>
      </c>
      <c r="C8937" s="9" t="s">
        <v>1722</v>
      </c>
      <c r="D8937" s="14" t="s">
        <v>16988</v>
      </c>
      <c r="E8937" s="9" t="s">
        <v>8</v>
      </c>
    </row>
    <row r="8938" spans="1:5" ht="15" customHeight="1" outlineLevel="2" x14ac:dyDescent="0.25">
      <c r="A8938" s="3" t="str">
        <f>HYPERLINK("http://mystore1.ru/price_items/search?utf8=%E2%9C%93&amp;oem=8377AGNGNMVW1C","8377AGNGNMVW1C")</f>
        <v>8377AGNGNMVW1C</v>
      </c>
      <c r="B8938" s="1" t="s">
        <v>16989</v>
      </c>
      <c r="C8938" s="9" t="s">
        <v>1722</v>
      </c>
      <c r="D8938" s="14" t="s">
        <v>16990</v>
      </c>
      <c r="E8938" s="9" t="s">
        <v>8</v>
      </c>
    </row>
    <row r="8939" spans="1:5" ht="15" customHeight="1" outlineLevel="2" x14ac:dyDescent="0.25">
      <c r="A8939" s="3" t="str">
        <f>HYPERLINK("http://mystore1.ru/price_items/search?utf8=%E2%9C%93&amp;oem=8377AGNBLW","8377AGNBLW")</f>
        <v>8377AGNBLW</v>
      </c>
      <c r="B8939" s="1" t="s">
        <v>16991</v>
      </c>
      <c r="C8939" s="9" t="s">
        <v>1722</v>
      </c>
      <c r="D8939" s="14" t="s">
        <v>16992</v>
      </c>
      <c r="E8939" s="9" t="s">
        <v>8</v>
      </c>
    </row>
    <row r="8940" spans="1:5" ht="15" customHeight="1" outlineLevel="2" x14ac:dyDescent="0.25">
      <c r="A8940" s="3" t="str">
        <f>HYPERLINK("http://mystore1.ru/price_items/search?utf8=%E2%9C%93&amp;oem=8377AGNBLW1C","8377AGNBLW1C")</f>
        <v>8377AGNBLW1C</v>
      </c>
      <c r="B8940" s="1" t="s">
        <v>16993</v>
      </c>
      <c r="C8940" s="9" t="s">
        <v>1722</v>
      </c>
      <c r="D8940" s="14" t="s">
        <v>16994</v>
      </c>
      <c r="E8940" s="9" t="s">
        <v>8</v>
      </c>
    </row>
    <row r="8941" spans="1:5" ht="15" customHeight="1" outlineLevel="2" x14ac:dyDescent="0.25">
      <c r="A8941" s="3" t="str">
        <f>HYPERLINK("http://mystore1.ru/price_items/search?utf8=%E2%9C%93&amp;oem=8377AGSGNMZ","8377AGSGNMZ")</f>
        <v>8377AGSGNMZ</v>
      </c>
      <c r="B8941" s="1" t="s">
        <v>16995</v>
      </c>
      <c r="C8941" s="9" t="s">
        <v>1722</v>
      </c>
      <c r="D8941" s="14" t="s">
        <v>16996</v>
      </c>
      <c r="E8941" s="9" t="s">
        <v>8</v>
      </c>
    </row>
    <row r="8942" spans="1:5" ht="15" customHeight="1" outlineLevel="2" x14ac:dyDescent="0.25">
      <c r="A8942" s="3" t="str">
        <f>HYPERLINK("http://mystore1.ru/price_items/search?utf8=%E2%9C%93&amp;oem=8377ASMS","8377ASMS")</f>
        <v>8377ASMS</v>
      </c>
      <c r="B8942" s="1" t="s">
        <v>16997</v>
      </c>
      <c r="C8942" s="9" t="s">
        <v>25</v>
      </c>
      <c r="D8942" s="14" t="s">
        <v>16998</v>
      </c>
      <c r="E8942" s="9" t="s">
        <v>27</v>
      </c>
    </row>
    <row r="8943" spans="1:5" ht="15" customHeight="1" outlineLevel="2" x14ac:dyDescent="0.25">
      <c r="A8943" s="3" t="str">
        <f>HYPERLINK("http://mystore1.ru/price_items/search?utf8=%E2%9C%93&amp;oem=8377LGNS4FDW","8377LGNS4FDW")</f>
        <v>8377LGNS4FDW</v>
      </c>
      <c r="B8943" s="1" t="s">
        <v>16999</v>
      </c>
      <c r="C8943" s="9" t="s">
        <v>1722</v>
      </c>
      <c r="D8943" s="14" t="s">
        <v>17000</v>
      </c>
      <c r="E8943" s="9" t="s">
        <v>11</v>
      </c>
    </row>
    <row r="8944" spans="1:5" ht="15" customHeight="1" outlineLevel="2" x14ac:dyDescent="0.25">
      <c r="A8944" s="3" t="str">
        <f>HYPERLINK("http://mystore1.ru/price_items/search?utf8=%E2%9C%93&amp;oem=8377RGNS4FDW","8377RGNS4FDW")</f>
        <v>8377RGNS4FDW</v>
      </c>
      <c r="B8944" s="1" t="s">
        <v>17001</v>
      </c>
      <c r="C8944" s="9" t="s">
        <v>1722</v>
      </c>
      <c r="D8944" s="14" t="s">
        <v>17002</v>
      </c>
      <c r="E8944" s="9" t="s">
        <v>11</v>
      </c>
    </row>
    <row r="8945" spans="1:5" ht="15" customHeight="1" outlineLevel="2" x14ac:dyDescent="0.25">
      <c r="A8945" s="3" t="str">
        <f>HYPERLINK("http://mystore1.ru/price_items/search?utf8=%E2%9C%93&amp;oem=8377LGNS4RDW","8377LGNS4RDW")</f>
        <v>8377LGNS4RDW</v>
      </c>
      <c r="B8945" s="1" t="s">
        <v>17003</v>
      </c>
      <c r="C8945" s="9" t="s">
        <v>1722</v>
      </c>
      <c r="D8945" s="14" t="s">
        <v>17004</v>
      </c>
      <c r="E8945" s="9" t="s">
        <v>11</v>
      </c>
    </row>
    <row r="8946" spans="1:5" ht="15" customHeight="1" outlineLevel="2" x14ac:dyDescent="0.25">
      <c r="A8946" s="3" t="str">
        <f>HYPERLINK("http://mystore1.ru/price_items/search?utf8=%E2%9C%93&amp;oem=8377RGNS4RDW","8377RGNS4RDW")</f>
        <v>8377RGNS4RDW</v>
      </c>
      <c r="B8946" s="1" t="s">
        <v>17005</v>
      </c>
      <c r="C8946" s="9" t="s">
        <v>1722</v>
      </c>
      <c r="D8946" s="14" t="s">
        <v>17006</v>
      </c>
      <c r="E8946" s="9" t="s">
        <v>11</v>
      </c>
    </row>
    <row r="8947" spans="1:5" ht="15" customHeight="1" outlineLevel="2" x14ac:dyDescent="0.25">
      <c r="A8947" s="3" t="str">
        <f>HYPERLINK("http://mystore1.ru/price_items/search?utf8=%E2%9C%93&amp;oem=8377LGNS4RV","8377LGNS4RV")</f>
        <v>8377LGNS4RV</v>
      </c>
      <c r="B8947" s="1" t="s">
        <v>17007</v>
      </c>
      <c r="C8947" s="9" t="s">
        <v>1722</v>
      </c>
      <c r="D8947" s="14" t="s">
        <v>17008</v>
      </c>
      <c r="E8947" s="9" t="s">
        <v>11</v>
      </c>
    </row>
    <row r="8948" spans="1:5" ht="15" customHeight="1" outlineLevel="2" x14ac:dyDescent="0.25">
      <c r="A8948" s="3" t="str">
        <f>HYPERLINK("http://mystore1.ru/price_items/search?utf8=%E2%9C%93&amp;oem=8377RGNS4RV","8377RGNS4RV")</f>
        <v>8377RGNS4RV</v>
      </c>
      <c r="B8948" s="1" t="s">
        <v>17009</v>
      </c>
      <c r="C8948" s="9" t="s">
        <v>1722</v>
      </c>
      <c r="D8948" s="14" t="s">
        <v>17010</v>
      </c>
      <c r="E8948" s="9" t="s">
        <v>11</v>
      </c>
    </row>
    <row r="8949" spans="1:5" outlineLevel="1" x14ac:dyDescent="0.25">
      <c r="A8949" s="2"/>
      <c r="B8949" s="6" t="s">
        <v>17011</v>
      </c>
      <c r="C8949" s="8"/>
      <c r="D8949" s="8"/>
      <c r="E8949" s="8"/>
    </row>
    <row r="8950" spans="1:5" ht="15" customHeight="1" outlineLevel="2" x14ac:dyDescent="0.25">
      <c r="A8950" s="3" t="str">
        <f>HYPERLINK("http://mystore1.ru/price_items/search?utf8=%E2%9C%93&amp;oem=8403AGAGNMVW1B","8403AGAGNMVW1B")</f>
        <v>8403AGAGNMVW1B</v>
      </c>
      <c r="B8950" s="1" t="s">
        <v>17012</v>
      </c>
      <c r="C8950" s="9" t="s">
        <v>1738</v>
      </c>
      <c r="D8950" s="14" t="s">
        <v>17013</v>
      </c>
      <c r="E8950" s="9" t="s">
        <v>8</v>
      </c>
    </row>
    <row r="8951" spans="1:5" ht="15" customHeight="1" outlineLevel="2" x14ac:dyDescent="0.25">
      <c r="A8951" s="3" t="str">
        <f>HYPERLINK("http://mystore1.ru/price_items/search?utf8=%E2%9C%93&amp;oem=8403AGAGNVW","8403AGAGNVW")</f>
        <v>8403AGAGNVW</v>
      </c>
      <c r="B8951" s="1" t="s">
        <v>17014</v>
      </c>
      <c r="C8951" s="9" t="s">
        <v>1738</v>
      </c>
      <c r="D8951" s="14" t="s">
        <v>17015</v>
      </c>
      <c r="E8951" s="9" t="s">
        <v>8</v>
      </c>
    </row>
    <row r="8952" spans="1:5" ht="15" customHeight="1" outlineLevel="2" x14ac:dyDescent="0.25">
      <c r="A8952" s="3" t="str">
        <f>HYPERLINK("http://mystore1.ru/price_items/search?utf8=%E2%9C%93&amp;oem=8403RGNS4FD","8403RGNS4FD")</f>
        <v>8403RGNS4FD</v>
      </c>
      <c r="B8952" s="1" t="s">
        <v>17016</v>
      </c>
      <c r="C8952" s="9" t="s">
        <v>1738</v>
      </c>
      <c r="D8952" s="14" t="s">
        <v>17017</v>
      </c>
      <c r="E8952" s="9" t="s">
        <v>11</v>
      </c>
    </row>
    <row r="8953" spans="1:5" ht="15" customHeight="1" outlineLevel="2" x14ac:dyDescent="0.25">
      <c r="A8953" s="3" t="str">
        <f>HYPERLINK("http://mystore1.ru/price_items/search?utf8=%E2%9C%93&amp;oem=8403LGNS4FD","8403LGNS4FD")</f>
        <v>8403LGNS4FD</v>
      </c>
      <c r="B8953" s="1" t="s">
        <v>17018</v>
      </c>
      <c r="C8953" s="9" t="s">
        <v>1738</v>
      </c>
      <c r="D8953" s="14" t="s">
        <v>17019</v>
      </c>
      <c r="E8953" s="9" t="s">
        <v>11</v>
      </c>
    </row>
    <row r="8954" spans="1:5" ht="15" customHeight="1" outlineLevel="2" x14ac:dyDescent="0.25">
      <c r="A8954" s="3" t="str">
        <f>HYPERLINK("http://mystore1.ru/price_items/search?utf8=%E2%9C%93&amp;oem=8403RGNS4RD","8403RGNS4RD")</f>
        <v>8403RGNS4RD</v>
      </c>
      <c r="B8954" s="1" t="s">
        <v>17020</v>
      </c>
      <c r="C8954" s="9" t="s">
        <v>1738</v>
      </c>
      <c r="D8954" s="14" t="s">
        <v>17021</v>
      </c>
      <c r="E8954" s="9" t="s">
        <v>11</v>
      </c>
    </row>
    <row r="8955" spans="1:5" ht="15" customHeight="1" outlineLevel="2" x14ac:dyDescent="0.25">
      <c r="A8955" s="3" t="str">
        <f>HYPERLINK("http://mystore1.ru/price_items/search?utf8=%E2%9C%93&amp;oem=8403LGNS4RD","8403LGNS4RD")</f>
        <v>8403LGNS4RD</v>
      </c>
      <c r="B8955" s="1" t="s">
        <v>17022</v>
      </c>
      <c r="C8955" s="9" t="s">
        <v>1738</v>
      </c>
      <c r="D8955" s="14" t="s">
        <v>17023</v>
      </c>
      <c r="E8955" s="9" t="s">
        <v>11</v>
      </c>
    </row>
    <row r="8956" spans="1:5" ht="15" customHeight="1" outlineLevel="2" x14ac:dyDescent="0.25">
      <c r="A8956" s="3" t="str">
        <f>HYPERLINK("http://mystore1.ru/price_items/search?utf8=%E2%9C%93&amp;oem=8403RGNS4RV","8403RGNS4RV")</f>
        <v>8403RGNS4RV</v>
      </c>
      <c r="B8956" s="1" t="s">
        <v>17024</v>
      </c>
      <c r="C8956" s="9" t="s">
        <v>1738</v>
      </c>
      <c r="D8956" s="14" t="s">
        <v>17025</v>
      </c>
      <c r="E8956" s="9" t="s">
        <v>11</v>
      </c>
    </row>
    <row r="8957" spans="1:5" ht="15" customHeight="1" outlineLevel="2" x14ac:dyDescent="0.25">
      <c r="A8957" s="3" t="str">
        <f>HYPERLINK("http://mystore1.ru/price_items/search?utf8=%E2%9C%93&amp;oem=8403LGNS4RV","8403LGNS4RV")</f>
        <v>8403LGNS4RV</v>
      </c>
      <c r="B8957" s="1" t="s">
        <v>17026</v>
      </c>
      <c r="C8957" s="9" t="s">
        <v>1738</v>
      </c>
      <c r="D8957" s="14" t="s">
        <v>17027</v>
      </c>
      <c r="E8957" s="9" t="s">
        <v>11</v>
      </c>
    </row>
    <row r="8958" spans="1:5" outlineLevel="1" x14ac:dyDescent="0.25">
      <c r="A8958" s="2"/>
      <c r="B8958" s="6" t="s">
        <v>17028</v>
      </c>
      <c r="C8958" s="47"/>
      <c r="D8958" s="8"/>
      <c r="E8958" s="8"/>
    </row>
    <row r="8959" spans="1:5" ht="15" customHeight="1" outlineLevel="2" x14ac:dyDescent="0.25">
      <c r="A8959" s="3" t="str">
        <f>HYPERLINK("http://mystore1.ru/price_items/search?utf8=%E2%9C%93&amp;oem=8251ABL","8251ABL")</f>
        <v>8251ABL</v>
      </c>
      <c r="B8959" s="1" t="s">
        <v>17029</v>
      </c>
      <c r="C8959" s="9" t="s">
        <v>3476</v>
      </c>
      <c r="D8959" s="14" t="s">
        <v>17030</v>
      </c>
      <c r="E8959" s="9" t="s">
        <v>8</v>
      </c>
    </row>
    <row r="8960" spans="1:5" outlineLevel="1" x14ac:dyDescent="0.25">
      <c r="A8960" s="2"/>
      <c r="B8960" s="6" t="s">
        <v>17031</v>
      </c>
      <c r="C8960" s="8"/>
      <c r="D8960" s="8"/>
      <c r="E8960" s="8"/>
    </row>
    <row r="8961" spans="1:5" ht="15" customHeight="1" outlineLevel="2" x14ac:dyDescent="0.25">
      <c r="A8961" s="3" t="str">
        <f>HYPERLINK("http://mystore1.ru/price_items/search?utf8=%E2%9C%93&amp;oem=8262ABL","8262ABL")</f>
        <v>8262ABL</v>
      </c>
      <c r="B8961" s="1" t="s">
        <v>17032</v>
      </c>
      <c r="C8961" s="9" t="s">
        <v>6346</v>
      </c>
      <c r="D8961" s="14" t="s">
        <v>17033</v>
      </c>
      <c r="E8961" s="9" t="s">
        <v>8</v>
      </c>
    </row>
    <row r="8962" spans="1:5" ht="15" customHeight="1" outlineLevel="2" x14ac:dyDescent="0.25">
      <c r="A8962" s="3" t="str">
        <f>HYPERLINK("http://mystore1.ru/price_items/search?utf8=%E2%9C%93&amp;oem=8262ABLBL","8262ABLBL")</f>
        <v>8262ABLBL</v>
      </c>
      <c r="B8962" s="1" t="s">
        <v>17034</v>
      </c>
      <c r="C8962" s="9" t="s">
        <v>6346</v>
      </c>
      <c r="D8962" s="14" t="s">
        <v>17035</v>
      </c>
      <c r="E8962" s="9" t="s">
        <v>8</v>
      </c>
    </row>
    <row r="8963" spans="1:5" ht="15" customHeight="1" outlineLevel="2" x14ac:dyDescent="0.25">
      <c r="A8963" s="3" t="str">
        <f>HYPERLINK("http://mystore1.ru/price_items/search?utf8=%E2%9C%93&amp;oem=8262ACL","8262ACL")</f>
        <v>8262ACL</v>
      </c>
      <c r="B8963" s="1" t="s">
        <v>17036</v>
      </c>
      <c r="C8963" s="9" t="s">
        <v>6346</v>
      </c>
      <c r="D8963" s="14" t="s">
        <v>17037</v>
      </c>
      <c r="E8963" s="9" t="s">
        <v>8</v>
      </c>
    </row>
    <row r="8964" spans="1:5" ht="15" customHeight="1" outlineLevel="2" x14ac:dyDescent="0.25">
      <c r="A8964" s="3" t="str">
        <f>HYPERLINK("http://mystore1.ru/price_items/search?utf8=%E2%9C%93&amp;oem=8262BBLHW","8262BBLHW")</f>
        <v>8262BBLHW</v>
      </c>
      <c r="B8964" s="1" t="s">
        <v>17038</v>
      </c>
      <c r="C8964" s="9" t="s">
        <v>6346</v>
      </c>
      <c r="D8964" s="14" t="s">
        <v>17039</v>
      </c>
      <c r="E8964" s="9" t="s">
        <v>30</v>
      </c>
    </row>
    <row r="8965" spans="1:5" ht="15" customHeight="1" outlineLevel="2" x14ac:dyDescent="0.25">
      <c r="A8965" s="3" t="str">
        <f>HYPERLINK("http://mystore1.ru/price_items/search?utf8=%E2%9C%93&amp;oem=8262BBLS","8262BBLS")</f>
        <v>8262BBLS</v>
      </c>
      <c r="B8965" s="1" t="s">
        <v>17040</v>
      </c>
      <c r="C8965" s="9" t="s">
        <v>6346</v>
      </c>
      <c r="D8965" s="14" t="s">
        <v>17041</v>
      </c>
      <c r="E8965" s="9" t="s">
        <v>30</v>
      </c>
    </row>
    <row r="8966" spans="1:5" ht="15" customHeight="1" outlineLevel="2" x14ac:dyDescent="0.25">
      <c r="A8966" s="3" t="str">
        <f>HYPERLINK("http://mystore1.ru/price_items/search?utf8=%E2%9C%93&amp;oem=8262LBLH5FD","8262LBLH5FD")</f>
        <v>8262LBLH5FD</v>
      </c>
      <c r="B8966" s="1" t="s">
        <v>17042</v>
      </c>
      <c r="C8966" s="9" t="s">
        <v>6346</v>
      </c>
      <c r="D8966" s="14" t="s">
        <v>17043</v>
      </c>
      <c r="E8966" s="9" t="s">
        <v>11</v>
      </c>
    </row>
    <row r="8967" spans="1:5" ht="15" customHeight="1" outlineLevel="2" x14ac:dyDescent="0.25">
      <c r="A8967" s="3" t="str">
        <f>HYPERLINK("http://mystore1.ru/price_items/search?utf8=%E2%9C%93&amp;oem=8262LBLS4RD","8262LBLS4RD")</f>
        <v>8262LBLS4RD</v>
      </c>
      <c r="B8967" s="1" t="s">
        <v>17044</v>
      </c>
      <c r="C8967" s="9" t="s">
        <v>6346</v>
      </c>
      <c r="D8967" s="14" t="s">
        <v>17045</v>
      </c>
      <c r="E8967" s="9" t="s">
        <v>11</v>
      </c>
    </row>
    <row r="8968" spans="1:5" ht="15" customHeight="1" outlineLevel="2" x14ac:dyDescent="0.25">
      <c r="A8968" s="3" t="str">
        <f>HYPERLINK("http://mystore1.ru/price_items/search?utf8=%E2%9C%93&amp;oem=8262LBLS4RV","8262LBLS4RV")</f>
        <v>8262LBLS4RV</v>
      </c>
      <c r="B8968" s="1" t="s">
        <v>17046</v>
      </c>
      <c r="C8968" s="9" t="s">
        <v>6346</v>
      </c>
      <c r="D8968" s="14" t="s">
        <v>17047</v>
      </c>
      <c r="E8968" s="9" t="s">
        <v>11</v>
      </c>
    </row>
    <row r="8969" spans="1:5" ht="15" customHeight="1" outlineLevel="2" x14ac:dyDescent="0.25">
      <c r="A8969" s="3" t="str">
        <f>HYPERLINK("http://mystore1.ru/price_items/search?utf8=%E2%9C%93&amp;oem=8262RBLH5FD","8262RBLH5FD")</f>
        <v>8262RBLH5FD</v>
      </c>
      <c r="B8969" s="1" t="s">
        <v>17048</v>
      </c>
      <c r="C8969" s="9" t="s">
        <v>6346</v>
      </c>
      <c r="D8969" s="14" t="s">
        <v>17049</v>
      </c>
      <c r="E8969" s="9" t="s">
        <v>11</v>
      </c>
    </row>
    <row r="8970" spans="1:5" ht="15" customHeight="1" outlineLevel="2" x14ac:dyDescent="0.25">
      <c r="A8970" s="3" t="str">
        <f>HYPERLINK("http://mystore1.ru/price_items/search?utf8=%E2%9C%93&amp;oem=8262RBLH5RV","8262RBLH5RV")</f>
        <v>8262RBLH5RV</v>
      </c>
      <c r="B8970" s="1" t="s">
        <v>17050</v>
      </c>
      <c r="C8970" s="9" t="s">
        <v>6346</v>
      </c>
      <c r="D8970" s="14" t="s">
        <v>17051</v>
      </c>
      <c r="E8970" s="9" t="s">
        <v>11</v>
      </c>
    </row>
    <row r="8971" spans="1:5" ht="15" customHeight="1" outlineLevel="2" x14ac:dyDescent="0.25">
      <c r="A8971" s="3" t="str">
        <f>HYPERLINK("http://mystore1.ru/price_items/search?utf8=%E2%9C%93&amp;oem=8262RBLS4RD","8262RBLS4RD")</f>
        <v>8262RBLS4RD</v>
      </c>
      <c r="B8971" s="1" t="s">
        <v>17052</v>
      </c>
      <c r="C8971" s="9" t="s">
        <v>6346</v>
      </c>
      <c r="D8971" s="14" t="s">
        <v>17053</v>
      </c>
      <c r="E8971" s="9" t="s">
        <v>11</v>
      </c>
    </row>
    <row r="8972" spans="1:5" ht="15" customHeight="1" outlineLevel="2" x14ac:dyDescent="0.25">
      <c r="A8972" s="3" t="str">
        <f>HYPERLINK("http://mystore1.ru/price_items/search?utf8=%E2%9C%93&amp;oem=8262RBLS4RV","8262RBLS4RV")</f>
        <v>8262RBLS4RV</v>
      </c>
      <c r="B8972" s="1" t="s">
        <v>17054</v>
      </c>
      <c r="C8972" s="9" t="s">
        <v>6346</v>
      </c>
      <c r="D8972" s="14" t="s">
        <v>17055</v>
      </c>
      <c r="E8972" s="9" t="s">
        <v>11</v>
      </c>
    </row>
    <row r="8973" spans="1:5" outlineLevel="1" x14ac:dyDescent="0.25">
      <c r="A8973" s="2"/>
      <c r="B8973" s="6" t="s">
        <v>17056</v>
      </c>
      <c r="C8973" s="8"/>
      <c r="D8973" s="8"/>
      <c r="E8973" s="8"/>
    </row>
    <row r="8974" spans="1:5" ht="15" customHeight="1" outlineLevel="2" x14ac:dyDescent="0.25">
      <c r="A8974" s="3" t="str">
        <f>HYPERLINK("http://mystore1.ru/price_items/search?utf8=%E2%9C%93&amp;oem=8282ABL","8282ABL")</f>
        <v>8282ABL</v>
      </c>
      <c r="B8974" s="1" t="s">
        <v>17057</v>
      </c>
      <c r="C8974" s="9" t="s">
        <v>94</v>
      </c>
      <c r="D8974" s="14" t="s">
        <v>17058</v>
      </c>
      <c r="E8974" s="9" t="s">
        <v>8</v>
      </c>
    </row>
    <row r="8975" spans="1:5" ht="15" customHeight="1" outlineLevel="2" x14ac:dyDescent="0.25">
      <c r="A8975" s="3" t="str">
        <f>HYPERLINK("http://mystore1.ru/price_items/search?utf8=%E2%9C%93&amp;oem=8282ABLBL","8282ABLBL")</f>
        <v>8282ABLBL</v>
      </c>
      <c r="B8975" s="1" t="s">
        <v>17059</v>
      </c>
      <c r="C8975" s="9" t="s">
        <v>94</v>
      </c>
      <c r="D8975" s="14" t="s">
        <v>17060</v>
      </c>
      <c r="E8975" s="9" t="s">
        <v>8</v>
      </c>
    </row>
    <row r="8976" spans="1:5" ht="15" customHeight="1" outlineLevel="2" x14ac:dyDescent="0.25">
      <c r="A8976" s="3" t="str">
        <f>HYPERLINK("http://mystore1.ru/price_items/search?utf8=%E2%9C%93&amp;oem=8282AGN","8282AGN")</f>
        <v>8282AGN</v>
      </c>
      <c r="B8976" s="1" t="s">
        <v>17061</v>
      </c>
      <c r="C8976" s="9" t="s">
        <v>94</v>
      </c>
      <c r="D8976" s="14" t="s">
        <v>17062</v>
      </c>
      <c r="E8976" s="9" t="s">
        <v>8</v>
      </c>
    </row>
    <row r="8977" spans="1:5" ht="15" customHeight="1" outlineLevel="2" x14ac:dyDescent="0.25">
      <c r="A8977" s="3" t="str">
        <f>HYPERLINK("http://mystore1.ru/price_items/search?utf8=%E2%9C%93&amp;oem=8282AGNBL","8282AGNBL")</f>
        <v>8282AGNBL</v>
      </c>
      <c r="B8977" s="1" t="s">
        <v>17063</v>
      </c>
      <c r="C8977" s="9" t="s">
        <v>94</v>
      </c>
      <c r="D8977" s="14" t="s">
        <v>17064</v>
      </c>
      <c r="E8977" s="9" t="s">
        <v>8</v>
      </c>
    </row>
    <row r="8978" spans="1:5" ht="15" customHeight="1" outlineLevel="2" x14ac:dyDescent="0.25">
      <c r="A8978" s="3" t="str">
        <f>HYPERLINK("http://mystore1.ru/price_items/search?utf8=%E2%9C%93&amp;oem=8282AGNGN","8282AGNGN")</f>
        <v>8282AGNGN</v>
      </c>
      <c r="B8978" s="1" t="s">
        <v>17065</v>
      </c>
      <c r="C8978" s="9" t="s">
        <v>94</v>
      </c>
      <c r="D8978" s="14" t="s">
        <v>17066</v>
      </c>
      <c r="E8978" s="9" t="s">
        <v>8</v>
      </c>
    </row>
    <row r="8979" spans="1:5" ht="15" customHeight="1" outlineLevel="2" x14ac:dyDescent="0.25">
      <c r="A8979" s="3" t="str">
        <f>HYPERLINK("http://mystore1.ru/price_items/search?utf8=%E2%9C%93&amp;oem=8282AGNGNH","8282AGNGNH")</f>
        <v>8282AGNGNH</v>
      </c>
      <c r="B8979" s="1" t="s">
        <v>17067</v>
      </c>
      <c r="C8979" s="9" t="s">
        <v>94</v>
      </c>
      <c r="D8979" s="14" t="s">
        <v>17068</v>
      </c>
      <c r="E8979" s="9" t="s">
        <v>8</v>
      </c>
    </row>
    <row r="8980" spans="1:5" ht="15" customHeight="1" outlineLevel="2" x14ac:dyDescent="0.25">
      <c r="A8980" s="3" t="str">
        <f>HYPERLINK("http://mystore1.ru/price_items/search?utf8=%E2%9C%93&amp;oem=8282ASMH","8282ASMH")</f>
        <v>8282ASMH</v>
      </c>
      <c r="B8980" s="1" t="s">
        <v>17069</v>
      </c>
      <c r="C8980" s="9" t="s">
        <v>25</v>
      </c>
      <c r="D8980" s="14" t="s">
        <v>17070</v>
      </c>
      <c r="E8980" s="9" t="s">
        <v>27</v>
      </c>
    </row>
    <row r="8981" spans="1:5" ht="15" customHeight="1" outlineLevel="2" x14ac:dyDescent="0.25">
      <c r="A8981" s="3" t="str">
        <f>HYPERLINK("http://mystore1.ru/price_items/search?utf8=%E2%9C%93&amp;oem=8282BBLHW","8282BBLHW")</f>
        <v>8282BBLHW</v>
      </c>
      <c r="B8981" s="1" t="s">
        <v>17071</v>
      </c>
      <c r="C8981" s="9" t="s">
        <v>94</v>
      </c>
      <c r="D8981" s="14" t="s">
        <v>17072</v>
      </c>
      <c r="E8981" s="9" t="s">
        <v>30</v>
      </c>
    </row>
    <row r="8982" spans="1:5" ht="15" customHeight="1" outlineLevel="2" x14ac:dyDescent="0.25">
      <c r="A8982" s="3" t="str">
        <f>HYPERLINK("http://mystore1.ru/price_items/search?utf8=%E2%9C%93&amp;oem=8282BBLS","8282BBLS")</f>
        <v>8282BBLS</v>
      </c>
      <c r="B8982" s="1" t="s">
        <v>17073</v>
      </c>
      <c r="C8982" s="9" t="s">
        <v>94</v>
      </c>
      <c r="D8982" s="14" t="s">
        <v>17074</v>
      </c>
      <c r="E8982" s="9" t="s">
        <v>30</v>
      </c>
    </row>
    <row r="8983" spans="1:5" ht="15" customHeight="1" outlineLevel="2" x14ac:dyDescent="0.25">
      <c r="A8983" s="3" t="str">
        <f>HYPERLINK("http://mystore1.ru/price_items/search?utf8=%E2%9C%93&amp;oem=8282BGNHW","8282BGNHW")</f>
        <v>8282BGNHW</v>
      </c>
      <c r="B8983" s="1" t="s">
        <v>17075</v>
      </c>
      <c r="C8983" s="9" t="s">
        <v>94</v>
      </c>
      <c r="D8983" s="14" t="s">
        <v>17076</v>
      </c>
      <c r="E8983" s="9" t="s">
        <v>30</v>
      </c>
    </row>
    <row r="8984" spans="1:5" ht="15" customHeight="1" outlineLevel="2" x14ac:dyDescent="0.25">
      <c r="A8984" s="3" t="str">
        <f>HYPERLINK("http://mystore1.ru/price_items/search?utf8=%E2%9C%93&amp;oem=8282BGNS","8282BGNS")</f>
        <v>8282BGNS</v>
      </c>
      <c r="B8984" s="1" t="s">
        <v>17077</v>
      </c>
      <c r="C8984" s="9" t="s">
        <v>94</v>
      </c>
      <c r="D8984" s="14" t="s">
        <v>17078</v>
      </c>
      <c r="E8984" s="9" t="s">
        <v>30</v>
      </c>
    </row>
    <row r="8985" spans="1:5" ht="15" customHeight="1" outlineLevel="2" x14ac:dyDescent="0.25">
      <c r="A8985" s="3" t="str">
        <f>HYPERLINK("http://mystore1.ru/price_items/search?utf8=%E2%9C%93&amp;oem=8282LBLH5FDW","8282LBLH5FDW")</f>
        <v>8282LBLH5FDW</v>
      </c>
      <c r="B8985" s="1" t="s">
        <v>17079</v>
      </c>
      <c r="C8985" s="9" t="s">
        <v>94</v>
      </c>
      <c r="D8985" s="14" t="s">
        <v>17080</v>
      </c>
      <c r="E8985" s="9" t="s">
        <v>11</v>
      </c>
    </row>
    <row r="8986" spans="1:5" ht="15" customHeight="1" outlineLevel="2" x14ac:dyDescent="0.25">
      <c r="A8986" s="3" t="str">
        <f>HYPERLINK("http://mystore1.ru/price_items/search?utf8=%E2%9C%93&amp;oem=8282LBLS4RDW","8282LBLS4RDW")</f>
        <v>8282LBLS4RDW</v>
      </c>
      <c r="B8986" s="1" t="s">
        <v>17081</v>
      </c>
      <c r="C8986" s="9" t="s">
        <v>94</v>
      </c>
      <c r="D8986" s="14" t="s">
        <v>17082</v>
      </c>
      <c r="E8986" s="9" t="s">
        <v>11</v>
      </c>
    </row>
    <row r="8987" spans="1:5" ht="15" customHeight="1" outlineLevel="2" x14ac:dyDescent="0.25">
      <c r="A8987" s="3" t="str">
        <f>HYPERLINK("http://mystore1.ru/price_items/search?utf8=%E2%9C%93&amp;oem=8282LGNH5FDW","8282LGNH5FDW")</f>
        <v>8282LGNH5FDW</v>
      </c>
      <c r="B8987" s="1" t="s">
        <v>17083</v>
      </c>
      <c r="C8987" s="9" t="s">
        <v>94</v>
      </c>
      <c r="D8987" s="14" t="s">
        <v>17084</v>
      </c>
      <c r="E8987" s="9" t="s">
        <v>11</v>
      </c>
    </row>
    <row r="8988" spans="1:5" ht="15" customHeight="1" outlineLevel="2" x14ac:dyDescent="0.25">
      <c r="A8988" s="3" t="str">
        <f>HYPERLINK("http://mystore1.ru/price_items/search?utf8=%E2%9C%93&amp;oem=8282LGNH5RDW","8282LGNH5RDW")</f>
        <v>8282LGNH5RDW</v>
      </c>
      <c r="B8988" s="1" t="s">
        <v>17085</v>
      </c>
      <c r="C8988" s="9" t="s">
        <v>94</v>
      </c>
      <c r="D8988" s="14" t="s">
        <v>17086</v>
      </c>
      <c r="E8988" s="9" t="s">
        <v>11</v>
      </c>
    </row>
    <row r="8989" spans="1:5" ht="15" customHeight="1" outlineLevel="2" x14ac:dyDescent="0.25">
      <c r="A8989" s="3" t="str">
        <f>HYPERLINK("http://mystore1.ru/price_items/search?utf8=%E2%9C%93&amp;oem=8282LGNS4RDW","8282LGNS4RDW")</f>
        <v>8282LGNS4RDW</v>
      </c>
      <c r="B8989" s="1" t="s">
        <v>17087</v>
      </c>
      <c r="C8989" s="9" t="s">
        <v>94</v>
      </c>
      <c r="D8989" s="14" t="s">
        <v>17088</v>
      </c>
      <c r="E8989" s="9" t="s">
        <v>11</v>
      </c>
    </row>
    <row r="8990" spans="1:5" ht="15" customHeight="1" outlineLevel="2" x14ac:dyDescent="0.25">
      <c r="A8990" s="3" t="str">
        <f>HYPERLINK("http://mystore1.ru/price_items/search?utf8=%E2%9C%93&amp;oem=8282LGNS4RVW","8282LGNS4RVW")</f>
        <v>8282LGNS4RVW</v>
      </c>
      <c r="B8990" s="1" t="s">
        <v>17089</v>
      </c>
      <c r="C8990" s="9" t="s">
        <v>94</v>
      </c>
      <c r="D8990" s="14" t="s">
        <v>17090</v>
      </c>
      <c r="E8990" s="9" t="s">
        <v>11</v>
      </c>
    </row>
    <row r="8991" spans="1:5" ht="15" customHeight="1" outlineLevel="2" x14ac:dyDescent="0.25">
      <c r="A8991" s="3" t="str">
        <f>HYPERLINK("http://mystore1.ru/price_items/search?utf8=%E2%9C%93&amp;oem=8282RBLH5FDW","8282RBLH5FDW")</f>
        <v>8282RBLH5FDW</v>
      </c>
      <c r="B8991" s="1" t="s">
        <v>17091</v>
      </c>
      <c r="C8991" s="9" t="s">
        <v>94</v>
      </c>
      <c r="D8991" s="14" t="s">
        <v>17092</v>
      </c>
      <c r="E8991" s="9" t="s">
        <v>11</v>
      </c>
    </row>
    <row r="8992" spans="1:5" ht="15" customHeight="1" outlineLevel="2" x14ac:dyDescent="0.25">
      <c r="A8992" s="3" t="str">
        <f>HYPERLINK("http://mystore1.ru/price_items/search?utf8=%E2%9C%93&amp;oem=8282RBLS4RDW","8282RBLS4RDW")</f>
        <v>8282RBLS4RDW</v>
      </c>
      <c r="B8992" s="1" t="s">
        <v>17093</v>
      </c>
      <c r="C8992" s="9" t="s">
        <v>94</v>
      </c>
      <c r="D8992" s="14" t="s">
        <v>17094</v>
      </c>
      <c r="E8992" s="9" t="s">
        <v>11</v>
      </c>
    </row>
    <row r="8993" spans="1:5" ht="15" customHeight="1" outlineLevel="2" x14ac:dyDescent="0.25">
      <c r="A8993" s="3" t="str">
        <f>HYPERLINK("http://mystore1.ru/price_items/search?utf8=%E2%9C%93&amp;oem=8282RBLS4RV","8282RBLS4RV")</f>
        <v>8282RBLS4RV</v>
      </c>
      <c r="B8993" s="1" t="s">
        <v>17095</v>
      </c>
      <c r="C8993" s="9" t="s">
        <v>94</v>
      </c>
      <c r="D8993" s="14" t="s">
        <v>17096</v>
      </c>
      <c r="E8993" s="9" t="s">
        <v>11</v>
      </c>
    </row>
    <row r="8994" spans="1:5" ht="15" customHeight="1" outlineLevel="2" x14ac:dyDescent="0.25">
      <c r="A8994" s="3" t="str">
        <f>HYPERLINK("http://mystore1.ru/price_items/search?utf8=%E2%9C%93&amp;oem=8282RGNH5FDW","8282RGNH5FDW")</f>
        <v>8282RGNH5FDW</v>
      </c>
      <c r="B8994" s="1" t="s">
        <v>17097</v>
      </c>
      <c r="C8994" s="9" t="s">
        <v>94</v>
      </c>
      <c r="D8994" s="14" t="s">
        <v>17098</v>
      </c>
      <c r="E8994" s="9" t="s">
        <v>11</v>
      </c>
    </row>
    <row r="8995" spans="1:5" ht="15" customHeight="1" outlineLevel="2" x14ac:dyDescent="0.25">
      <c r="A8995" s="3" t="str">
        <f>HYPERLINK("http://mystore1.ru/price_items/search?utf8=%E2%9C%93&amp;oem=8282RGNH5RDW","8282RGNH5RDW")</f>
        <v>8282RGNH5RDW</v>
      </c>
      <c r="B8995" s="1" t="s">
        <v>17099</v>
      </c>
      <c r="C8995" s="9" t="s">
        <v>94</v>
      </c>
      <c r="D8995" s="14" t="s">
        <v>17100</v>
      </c>
      <c r="E8995" s="9" t="s">
        <v>11</v>
      </c>
    </row>
    <row r="8996" spans="1:5" ht="15" customHeight="1" outlineLevel="2" x14ac:dyDescent="0.25">
      <c r="A8996" s="3" t="str">
        <f>HYPERLINK("http://mystore1.ru/price_items/search?utf8=%E2%9C%93&amp;oem=8282RGNS4RDW","8282RGNS4RDW")</f>
        <v>8282RGNS4RDW</v>
      </c>
      <c r="B8996" s="1" t="s">
        <v>17101</v>
      </c>
      <c r="C8996" s="9" t="s">
        <v>94</v>
      </c>
      <c r="D8996" s="14" t="s">
        <v>17102</v>
      </c>
      <c r="E8996" s="9" t="s">
        <v>11</v>
      </c>
    </row>
    <row r="8997" spans="1:5" ht="15" customHeight="1" outlineLevel="2" x14ac:dyDescent="0.25">
      <c r="A8997" s="3" t="str">
        <f>HYPERLINK("http://mystore1.ru/price_items/search?utf8=%E2%9C%93&amp;oem=8282RGNS4RVW","8282RGNS4RVW")</f>
        <v>8282RGNS4RVW</v>
      </c>
      <c r="B8997" s="1" t="s">
        <v>17103</v>
      </c>
      <c r="C8997" s="9" t="s">
        <v>94</v>
      </c>
      <c r="D8997" s="14" t="s">
        <v>17104</v>
      </c>
      <c r="E8997" s="9" t="s">
        <v>11</v>
      </c>
    </row>
    <row r="8998" spans="1:5" outlineLevel="1" x14ac:dyDescent="0.25">
      <c r="A8998" s="2"/>
      <c r="B8998" s="6" t="s">
        <v>17105</v>
      </c>
      <c r="C8998" s="47"/>
      <c r="D8998" s="8"/>
      <c r="E8998" s="8"/>
    </row>
    <row r="8999" spans="1:5" ht="15" customHeight="1" outlineLevel="2" x14ac:dyDescent="0.25">
      <c r="A8999" s="3" t="str">
        <f>HYPERLINK("http://mystore1.ru/price_items/search?utf8=%E2%9C%93&amp;oem=8241ABL","8241ABL")</f>
        <v>8241ABL</v>
      </c>
      <c r="B8999" s="1" t="s">
        <v>17106</v>
      </c>
      <c r="C8999" s="9" t="s">
        <v>5442</v>
      </c>
      <c r="D8999" s="14" t="s">
        <v>17107</v>
      </c>
      <c r="E8999" s="9" t="s">
        <v>8</v>
      </c>
    </row>
    <row r="9000" spans="1:5" outlineLevel="1" x14ac:dyDescent="0.25">
      <c r="A9000" s="2"/>
      <c r="B9000" s="6" t="s">
        <v>17108</v>
      </c>
      <c r="C9000" s="47"/>
      <c r="D9000" s="8"/>
      <c r="E9000" s="8"/>
    </row>
    <row r="9001" spans="1:5" ht="15" customHeight="1" outlineLevel="2" x14ac:dyDescent="0.25">
      <c r="A9001" s="3" t="str">
        <f>HYPERLINK("http://mystore1.ru/price_items/search?utf8=%E2%9C%93&amp;oem=8253ABL","8253ABL")</f>
        <v>8253ABL</v>
      </c>
      <c r="B9001" s="1" t="s">
        <v>17109</v>
      </c>
      <c r="C9001" s="9" t="s">
        <v>6274</v>
      </c>
      <c r="D9001" s="14" t="s">
        <v>17110</v>
      </c>
      <c r="E9001" s="9" t="s">
        <v>8</v>
      </c>
    </row>
    <row r="9002" spans="1:5" ht="15" customHeight="1" outlineLevel="2" x14ac:dyDescent="0.25">
      <c r="A9002" s="3" t="str">
        <f>HYPERLINK("http://mystore1.ru/price_items/search?utf8=%E2%9C%93&amp;oem=8253LBLC2FD","8253LBLC2FD")</f>
        <v>8253LBLC2FD</v>
      </c>
      <c r="B9002" s="1" t="s">
        <v>17111</v>
      </c>
      <c r="C9002" s="9" t="s">
        <v>6274</v>
      </c>
      <c r="D9002" s="14" t="s">
        <v>17112</v>
      </c>
      <c r="E9002" s="9" t="s">
        <v>11</v>
      </c>
    </row>
    <row r="9003" spans="1:5" outlineLevel="1" x14ac:dyDescent="0.25">
      <c r="A9003" s="2"/>
      <c r="B9003" s="6" t="s">
        <v>17113</v>
      </c>
      <c r="C9003" s="47"/>
      <c r="D9003" s="8"/>
      <c r="E9003" s="8"/>
    </row>
    <row r="9004" spans="1:5" ht="15" customHeight="1" outlineLevel="2" x14ac:dyDescent="0.25">
      <c r="A9004" s="3" t="str">
        <f>HYPERLINK("http://mystore1.ru/price_items/search?utf8=%E2%9C%93&amp;oem=8269ABL","8269ABL")</f>
        <v>8269ABL</v>
      </c>
      <c r="B9004" s="1" t="s">
        <v>17114</v>
      </c>
      <c r="C9004" s="9" t="s">
        <v>22</v>
      </c>
      <c r="D9004" s="14" t="s">
        <v>17115</v>
      </c>
      <c r="E9004" s="9" t="s">
        <v>8</v>
      </c>
    </row>
    <row r="9005" spans="1:5" ht="15" customHeight="1" outlineLevel="2" x14ac:dyDescent="0.25">
      <c r="A9005" s="3" t="str">
        <f>HYPERLINK("http://mystore1.ru/price_items/search?utf8=%E2%9C%93&amp;oem=8269ABLBL","8269ABLBL")</f>
        <v>8269ABLBL</v>
      </c>
      <c r="B9005" s="1" t="s">
        <v>17116</v>
      </c>
      <c r="C9005" s="9" t="s">
        <v>22</v>
      </c>
      <c r="D9005" s="14" t="s">
        <v>17117</v>
      </c>
      <c r="E9005" s="9" t="s">
        <v>8</v>
      </c>
    </row>
    <row r="9006" spans="1:5" ht="15" customHeight="1" outlineLevel="2" x14ac:dyDescent="0.25">
      <c r="A9006" s="3" t="str">
        <f>HYPERLINK("http://mystore1.ru/price_items/search?utf8=%E2%9C%93&amp;oem=8269ASMC","8269ASMC")</f>
        <v>8269ASMC</v>
      </c>
      <c r="B9006" s="1" t="s">
        <v>17118</v>
      </c>
      <c r="C9006" s="9" t="s">
        <v>25</v>
      </c>
      <c r="D9006" s="14" t="s">
        <v>17119</v>
      </c>
      <c r="E9006" s="9" t="s">
        <v>27</v>
      </c>
    </row>
    <row r="9007" spans="1:5" ht="15" customHeight="1" outlineLevel="2" x14ac:dyDescent="0.25">
      <c r="A9007" s="3" t="str">
        <f>HYPERLINK("http://mystore1.ru/price_items/search?utf8=%E2%9C%93&amp;oem=8269LBLC2FD","8269LBLC2FD")</f>
        <v>8269LBLC2FD</v>
      </c>
      <c r="B9007" s="1" t="s">
        <v>17120</v>
      </c>
      <c r="C9007" s="9" t="s">
        <v>22</v>
      </c>
      <c r="D9007" s="14" t="s">
        <v>17121</v>
      </c>
      <c r="E9007" s="9" t="s">
        <v>11</v>
      </c>
    </row>
    <row r="9008" spans="1:5" ht="15" customHeight="1" outlineLevel="2" x14ac:dyDescent="0.25">
      <c r="A9008" s="3" t="str">
        <f>HYPERLINK("http://mystore1.ru/price_items/search?utf8=%E2%9C%93&amp;oem=8269RBLC2FD","8269RBLC2FD")</f>
        <v>8269RBLC2FD</v>
      </c>
      <c r="B9008" s="1" t="s">
        <v>17122</v>
      </c>
      <c r="C9008" s="9" t="s">
        <v>22</v>
      </c>
      <c r="D9008" s="14" t="s">
        <v>17123</v>
      </c>
      <c r="E9008" s="9" t="s">
        <v>11</v>
      </c>
    </row>
    <row r="9009" spans="1:5" outlineLevel="1" x14ac:dyDescent="0.25">
      <c r="A9009" s="2"/>
      <c r="B9009" s="6" t="s">
        <v>17124</v>
      </c>
      <c r="C9009" s="47"/>
      <c r="D9009" s="8"/>
      <c r="E9009" s="8"/>
    </row>
    <row r="9010" spans="1:5" ht="15" customHeight="1" outlineLevel="2" x14ac:dyDescent="0.25">
      <c r="A9010" s="3" t="str">
        <f>HYPERLINK("http://mystore1.ru/price_items/search?utf8=%E2%9C%93&amp;oem=8286ABL","8286ABL")</f>
        <v>8286ABL</v>
      </c>
      <c r="B9010" s="1" t="s">
        <v>17125</v>
      </c>
      <c r="C9010" s="9" t="s">
        <v>883</v>
      </c>
      <c r="D9010" s="14" t="s">
        <v>17126</v>
      </c>
      <c r="E9010" s="9" t="s">
        <v>8</v>
      </c>
    </row>
    <row r="9011" spans="1:5" ht="15" customHeight="1" outlineLevel="2" x14ac:dyDescent="0.25">
      <c r="A9011" s="3" t="str">
        <f>HYPERLINK("http://mystore1.ru/price_items/search?utf8=%E2%9C%93&amp;oem=8286AGN","8286AGN")</f>
        <v>8286AGN</v>
      </c>
      <c r="B9011" s="1" t="s">
        <v>17127</v>
      </c>
      <c r="C9011" s="9" t="s">
        <v>883</v>
      </c>
      <c r="D9011" s="14" t="s">
        <v>17128</v>
      </c>
      <c r="E9011" s="9" t="s">
        <v>8</v>
      </c>
    </row>
    <row r="9012" spans="1:5" ht="15" customHeight="1" outlineLevel="2" x14ac:dyDescent="0.25">
      <c r="A9012" s="3" t="str">
        <f>HYPERLINK("http://mystore1.ru/price_items/search?utf8=%E2%9C%93&amp;oem=8286ASMC","8286ASMC")</f>
        <v>8286ASMC</v>
      </c>
      <c r="B9012" s="1" t="s">
        <v>17129</v>
      </c>
      <c r="C9012" s="9" t="s">
        <v>25</v>
      </c>
      <c r="D9012" s="14" t="s">
        <v>17130</v>
      </c>
      <c r="E9012" s="9" t="s">
        <v>27</v>
      </c>
    </row>
    <row r="9013" spans="1:5" outlineLevel="1" x14ac:dyDescent="0.25">
      <c r="A9013" s="2"/>
      <c r="B9013" s="6" t="s">
        <v>17131</v>
      </c>
      <c r="C9013" s="8"/>
      <c r="D9013" s="8"/>
      <c r="E9013" s="8"/>
    </row>
    <row r="9014" spans="1:5" ht="15" customHeight="1" outlineLevel="2" x14ac:dyDescent="0.25">
      <c r="A9014" s="3" t="str">
        <f>HYPERLINK("http://mystore1.ru/price_items/search?utf8=%E2%9C%93&amp;oem=8316AGN","8316AGN")</f>
        <v>8316AGN</v>
      </c>
      <c r="B9014" s="1" t="s">
        <v>17132</v>
      </c>
      <c r="C9014" s="9" t="s">
        <v>2031</v>
      </c>
      <c r="D9014" s="14" t="s">
        <v>17133</v>
      </c>
      <c r="E9014" s="9" t="s">
        <v>8</v>
      </c>
    </row>
    <row r="9015" spans="1:5" ht="15" customHeight="1" outlineLevel="2" x14ac:dyDescent="0.25">
      <c r="A9015" s="3" t="str">
        <f>HYPERLINK("http://mystore1.ru/price_items/search?utf8=%E2%9C%93&amp;oem=8316AGN1C","8316AGN1C")</f>
        <v>8316AGN1C</v>
      </c>
      <c r="B9015" s="1" t="s">
        <v>17134</v>
      </c>
      <c r="C9015" s="9" t="s">
        <v>2031</v>
      </c>
      <c r="D9015" s="14" t="s">
        <v>17133</v>
      </c>
      <c r="E9015" s="9" t="s">
        <v>8</v>
      </c>
    </row>
    <row r="9016" spans="1:5" ht="15" customHeight="1" outlineLevel="2" x14ac:dyDescent="0.25">
      <c r="A9016" s="3" t="str">
        <f>HYPERLINK("http://mystore1.ru/price_items/search?utf8=%E2%9C%93&amp;oem=8316ASMC","8316ASMC")</f>
        <v>8316ASMC</v>
      </c>
      <c r="B9016" s="1" t="s">
        <v>17135</v>
      </c>
      <c r="C9016" s="9" t="s">
        <v>25</v>
      </c>
      <c r="D9016" s="14" t="s">
        <v>17136</v>
      </c>
      <c r="E9016" s="9" t="s">
        <v>27</v>
      </c>
    </row>
    <row r="9017" spans="1:5" outlineLevel="1" x14ac:dyDescent="0.25">
      <c r="A9017" s="2"/>
      <c r="B9017" s="6" t="s">
        <v>17137</v>
      </c>
      <c r="C9017" s="47"/>
      <c r="D9017" s="8"/>
      <c r="E9017" s="8"/>
    </row>
    <row r="9018" spans="1:5" ht="15" customHeight="1" outlineLevel="2" x14ac:dyDescent="0.25">
      <c r="A9018" s="3" t="str">
        <f>HYPERLINK("http://mystore1.ru/price_items/search?utf8=%E2%9C%93&amp;oem=8237ABL","8237ABL")</f>
        <v>8237ABL</v>
      </c>
      <c r="B9018" s="1" t="s">
        <v>17138</v>
      </c>
      <c r="C9018" s="9" t="s">
        <v>12394</v>
      </c>
      <c r="D9018" s="14" t="s">
        <v>17139</v>
      </c>
      <c r="E9018" s="9" t="s">
        <v>8</v>
      </c>
    </row>
    <row r="9019" spans="1:5" outlineLevel="1" x14ac:dyDescent="0.25">
      <c r="A9019" s="2"/>
      <c r="B9019" s="6" t="s">
        <v>17140</v>
      </c>
      <c r="C9019" s="47"/>
      <c r="D9019" s="8"/>
      <c r="E9019" s="8"/>
    </row>
    <row r="9020" spans="1:5" ht="15" customHeight="1" outlineLevel="2" x14ac:dyDescent="0.25">
      <c r="A9020" s="3" t="str">
        <f>HYPERLINK("http://mystore1.ru/price_items/search?utf8=%E2%9C%93&amp;oem=8247ABL","8247ABL")</f>
        <v>8247ABL</v>
      </c>
      <c r="B9020" s="1" t="s">
        <v>17141</v>
      </c>
      <c r="C9020" s="9" t="s">
        <v>17142</v>
      </c>
      <c r="D9020" s="14" t="s">
        <v>17143</v>
      </c>
      <c r="E9020" s="9" t="s">
        <v>8</v>
      </c>
    </row>
    <row r="9021" spans="1:5" ht="15" customHeight="1" outlineLevel="2" x14ac:dyDescent="0.25">
      <c r="A9021" s="3" t="str">
        <f>HYPERLINK("http://mystore1.ru/price_items/search?utf8=%E2%9C%93&amp;oem=8247ABLBL","8247ABLBL")</f>
        <v>8247ABLBL</v>
      </c>
      <c r="B9021" s="1" t="s">
        <v>17144</v>
      </c>
      <c r="C9021" s="9" t="s">
        <v>17142</v>
      </c>
      <c r="D9021" s="14" t="s">
        <v>17145</v>
      </c>
      <c r="E9021" s="9" t="s">
        <v>8</v>
      </c>
    </row>
    <row r="9022" spans="1:5" ht="15" customHeight="1" outlineLevel="2" x14ac:dyDescent="0.25">
      <c r="A9022" s="3" t="str">
        <f>HYPERLINK("http://mystore1.ru/price_items/search?utf8=%E2%9C%93&amp;oem=8247ACL","8247ACL")</f>
        <v>8247ACL</v>
      </c>
      <c r="B9022" s="1" t="s">
        <v>17146</v>
      </c>
      <c r="C9022" s="9" t="s">
        <v>17142</v>
      </c>
      <c r="D9022" s="14" t="s">
        <v>17147</v>
      </c>
      <c r="E9022" s="9" t="s">
        <v>8</v>
      </c>
    </row>
    <row r="9023" spans="1:5" ht="15" customHeight="1" outlineLevel="2" x14ac:dyDescent="0.25">
      <c r="A9023" s="3" t="str">
        <f>HYPERLINK("http://mystore1.ru/price_items/search?utf8=%E2%9C%93&amp;oem=8247LBLS4FD","8247LBLS4FD")</f>
        <v>8247LBLS4FD</v>
      </c>
      <c r="B9023" s="1" t="s">
        <v>17148</v>
      </c>
      <c r="C9023" s="9" t="s">
        <v>17142</v>
      </c>
      <c r="D9023" s="14" t="s">
        <v>17149</v>
      </c>
      <c r="E9023" s="9" t="s">
        <v>11</v>
      </c>
    </row>
    <row r="9024" spans="1:5" ht="15" customHeight="1" outlineLevel="2" x14ac:dyDescent="0.25">
      <c r="A9024" s="3" t="str">
        <f>HYPERLINK("http://mystore1.ru/price_items/search?utf8=%E2%9C%93&amp;oem=8247LBLS4RV","8247LBLS4RV")</f>
        <v>8247LBLS4RV</v>
      </c>
      <c r="B9024" s="1" t="s">
        <v>17150</v>
      </c>
      <c r="C9024" s="9" t="s">
        <v>17142</v>
      </c>
      <c r="D9024" s="14" t="s">
        <v>17151</v>
      </c>
      <c r="E9024" s="9" t="s">
        <v>11</v>
      </c>
    </row>
    <row r="9025" spans="1:5" ht="15" customHeight="1" outlineLevel="2" x14ac:dyDescent="0.25">
      <c r="A9025" s="3" t="str">
        <f>HYPERLINK("http://mystore1.ru/price_items/search?utf8=%E2%9C%93&amp;oem=8247RBLS4FD","8247RBLS4FD")</f>
        <v>8247RBLS4FD</v>
      </c>
      <c r="B9025" s="1" t="s">
        <v>17152</v>
      </c>
      <c r="C9025" s="9" t="s">
        <v>17142</v>
      </c>
      <c r="D9025" s="14" t="s">
        <v>17153</v>
      </c>
      <c r="E9025" s="9" t="s">
        <v>11</v>
      </c>
    </row>
    <row r="9026" spans="1:5" ht="15" customHeight="1" outlineLevel="2" x14ac:dyDescent="0.25">
      <c r="A9026" s="3" t="str">
        <f>HYPERLINK("http://mystore1.ru/price_items/search?utf8=%E2%9C%93&amp;oem=8247RBLS4RD","8247RBLS4RD")</f>
        <v>8247RBLS4RD</v>
      </c>
      <c r="B9026" s="1" t="s">
        <v>17154</v>
      </c>
      <c r="C9026" s="9" t="s">
        <v>17142</v>
      </c>
      <c r="D9026" s="14" t="s">
        <v>17155</v>
      </c>
      <c r="E9026" s="9" t="s">
        <v>11</v>
      </c>
    </row>
    <row r="9027" spans="1:5" outlineLevel="1" x14ac:dyDescent="0.25">
      <c r="A9027" s="2"/>
      <c r="B9027" s="6" t="s">
        <v>17156</v>
      </c>
      <c r="C9027" s="47"/>
      <c r="D9027" s="8"/>
      <c r="E9027" s="8"/>
    </row>
    <row r="9028" spans="1:5" ht="15" customHeight="1" outlineLevel="2" x14ac:dyDescent="0.25">
      <c r="A9028" s="3" t="str">
        <f>HYPERLINK("http://mystore1.ru/price_items/search?utf8=%E2%9C%93&amp;oem=8248ABL","8248ABL")</f>
        <v>8248ABL</v>
      </c>
      <c r="B9028" s="1" t="s">
        <v>17157</v>
      </c>
      <c r="C9028" s="9" t="s">
        <v>3476</v>
      </c>
      <c r="D9028" s="14" t="s">
        <v>17158</v>
      </c>
      <c r="E9028" s="9" t="s">
        <v>8</v>
      </c>
    </row>
    <row r="9029" spans="1:5" ht="15" customHeight="1" outlineLevel="2" x14ac:dyDescent="0.25">
      <c r="A9029" s="3" t="str">
        <f>HYPERLINK("http://mystore1.ru/price_items/search?utf8=%E2%9C%93&amp;oem=8248ACL","8248ACL")</f>
        <v>8248ACL</v>
      </c>
      <c r="B9029" s="1" t="s">
        <v>17159</v>
      </c>
      <c r="C9029" s="9" t="s">
        <v>3476</v>
      </c>
      <c r="D9029" s="14" t="s">
        <v>17160</v>
      </c>
      <c r="E9029" s="9" t="s">
        <v>8</v>
      </c>
    </row>
    <row r="9030" spans="1:5" ht="15" customHeight="1" outlineLevel="2" x14ac:dyDescent="0.25">
      <c r="A9030" s="3" t="str">
        <f>HYPERLINK("http://mystore1.ru/price_items/search?utf8=%E2%9C%93&amp;oem=8248RBLH5FD","8248RBLH5FD")</f>
        <v>8248RBLH5FD</v>
      </c>
      <c r="B9030" s="1" t="s">
        <v>17161</v>
      </c>
      <c r="C9030" s="9" t="s">
        <v>3476</v>
      </c>
      <c r="D9030" s="14" t="s">
        <v>17162</v>
      </c>
      <c r="E9030" s="9" t="s">
        <v>11</v>
      </c>
    </row>
    <row r="9031" spans="1:5" outlineLevel="1" x14ac:dyDescent="0.25">
      <c r="A9031" s="2"/>
      <c r="B9031" s="6" t="s">
        <v>17163</v>
      </c>
      <c r="C9031" s="47"/>
      <c r="D9031" s="8"/>
      <c r="E9031" s="8"/>
    </row>
    <row r="9032" spans="1:5" ht="15" customHeight="1" outlineLevel="2" x14ac:dyDescent="0.25">
      <c r="A9032" s="3" t="str">
        <f>HYPERLINK("http://mystore1.ru/price_items/search?utf8=%E2%9C%93&amp;oem=8249ABL","8249ABL")</f>
        <v>8249ABL</v>
      </c>
      <c r="B9032" s="1" t="s">
        <v>17164</v>
      </c>
      <c r="C9032" s="9" t="s">
        <v>4266</v>
      </c>
      <c r="D9032" s="14" t="s">
        <v>17165</v>
      </c>
      <c r="E9032" s="9" t="s">
        <v>8</v>
      </c>
    </row>
    <row r="9033" spans="1:5" outlineLevel="1" x14ac:dyDescent="0.25">
      <c r="A9033" s="2"/>
      <c r="B9033" s="6" t="s">
        <v>17166</v>
      </c>
      <c r="C9033" s="47"/>
      <c r="D9033" s="8"/>
      <c r="E9033" s="8"/>
    </row>
    <row r="9034" spans="1:5" ht="15" customHeight="1" outlineLevel="2" x14ac:dyDescent="0.25">
      <c r="A9034" s="3" t="str">
        <f>HYPERLINK("http://mystore1.ru/price_items/search?utf8=%E2%9C%93&amp;oem=8259ABL","8259ABL")</f>
        <v>8259ABL</v>
      </c>
      <c r="B9034" s="1" t="s">
        <v>17167</v>
      </c>
      <c r="C9034" s="9" t="s">
        <v>6346</v>
      </c>
      <c r="D9034" s="14" t="s">
        <v>17168</v>
      </c>
      <c r="E9034" s="9" t="s">
        <v>8</v>
      </c>
    </row>
    <row r="9035" spans="1:5" ht="15" customHeight="1" outlineLevel="2" x14ac:dyDescent="0.25">
      <c r="A9035" s="3" t="str">
        <f>HYPERLINK("http://mystore1.ru/price_items/search?utf8=%E2%9C%93&amp;oem=8259ABLBL","8259ABLBL")</f>
        <v>8259ABLBL</v>
      </c>
      <c r="B9035" s="1" t="s">
        <v>17169</v>
      </c>
      <c r="C9035" s="9" t="s">
        <v>6346</v>
      </c>
      <c r="D9035" s="14" t="s">
        <v>17170</v>
      </c>
      <c r="E9035" s="9" t="s">
        <v>8</v>
      </c>
    </row>
    <row r="9036" spans="1:5" ht="15" customHeight="1" outlineLevel="2" x14ac:dyDescent="0.25">
      <c r="A9036" s="3" t="str">
        <f>HYPERLINK("http://mystore1.ru/price_items/search?utf8=%E2%9C%93&amp;oem=8259ACL","8259ACL")</f>
        <v>8259ACL</v>
      </c>
      <c r="B9036" s="1" t="s">
        <v>17171</v>
      </c>
      <c r="C9036" s="9" t="s">
        <v>6346</v>
      </c>
      <c r="D9036" s="14" t="s">
        <v>17172</v>
      </c>
      <c r="E9036" s="9" t="s">
        <v>8</v>
      </c>
    </row>
    <row r="9037" spans="1:5" ht="15" customHeight="1" outlineLevel="2" x14ac:dyDescent="0.25">
      <c r="A9037" s="3" t="str">
        <f>HYPERLINK("http://mystore1.ru/price_items/search?utf8=%E2%9C%93&amp;oem=8259AGN","8259AGN")</f>
        <v>8259AGN</v>
      </c>
      <c r="B9037" s="1" t="s">
        <v>17173</v>
      </c>
      <c r="C9037" s="9" t="s">
        <v>6346</v>
      </c>
      <c r="D9037" s="14" t="s">
        <v>17174</v>
      </c>
      <c r="E9037" s="9" t="s">
        <v>8</v>
      </c>
    </row>
    <row r="9038" spans="1:5" ht="15" customHeight="1" outlineLevel="2" x14ac:dyDescent="0.25">
      <c r="A9038" s="3" t="str">
        <f>HYPERLINK("http://mystore1.ru/price_items/search?utf8=%E2%9C%93&amp;oem=8259AKCH","8259AKCH")</f>
        <v>8259AKCH</v>
      </c>
      <c r="B9038" s="1" t="s">
        <v>17175</v>
      </c>
      <c r="C9038" s="9" t="s">
        <v>25</v>
      </c>
      <c r="D9038" s="14" t="s">
        <v>17176</v>
      </c>
      <c r="E9038" s="9" t="s">
        <v>27</v>
      </c>
    </row>
    <row r="9039" spans="1:5" ht="15" customHeight="1" outlineLevel="2" x14ac:dyDescent="0.25">
      <c r="A9039" s="3" t="str">
        <f>HYPERLINK("http://mystore1.ru/price_items/search?utf8=%E2%9C%93&amp;oem=8259ASMHT","8259ASMHT")</f>
        <v>8259ASMHT</v>
      </c>
      <c r="B9039" s="1" t="s">
        <v>17177</v>
      </c>
      <c r="C9039" s="9" t="s">
        <v>25</v>
      </c>
      <c r="D9039" s="14" t="s">
        <v>17178</v>
      </c>
      <c r="E9039" s="9" t="s">
        <v>27</v>
      </c>
    </row>
    <row r="9040" spans="1:5" ht="15" customHeight="1" outlineLevel="2" x14ac:dyDescent="0.25">
      <c r="A9040" s="3" t="str">
        <f>HYPERLINK("http://mystore1.ru/price_items/search?utf8=%E2%9C%93&amp;oem=8259ASMHTC","8259ASMHTC")</f>
        <v>8259ASMHTC</v>
      </c>
      <c r="B9040" s="1" t="s">
        <v>17179</v>
      </c>
      <c r="C9040" s="9" t="s">
        <v>25</v>
      </c>
      <c r="D9040" s="14" t="s">
        <v>17178</v>
      </c>
      <c r="E9040" s="9" t="s">
        <v>27</v>
      </c>
    </row>
    <row r="9041" spans="1:5" ht="15" customHeight="1" outlineLevel="2" x14ac:dyDescent="0.25">
      <c r="A9041" s="3" t="str">
        <f>HYPERLINK("http://mystore1.ru/price_items/search?utf8=%E2%9C%93&amp;oem=8259BBLS","8259BBLS")</f>
        <v>8259BBLS</v>
      </c>
      <c r="B9041" s="1" t="s">
        <v>17180</v>
      </c>
      <c r="C9041" s="9" t="s">
        <v>6346</v>
      </c>
      <c r="D9041" s="14" t="s">
        <v>17181</v>
      </c>
      <c r="E9041" s="9" t="s">
        <v>30</v>
      </c>
    </row>
    <row r="9042" spans="1:5" ht="15" customHeight="1" outlineLevel="2" x14ac:dyDescent="0.25">
      <c r="A9042" s="3" t="str">
        <f>HYPERLINK("http://mystore1.ru/price_items/search?utf8=%E2%9C%93&amp;oem=8259LBLH3FD","8259LBLH3FD")</f>
        <v>8259LBLH3FD</v>
      </c>
      <c r="B9042" s="1" t="s">
        <v>17182</v>
      </c>
      <c r="C9042" s="9" t="s">
        <v>6346</v>
      </c>
      <c r="D9042" s="14" t="s">
        <v>17183</v>
      </c>
      <c r="E9042" s="9" t="s">
        <v>11</v>
      </c>
    </row>
    <row r="9043" spans="1:5" ht="15" customHeight="1" outlineLevel="2" x14ac:dyDescent="0.25">
      <c r="A9043" s="3" t="str">
        <f>HYPERLINK("http://mystore1.ru/price_items/search?utf8=%E2%9C%93&amp;oem=8259LBLH5FDW","8259LBLH5FDW")</f>
        <v>8259LBLH5FDW</v>
      </c>
      <c r="B9043" s="1" t="s">
        <v>17184</v>
      </c>
      <c r="C9043" s="9" t="s">
        <v>6346</v>
      </c>
      <c r="D9043" s="14" t="s">
        <v>17185</v>
      </c>
      <c r="E9043" s="9" t="s">
        <v>11</v>
      </c>
    </row>
    <row r="9044" spans="1:5" ht="15" customHeight="1" outlineLevel="2" x14ac:dyDescent="0.25">
      <c r="A9044" s="3" t="str">
        <f>HYPERLINK("http://mystore1.ru/price_items/search?utf8=%E2%9C%93&amp;oem=8259LBLS4RD","8259LBLS4RD")</f>
        <v>8259LBLS4RD</v>
      </c>
      <c r="B9044" s="1" t="s">
        <v>17186</v>
      </c>
      <c r="C9044" s="9" t="s">
        <v>6346</v>
      </c>
      <c r="D9044" s="14" t="s">
        <v>17187</v>
      </c>
      <c r="E9044" s="9" t="s">
        <v>11</v>
      </c>
    </row>
    <row r="9045" spans="1:5" ht="15" customHeight="1" outlineLevel="2" x14ac:dyDescent="0.25">
      <c r="A9045" s="3" t="str">
        <f>HYPERLINK("http://mystore1.ru/price_items/search?utf8=%E2%9C%93&amp;oem=8259LBLS4RV","8259LBLS4RV")</f>
        <v>8259LBLS4RV</v>
      </c>
      <c r="B9045" s="1" t="s">
        <v>17188</v>
      </c>
      <c r="C9045" s="9" t="s">
        <v>6346</v>
      </c>
      <c r="D9045" s="14" t="s">
        <v>17189</v>
      </c>
      <c r="E9045" s="9" t="s">
        <v>11</v>
      </c>
    </row>
    <row r="9046" spans="1:5" ht="15" customHeight="1" outlineLevel="2" x14ac:dyDescent="0.25">
      <c r="A9046" s="3" t="str">
        <f>HYPERLINK("http://mystore1.ru/price_items/search?utf8=%E2%9C%93&amp;oem=8259LCLH5FDW","8259LCLH5FDW")</f>
        <v>8259LCLH5FDW</v>
      </c>
      <c r="B9046" s="1" t="s">
        <v>17190</v>
      </c>
      <c r="C9046" s="9" t="s">
        <v>6346</v>
      </c>
      <c r="D9046" s="14" t="s">
        <v>17191</v>
      </c>
      <c r="E9046" s="9" t="s">
        <v>11</v>
      </c>
    </row>
    <row r="9047" spans="1:5" ht="15" customHeight="1" outlineLevel="2" x14ac:dyDescent="0.25">
      <c r="A9047" s="3" t="str">
        <f>HYPERLINK("http://mystore1.ru/price_items/search?utf8=%E2%9C%93&amp;oem=8259RBLH3FD","8259RBLH3FD")</f>
        <v>8259RBLH3FD</v>
      </c>
      <c r="B9047" s="1" t="s">
        <v>17192</v>
      </c>
      <c r="C9047" s="9" t="s">
        <v>6346</v>
      </c>
      <c r="D9047" s="14" t="s">
        <v>17193</v>
      </c>
      <c r="E9047" s="9" t="s">
        <v>11</v>
      </c>
    </row>
    <row r="9048" spans="1:5" ht="15" customHeight="1" outlineLevel="2" x14ac:dyDescent="0.25">
      <c r="A9048" s="3" t="str">
        <f>HYPERLINK("http://mystore1.ru/price_items/search?utf8=%E2%9C%93&amp;oem=8259RBLH5FDW","8259RBLH5FDW")</f>
        <v>8259RBLH5FDW</v>
      </c>
      <c r="B9048" s="1" t="s">
        <v>17194</v>
      </c>
      <c r="C9048" s="9" t="s">
        <v>6346</v>
      </c>
      <c r="D9048" s="14" t="s">
        <v>17195</v>
      </c>
      <c r="E9048" s="9" t="s">
        <v>11</v>
      </c>
    </row>
    <row r="9049" spans="1:5" ht="15" customHeight="1" outlineLevel="2" x14ac:dyDescent="0.25">
      <c r="A9049" s="3" t="str">
        <f>HYPERLINK("http://mystore1.ru/price_items/search?utf8=%E2%9C%93&amp;oem=8259RBLS4RD","8259RBLS4RD")</f>
        <v>8259RBLS4RD</v>
      </c>
      <c r="B9049" s="1" t="s">
        <v>17196</v>
      </c>
      <c r="C9049" s="9" t="s">
        <v>6346</v>
      </c>
      <c r="D9049" s="14" t="s">
        <v>17197</v>
      </c>
      <c r="E9049" s="9" t="s">
        <v>11</v>
      </c>
    </row>
    <row r="9050" spans="1:5" ht="15" customHeight="1" outlineLevel="2" x14ac:dyDescent="0.25">
      <c r="A9050" s="3" t="str">
        <f>HYPERLINK("http://mystore1.ru/price_items/search?utf8=%E2%9C%93&amp;oem=8259RCLH5FDW","8259RCLH5FDW")</f>
        <v>8259RCLH5FDW</v>
      </c>
      <c r="B9050" s="1" t="s">
        <v>17198</v>
      </c>
      <c r="C9050" s="9" t="s">
        <v>6346</v>
      </c>
      <c r="D9050" s="14" t="s">
        <v>17195</v>
      </c>
      <c r="E9050" s="9" t="s">
        <v>11</v>
      </c>
    </row>
    <row r="9051" spans="1:5" ht="15" customHeight="1" outlineLevel="2" x14ac:dyDescent="0.25">
      <c r="A9051" s="3" t="str">
        <f>HYPERLINK("http://mystore1.ru/price_items/search?utf8=%E2%9C%93&amp;oem=8259RCLS4RD","8259RCLS4RD")</f>
        <v>8259RCLS4RD</v>
      </c>
      <c r="B9051" s="1" t="s">
        <v>17199</v>
      </c>
      <c r="C9051" s="9" t="s">
        <v>6346</v>
      </c>
      <c r="D9051" s="14" t="s">
        <v>17200</v>
      </c>
      <c r="E9051" s="9" t="s">
        <v>11</v>
      </c>
    </row>
    <row r="9052" spans="1:5" outlineLevel="1" x14ac:dyDescent="0.25">
      <c r="A9052" s="2"/>
      <c r="B9052" s="6" t="s">
        <v>17201</v>
      </c>
      <c r="C9052" s="47"/>
      <c r="D9052" s="8"/>
      <c r="E9052" s="8"/>
    </row>
    <row r="9053" spans="1:5" ht="15" customHeight="1" outlineLevel="2" x14ac:dyDescent="0.25">
      <c r="A9053" s="3" t="str">
        <f>HYPERLINK("http://mystore1.ru/price_items/search?utf8=%E2%9C%93&amp;oem=8260ABL","8260ABL")</f>
        <v>8260ABL</v>
      </c>
      <c r="B9053" s="1" t="s">
        <v>17202</v>
      </c>
      <c r="C9053" s="9" t="s">
        <v>6346</v>
      </c>
      <c r="D9053" s="14" t="s">
        <v>17203</v>
      </c>
      <c r="E9053" s="9" t="s">
        <v>8</v>
      </c>
    </row>
    <row r="9054" spans="1:5" ht="15" customHeight="1" outlineLevel="2" x14ac:dyDescent="0.25">
      <c r="A9054" s="3" t="str">
        <f>HYPERLINK("http://mystore1.ru/price_items/search?utf8=%E2%9C%93&amp;oem=8260ABLBL","8260ABLBL")</f>
        <v>8260ABLBL</v>
      </c>
      <c r="B9054" s="1" t="s">
        <v>17204</v>
      </c>
      <c r="C9054" s="9" t="s">
        <v>6346</v>
      </c>
      <c r="D9054" s="14" t="s">
        <v>17205</v>
      </c>
      <c r="E9054" s="9" t="s">
        <v>8</v>
      </c>
    </row>
    <row r="9055" spans="1:5" ht="15" customHeight="1" outlineLevel="2" x14ac:dyDescent="0.25">
      <c r="A9055" s="3" t="str">
        <f>HYPERLINK("http://mystore1.ru/price_items/search?utf8=%E2%9C%93&amp;oem=8260ACL","8260ACL")</f>
        <v>8260ACL</v>
      </c>
      <c r="B9055" s="1" t="s">
        <v>17206</v>
      </c>
      <c r="C9055" s="9" t="s">
        <v>6346</v>
      </c>
      <c r="D9055" s="14" t="s">
        <v>17207</v>
      </c>
      <c r="E9055" s="9" t="s">
        <v>8</v>
      </c>
    </row>
    <row r="9056" spans="1:5" ht="15" customHeight="1" outlineLevel="2" x14ac:dyDescent="0.25">
      <c r="A9056" s="3" t="str">
        <f>HYPERLINK("http://mystore1.ru/price_items/search?utf8=%E2%9C%93&amp;oem=8260AKCH","8260AKCH")</f>
        <v>8260AKCH</v>
      </c>
      <c r="B9056" s="1" t="s">
        <v>17208</v>
      </c>
      <c r="C9056" s="9" t="s">
        <v>25</v>
      </c>
      <c r="D9056" s="14" t="s">
        <v>17209</v>
      </c>
      <c r="E9056" s="9" t="s">
        <v>27</v>
      </c>
    </row>
    <row r="9057" spans="1:5" ht="15" customHeight="1" outlineLevel="2" x14ac:dyDescent="0.25">
      <c r="A9057" s="3" t="str">
        <f>HYPERLINK("http://mystore1.ru/price_items/search?utf8=%E2%9C%93&amp;oem=8260ASMH","8260ASMH")</f>
        <v>8260ASMH</v>
      </c>
      <c r="B9057" s="1" t="s">
        <v>17210</v>
      </c>
      <c r="C9057" s="9" t="s">
        <v>25</v>
      </c>
      <c r="D9057" s="14" t="s">
        <v>17211</v>
      </c>
      <c r="E9057" s="9" t="s">
        <v>27</v>
      </c>
    </row>
    <row r="9058" spans="1:5" ht="15" customHeight="1" outlineLevel="2" x14ac:dyDescent="0.25">
      <c r="A9058" s="3" t="str">
        <f>HYPERLINK("http://mystore1.ru/price_items/search?utf8=%E2%9C%93&amp;oem=8260LBLH5FDW","8260LBLH5FDW")</f>
        <v>8260LBLH5FDW</v>
      </c>
      <c r="B9058" s="1" t="s">
        <v>17212</v>
      </c>
      <c r="C9058" s="9" t="s">
        <v>6346</v>
      </c>
      <c r="D9058" s="14" t="s">
        <v>17213</v>
      </c>
      <c r="E9058" s="9" t="s">
        <v>11</v>
      </c>
    </row>
    <row r="9059" spans="1:5" ht="15" customHeight="1" outlineLevel="2" x14ac:dyDescent="0.25">
      <c r="A9059" s="3" t="str">
        <f>HYPERLINK("http://mystore1.ru/price_items/search?utf8=%E2%9C%93&amp;oem=8260LBLH5RD","8260LBLH5RD")</f>
        <v>8260LBLH5RD</v>
      </c>
      <c r="B9059" s="1" t="s">
        <v>17214</v>
      </c>
      <c r="C9059" s="9" t="s">
        <v>6346</v>
      </c>
      <c r="D9059" s="14" t="s">
        <v>17215</v>
      </c>
      <c r="E9059" s="9" t="s">
        <v>11</v>
      </c>
    </row>
    <row r="9060" spans="1:5" ht="15" customHeight="1" outlineLevel="2" x14ac:dyDescent="0.25">
      <c r="A9060" s="3" t="str">
        <f>HYPERLINK("http://mystore1.ru/price_items/search?utf8=%E2%9C%93&amp;oem=8260RBLH5FDW","8260RBLH5FDW")</f>
        <v>8260RBLH5FDW</v>
      </c>
      <c r="B9060" s="1" t="s">
        <v>17216</v>
      </c>
      <c r="C9060" s="9" t="s">
        <v>6346</v>
      </c>
      <c r="D9060" s="14" t="s">
        <v>17217</v>
      </c>
      <c r="E9060" s="9" t="s">
        <v>11</v>
      </c>
    </row>
    <row r="9061" spans="1:5" ht="15" customHeight="1" outlineLevel="2" x14ac:dyDescent="0.25">
      <c r="A9061" s="3" t="str">
        <f>HYPERLINK("http://mystore1.ru/price_items/search?utf8=%E2%9C%93&amp;oem=8260RBLH5RD","8260RBLH5RD")</f>
        <v>8260RBLH5RD</v>
      </c>
      <c r="B9061" s="1" t="s">
        <v>17218</v>
      </c>
      <c r="C9061" s="9" t="s">
        <v>6346</v>
      </c>
      <c r="D9061" s="14" t="s">
        <v>17219</v>
      </c>
      <c r="E9061" s="9" t="s">
        <v>11</v>
      </c>
    </row>
    <row r="9062" spans="1:5" outlineLevel="1" x14ac:dyDescent="0.25">
      <c r="A9062" s="2"/>
      <c r="B9062" s="6" t="s">
        <v>17220</v>
      </c>
      <c r="C9062" s="47"/>
      <c r="D9062" s="8"/>
      <c r="E9062" s="8"/>
    </row>
    <row r="9063" spans="1:5" ht="15" customHeight="1" outlineLevel="2" x14ac:dyDescent="0.25">
      <c r="A9063" s="3" t="str">
        <f>HYPERLINK("http://mystore1.ru/price_items/search?utf8=%E2%9C%93&amp;oem=8280ABL","8280ABL")</f>
        <v>8280ABL</v>
      </c>
      <c r="B9063" s="1" t="s">
        <v>17221</v>
      </c>
      <c r="C9063" s="9" t="s">
        <v>6358</v>
      </c>
      <c r="D9063" s="14" t="s">
        <v>17222</v>
      </c>
      <c r="E9063" s="9" t="s">
        <v>8</v>
      </c>
    </row>
    <row r="9064" spans="1:5" ht="15" customHeight="1" outlineLevel="2" x14ac:dyDescent="0.25">
      <c r="A9064" s="3" t="str">
        <f>HYPERLINK("http://mystore1.ru/price_items/search?utf8=%E2%9C%93&amp;oem=8280ABLBL","8280ABLBL")</f>
        <v>8280ABLBL</v>
      </c>
      <c r="B9064" s="1" t="s">
        <v>17223</v>
      </c>
      <c r="C9064" s="9" t="s">
        <v>6358</v>
      </c>
      <c r="D9064" s="14" t="s">
        <v>17224</v>
      </c>
      <c r="E9064" s="9" t="s">
        <v>8</v>
      </c>
    </row>
    <row r="9065" spans="1:5" ht="15" customHeight="1" outlineLevel="2" x14ac:dyDescent="0.25">
      <c r="A9065" s="3" t="str">
        <f>HYPERLINK("http://mystore1.ru/price_items/search?utf8=%E2%9C%93&amp;oem=8280ACL","8280ACL")</f>
        <v>8280ACL</v>
      </c>
      <c r="B9065" s="1" t="s">
        <v>17225</v>
      </c>
      <c r="C9065" s="9" t="s">
        <v>6358</v>
      </c>
      <c r="D9065" s="14" t="s">
        <v>17226</v>
      </c>
      <c r="E9065" s="9" t="s">
        <v>8</v>
      </c>
    </row>
    <row r="9066" spans="1:5" ht="15" customHeight="1" outlineLevel="2" x14ac:dyDescent="0.25">
      <c r="A9066" s="3" t="str">
        <f>HYPERLINK("http://mystore1.ru/price_items/search?utf8=%E2%9C%93&amp;oem=8280AGN","8280AGN")</f>
        <v>8280AGN</v>
      </c>
      <c r="B9066" s="1" t="s">
        <v>17227</v>
      </c>
      <c r="C9066" s="9" t="s">
        <v>6358</v>
      </c>
      <c r="D9066" s="14" t="s">
        <v>17228</v>
      </c>
      <c r="E9066" s="9" t="s">
        <v>8</v>
      </c>
    </row>
    <row r="9067" spans="1:5" ht="15" customHeight="1" outlineLevel="2" x14ac:dyDescent="0.25">
      <c r="A9067" s="3" t="str">
        <f>HYPERLINK("http://mystore1.ru/price_items/search?utf8=%E2%9C%93&amp;oem=8280AGNBL","8280AGNBL")</f>
        <v>8280AGNBL</v>
      </c>
      <c r="B9067" s="1" t="s">
        <v>17229</v>
      </c>
      <c r="C9067" s="9" t="s">
        <v>6358</v>
      </c>
      <c r="D9067" s="14" t="s">
        <v>17230</v>
      </c>
      <c r="E9067" s="9" t="s">
        <v>8</v>
      </c>
    </row>
    <row r="9068" spans="1:5" ht="15" customHeight="1" outlineLevel="2" x14ac:dyDescent="0.25">
      <c r="A9068" s="3" t="str">
        <f>HYPERLINK("http://mystore1.ru/price_items/search?utf8=%E2%9C%93&amp;oem=8280ASMH","8280ASMH")</f>
        <v>8280ASMH</v>
      </c>
      <c r="B9068" s="1" t="s">
        <v>17231</v>
      </c>
      <c r="C9068" s="9" t="s">
        <v>25</v>
      </c>
      <c r="D9068" s="14" t="s">
        <v>17232</v>
      </c>
      <c r="E9068" s="9" t="s">
        <v>27</v>
      </c>
    </row>
    <row r="9069" spans="1:5" ht="15" customHeight="1" outlineLevel="2" x14ac:dyDescent="0.25">
      <c r="A9069" s="3" t="str">
        <f>HYPERLINK("http://mystore1.ru/price_items/search?utf8=%E2%9C%93&amp;oem=8280BBLH","8280BBLH")</f>
        <v>8280BBLH</v>
      </c>
      <c r="B9069" s="1" t="s">
        <v>17233</v>
      </c>
      <c r="C9069" s="9" t="s">
        <v>6358</v>
      </c>
      <c r="D9069" s="14" t="s">
        <v>17234</v>
      </c>
      <c r="E9069" s="9" t="s">
        <v>30</v>
      </c>
    </row>
    <row r="9070" spans="1:5" ht="15" customHeight="1" outlineLevel="2" x14ac:dyDescent="0.25">
      <c r="A9070" s="3" t="str">
        <f>HYPERLINK("http://mystore1.ru/price_items/search?utf8=%E2%9C%93&amp;oem=8280BBLS","8280BBLS")</f>
        <v>8280BBLS</v>
      </c>
      <c r="B9070" s="1" t="s">
        <v>17235</v>
      </c>
      <c r="C9070" s="9" t="s">
        <v>6358</v>
      </c>
      <c r="D9070" s="14" t="s">
        <v>17236</v>
      </c>
      <c r="E9070" s="9" t="s">
        <v>30</v>
      </c>
    </row>
    <row r="9071" spans="1:5" ht="15" customHeight="1" outlineLevel="2" x14ac:dyDescent="0.25">
      <c r="A9071" s="3" t="str">
        <f>HYPERLINK("http://mystore1.ru/price_items/search?utf8=%E2%9C%93&amp;oem=8280LBLE5RV","8280LBLE5RV")</f>
        <v>8280LBLE5RV</v>
      </c>
      <c r="B9071" s="1" t="s">
        <v>17237</v>
      </c>
      <c r="C9071" s="9" t="s">
        <v>6358</v>
      </c>
      <c r="D9071" s="14" t="s">
        <v>17238</v>
      </c>
      <c r="E9071" s="9" t="s">
        <v>11</v>
      </c>
    </row>
    <row r="9072" spans="1:5" ht="15" customHeight="1" outlineLevel="2" x14ac:dyDescent="0.25">
      <c r="A9072" s="3" t="str">
        <f>HYPERLINK("http://mystore1.ru/price_items/search?utf8=%E2%9C%93&amp;oem=8280LBLH3FDW","8280LBLH3FDW")</f>
        <v>8280LBLH3FDW</v>
      </c>
      <c r="B9072" s="1" t="s">
        <v>17239</v>
      </c>
      <c r="C9072" s="9" t="s">
        <v>6358</v>
      </c>
      <c r="D9072" s="14" t="s">
        <v>17240</v>
      </c>
      <c r="E9072" s="9" t="s">
        <v>11</v>
      </c>
    </row>
    <row r="9073" spans="1:5" ht="15" customHeight="1" outlineLevel="2" x14ac:dyDescent="0.25">
      <c r="A9073" s="3" t="str">
        <f>HYPERLINK("http://mystore1.ru/price_items/search?utf8=%E2%9C%93&amp;oem=8280LBLH5FDW","8280LBLH5FDW")</f>
        <v>8280LBLH5FDW</v>
      </c>
      <c r="B9073" s="1" t="s">
        <v>17241</v>
      </c>
      <c r="C9073" s="9" t="s">
        <v>6358</v>
      </c>
      <c r="D9073" s="14" t="s">
        <v>17242</v>
      </c>
      <c r="E9073" s="9" t="s">
        <v>11</v>
      </c>
    </row>
    <row r="9074" spans="1:5" ht="15" customHeight="1" outlineLevel="2" x14ac:dyDescent="0.25">
      <c r="A9074" s="3" t="str">
        <f>HYPERLINK("http://mystore1.ru/price_items/search?utf8=%E2%9C%93&amp;oem=8280LBLH5RD","8280LBLH5RD")</f>
        <v>8280LBLH5RD</v>
      </c>
      <c r="B9074" s="1" t="s">
        <v>17243</v>
      </c>
      <c r="C9074" s="9" t="s">
        <v>6358</v>
      </c>
      <c r="D9074" s="14" t="s">
        <v>17244</v>
      </c>
      <c r="E9074" s="9" t="s">
        <v>11</v>
      </c>
    </row>
    <row r="9075" spans="1:5" ht="15" customHeight="1" outlineLevel="2" x14ac:dyDescent="0.25">
      <c r="A9075" s="3" t="str">
        <f>HYPERLINK("http://mystore1.ru/price_items/search?utf8=%E2%9C%93&amp;oem=8280LBLS4RD","8280LBLS4RD")</f>
        <v>8280LBLS4RD</v>
      </c>
      <c r="B9075" s="1" t="s">
        <v>17245</v>
      </c>
      <c r="C9075" s="9" t="s">
        <v>6358</v>
      </c>
      <c r="D9075" s="14" t="s">
        <v>17246</v>
      </c>
      <c r="E9075" s="9" t="s">
        <v>11</v>
      </c>
    </row>
    <row r="9076" spans="1:5" ht="15" customHeight="1" outlineLevel="2" x14ac:dyDescent="0.25">
      <c r="A9076" s="3" t="str">
        <f>HYPERLINK("http://mystore1.ru/price_items/search?utf8=%E2%9C%93&amp;oem=8280LBLS4RV","8280LBLS4RV")</f>
        <v>8280LBLS4RV</v>
      </c>
      <c r="B9076" s="1" t="s">
        <v>17247</v>
      </c>
      <c r="C9076" s="9" t="s">
        <v>6358</v>
      </c>
      <c r="D9076" s="14" t="s">
        <v>17248</v>
      </c>
      <c r="E9076" s="9" t="s">
        <v>11</v>
      </c>
    </row>
    <row r="9077" spans="1:5" ht="15" customHeight="1" outlineLevel="2" x14ac:dyDescent="0.25">
      <c r="A9077" s="3" t="str">
        <f>HYPERLINK("http://mystore1.ru/price_items/search?utf8=%E2%9C%93&amp;oem=8280LCLS4RV","8280LCLS4RV")</f>
        <v>8280LCLS4RV</v>
      </c>
      <c r="B9077" s="1" t="s">
        <v>17249</v>
      </c>
      <c r="C9077" s="9" t="s">
        <v>6358</v>
      </c>
      <c r="D9077" s="14" t="s">
        <v>17250</v>
      </c>
      <c r="E9077" s="9" t="s">
        <v>11</v>
      </c>
    </row>
    <row r="9078" spans="1:5" ht="15" customHeight="1" outlineLevel="2" x14ac:dyDescent="0.25">
      <c r="A9078" s="3" t="str">
        <f>HYPERLINK("http://mystore1.ru/price_items/search?utf8=%E2%9C%93&amp;oem=8280RBLH3FDW","8280RBLH3FDW")</f>
        <v>8280RBLH3FDW</v>
      </c>
      <c r="B9078" s="1" t="s">
        <v>17251</v>
      </c>
      <c r="C9078" s="9" t="s">
        <v>6358</v>
      </c>
      <c r="D9078" s="14" t="s">
        <v>17252</v>
      </c>
      <c r="E9078" s="9" t="s">
        <v>11</v>
      </c>
    </row>
    <row r="9079" spans="1:5" ht="15" customHeight="1" outlineLevel="2" x14ac:dyDescent="0.25">
      <c r="A9079" s="3" t="str">
        <f>HYPERLINK("http://mystore1.ru/price_items/search?utf8=%E2%9C%93&amp;oem=8280RBLH5FDW","8280RBLH5FDW")</f>
        <v>8280RBLH5FDW</v>
      </c>
      <c r="B9079" s="1" t="s">
        <v>17253</v>
      </c>
      <c r="C9079" s="9" t="s">
        <v>6358</v>
      </c>
      <c r="D9079" s="14" t="s">
        <v>17254</v>
      </c>
      <c r="E9079" s="9" t="s">
        <v>11</v>
      </c>
    </row>
    <row r="9080" spans="1:5" ht="15" customHeight="1" outlineLevel="2" x14ac:dyDescent="0.25">
      <c r="A9080" s="3" t="str">
        <f>HYPERLINK("http://mystore1.ru/price_items/search?utf8=%E2%9C%93&amp;oem=8280RBLH5RD","8280RBLH5RD")</f>
        <v>8280RBLH5RD</v>
      </c>
      <c r="B9080" s="1" t="s">
        <v>17255</v>
      </c>
      <c r="C9080" s="9" t="s">
        <v>6358</v>
      </c>
      <c r="D9080" s="14" t="s">
        <v>17256</v>
      </c>
      <c r="E9080" s="9" t="s">
        <v>11</v>
      </c>
    </row>
    <row r="9081" spans="1:5" ht="15" customHeight="1" outlineLevel="2" x14ac:dyDescent="0.25">
      <c r="A9081" s="3" t="str">
        <f>HYPERLINK("http://mystore1.ru/price_items/search?utf8=%E2%9C%93&amp;oem=8280RBLS4RD","8280RBLS4RD")</f>
        <v>8280RBLS4RD</v>
      </c>
      <c r="B9081" s="1" t="s">
        <v>17257</v>
      </c>
      <c r="C9081" s="9" t="s">
        <v>6358</v>
      </c>
      <c r="D9081" s="14" t="s">
        <v>17258</v>
      </c>
      <c r="E9081" s="9" t="s">
        <v>11</v>
      </c>
    </row>
    <row r="9082" spans="1:5" ht="15" customHeight="1" outlineLevel="2" x14ac:dyDescent="0.25">
      <c r="A9082" s="3" t="str">
        <f>HYPERLINK("http://mystore1.ru/price_items/search?utf8=%E2%9C%93&amp;oem=8280RBLS4RV","8280RBLS4RV")</f>
        <v>8280RBLS4RV</v>
      </c>
      <c r="B9082" s="1" t="s">
        <v>17259</v>
      </c>
      <c r="C9082" s="9" t="s">
        <v>6358</v>
      </c>
      <c r="D9082" s="14" t="s">
        <v>17260</v>
      </c>
      <c r="E9082" s="9" t="s">
        <v>11</v>
      </c>
    </row>
    <row r="9083" spans="1:5" outlineLevel="1" x14ac:dyDescent="0.25">
      <c r="A9083" s="2"/>
      <c r="B9083" s="6" t="s">
        <v>17261</v>
      </c>
      <c r="C9083" s="47"/>
      <c r="D9083" s="8"/>
      <c r="E9083" s="8"/>
    </row>
    <row r="9084" spans="1:5" ht="15" customHeight="1" outlineLevel="2" x14ac:dyDescent="0.25">
      <c r="A9084" s="3" t="str">
        <f>HYPERLINK("http://mystore1.ru/price_items/search?utf8=%E2%9C%93&amp;oem=8281ABL","8281ABL")</f>
        <v>8281ABL</v>
      </c>
      <c r="B9084" s="1" t="s">
        <v>17262</v>
      </c>
      <c r="C9084" s="9" t="s">
        <v>6358</v>
      </c>
      <c r="D9084" s="14" t="s">
        <v>17263</v>
      </c>
      <c r="E9084" s="9" t="s">
        <v>8</v>
      </c>
    </row>
    <row r="9085" spans="1:5" ht="15" customHeight="1" outlineLevel="2" x14ac:dyDescent="0.25">
      <c r="A9085" s="3" t="str">
        <f>HYPERLINK("http://mystore1.ru/price_items/search?utf8=%E2%9C%93&amp;oem=8281ABLBL","8281ABLBL")</f>
        <v>8281ABLBL</v>
      </c>
      <c r="B9085" s="1" t="s">
        <v>17264</v>
      </c>
      <c r="C9085" s="9" t="s">
        <v>6358</v>
      </c>
      <c r="D9085" s="14" t="s">
        <v>17265</v>
      </c>
      <c r="E9085" s="9" t="s">
        <v>8</v>
      </c>
    </row>
    <row r="9086" spans="1:5" ht="15" customHeight="1" outlineLevel="2" x14ac:dyDescent="0.25">
      <c r="A9086" s="3" t="str">
        <f>HYPERLINK("http://mystore1.ru/price_items/search?utf8=%E2%9C%93&amp;oem=8281ACL","8281ACL")</f>
        <v>8281ACL</v>
      </c>
      <c r="B9086" s="1" t="s">
        <v>17266</v>
      </c>
      <c r="C9086" s="9" t="s">
        <v>6358</v>
      </c>
      <c r="D9086" s="14" t="s">
        <v>17267</v>
      </c>
      <c r="E9086" s="9" t="s">
        <v>8</v>
      </c>
    </row>
    <row r="9087" spans="1:5" ht="15" customHeight="1" outlineLevel="2" x14ac:dyDescent="0.25">
      <c r="A9087" s="3" t="str">
        <f>HYPERLINK("http://mystore1.ru/price_items/search?utf8=%E2%9C%93&amp;oem=8281AGN","8281AGN")</f>
        <v>8281AGN</v>
      </c>
      <c r="B9087" s="1" t="s">
        <v>17268</v>
      </c>
      <c r="C9087" s="9" t="s">
        <v>6358</v>
      </c>
      <c r="D9087" s="14" t="s">
        <v>17269</v>
      </c>
      <c r="E9087" s="9" t="s">
        <v>8</v>
      </c>
    </row>
    <row r="9088" spans="1:5" ht="15" customHeight="1" outlineLevel="2" x14ac:dyDescent="0.25">
      <c r="A9088" s="3" t="str">
        <f>HYPERLINK("http://mystore1.ru/price_items/search?utf8=%E2%9C%93&amp;oem=8281ASMHT","8281ASMHT")</f>
        <v>8281ASMHT</v>
      </c>
      <c r="B9088" s="1" t="s">
        <v>17270</v>
      </c>
      <c r="C9088" s="9" t="s">
        <v>25</v>
      </c>
      <c r="D9088" s="14" t="s">
        <v>17271</v>
      </c>
      <c r="E9088" s="9" t="s">
        <v>27</v>
      </c>
    </row>
    <row r="9089" spans="1:5" ht="15" customHeight="1" outlineLevel="2" x14ac:dyDescent="0.25">
      <c r="A9089" s="3" t="str">
        <f>HYPERLINK("http://mystore1.ru/price_items/search?utf8=%E2%9C%93&amp;oem=8281LBLH5FDW","8281LBLH5FDW")</f>
        <v>8281LBLH5FDW</v>
      </c>
      <c r="B9089" s="1" t="s">
        <v>17272</v>
      </c>
      <c r="C9089" s="9" t="s">
        <v>6358</v>
      </c>
      <c r="D9089" s="14" t="s">
        <v>17273</v>
      </c>
      <c r="E9089" s="9" t="s">
        <v>11</v>
      </c>
    </row>
    <row r="9090" spans="1:5" ht="15" customHeight="1" outlineLevel="2" x14ac:dyDescent="0.25">
      <c r="A9090" s="3" t="str">
        <f>HYPERLINK("http://mystore1.ru/price_items/search?utf8=%E2%9C%93&amp;oem=8281RBLH5FDW","8281RBLH5FDW")</f>
        <v>8281RBLH5FDW</v>
      </c>
      <c r="B9090" s="1" t="s">
        <v>17274</v>
      </c>
      <c r="C9090" s="9" t="s">
        <v>6358</v>
      </c>
      <c r="D9090" s="14" t="s">
        <v>17275</v>
      </c>
      <c r="E9090" s="9" t="s">
        <v>11</v>
      </c>
    </row>
    <row r="9091" spans="1:5" outlineLevel="1" x14ac:dyDescent="0.25">
      <c r="A9091" s="2"/>
      <c r="B9091" s="6" t="s">
        <v>17276</v>
      </c>
      <c r="C9091" s="8"/>
      <c r="D9091" s="8"/>
      <c r="E9091" s="8"/>
    </row>
    <row r="9092" spans="1:5" ht="15" customHeight="1" outlineLevel="2" x14ac:dyDescent="0.25">
      <c r="A9092" s="3" t="str">
        <f>HYPERLINK("http://mystore1.ru/price_items/search?utf8=%E2%9C%93&amp;oem=8304AGN","8304AGN")</f>
        <v>8304AGN</v>
      </c>
      <c r="B9092" s="1" t="s">
        <v>17277</v>
      </c>
      <c r="C9092" s="9" t="s">
        <v>3106</v>
      </c>
      <c r="D9092" s="14" t="s">
        <v>17278</v>
      </c>
      <c r="E9092" s="9" t="s">
        <v>8</v>
      </c>
    </row>
    <row r="9093" spans="1:5" ht="15" customHeight="1" outlineLevel="2" x14ac:dyDescent="0.25">
      <c r="A9093" s="3" t="str">
        <f>HYPERLINK("http://mystore1.ru/price_items/search?utf8=%E2%9C%93&amp;oem=8304AGN1P","8304AGN1P")</f>
        <v>8304AGN1P</v>
      </c>
      <c r="B9093" s="1" t="s">
        <v>17279</v>
      </c>
      <c r="C9093" s="9" t="s">
        <v>3106</v>
      </c>
      <c r="D9093" s="14" t="s">
        <v>17278</v>
      </c>
      <c r="E9093" s="9" t="s">
        <v>8</v>
      </c>
    </row>
    <row r="9094" spans="1:5" ht="15" customHeight="1" outlineLevel="2" x14ac:dyDescent="0.25">
      <c r="A9094" s="3" t="str">
        <f>HYPERLINK("http://mystore1.ru/price_items/search?utf8=%E2%9C%93&amp;oem=8304AGNBL","8304AGNBL")</f>
        <v>8304AGNBL</v>
      </c>
      <c r="B9094" s="1" t="s">
        <v>17280</v>
      </c>
      <c r="C9094" s="9" t="s">
        <v>3106</v>
      </c>
      <c r="D9094" s="14" t="s">
        <v>17281</v>
      </c>
      <c r="E9094" s="9" t="s">
        <v>8</v>
      </c>
    </row>
    <row r="9095" spans="1:5" ht="15" customHeight="1" outlineLevel="2" x14ac:dyDescent="0.25">
      <c r="A9095" s="3" t="str">
        <f>HYPERLINK("http://mystore1.ru/price_items/search?utf8=%E2%9C%93&amp;oem=8304AGNGN","8304AGNGN")</f>
        <v>8304AGNGN</v>
      </c>
      <c r="B9095" s="1" t="s">
        <v>17282</v>
      </c>
      <c r="C9095" s="9" t="s">
        <v>3106</v>
      </c>
      <c r="D9095" s="14" t="s">
        <v>17283</v>
      </c>
      <c r="E9095" s="9" t="s">
        <v>8</v>
      </c>
    </row>
    <row r="9096" spans="1:5" ht="15" customHeight="1" outlineLevel="2" x14ac:dyDescent="0.25">
      <c r="A9096" s="3" t="str">
        <f>HYPERLINK("http://mystore1.ru/price_items/search?utf8=%E2%9C%93&amp;oem=8304ASMH","8304ASMH")</f>
        <v>8304ASMH</v>
      </c>
      <c r="B9096" s="1" t="s">
        <v>17284</v>
      </c>
      <c r="C9096" s="9" t="s">
        <v>25</v>
      </c>
      <c r="D9096" s="14" t="s">
        <v>17285</v>
      </c>
      <c r="E9096" s="9" t="s">
        <v>27</v>
      </c>
    </row>
    <row r="9097" spans="1:5" ht="15" customHeight="1" outlineLevel="2" x14ac:dyDescent="0.25">
      <c r="A9097" s="3" t="str">
        <f>HYPERLINK("http://mystore1.ru/price_items/search?utf8=%E2%9C%93&amp;oem=8304BGNS","8304BGNS")</f>
        <v>8304BGNS</v>
      </c>
      <c r="B9097" s="1" t="s">
        <v>17286</v>
      </c>
      <c r="C9097" s="9" t="s">
        <v>3106</v>
      </c>
      <c r="D9097" s="14" t="s">
        <v>17287</v>
      </c>
      <c r="E9097" s="9" t="s">
        <v>30</v>
      </c>
    </row>
    <row r="9098" spans="1:5" ht="15" customHeight="1" outlineLevel="2" x14ac:dyDescent="0.25">
      <c r="A9098" s="3" t="str">
        <f>HYPERLINK("http://mystore1.ru/price_items/search?utf8=%E2%9C%93&amp;oem=8304LGNH3FDW","8304LGNH3FDW")</f>
        <v>8304LGNH3FDW</v>
      </c>
      <c r="B9098" s="1" t="s">
        <v>17288</v>
      </c>
      <c r="C9098" s="9" t="s">
        <v>3106</v>
      </c>
      <c r="D9098" s="14" t="s">
        <v>17289</v>
      </c>
      <c r="E9098" s="9" t="s">
        <v>11</v>
      </c>
    </row>
    <row r="9099" spans="1:5" ht="15" customHeight="1" outlineLevel="2" x14ac:dyDescent="0.25">
      <c r="A9099" s="3" t="str">
        <f>HYPERLINK("http://mystore1.ru/price_items/search?utf8=%E2%9C%93&amp;oem=8304LGNH5FDW","8304LGNH5FDW")</f>
        <v>8304LGNH5FDW</v>
      </c>
      <c r="B9099" s="1" t="s">
        <v>17290</v>
      </c>
      <c r="C9099" s="9" t="s">
        <v>3106</v>
      </c>
      <c r="D9099" s="14" t="s">
        <v>17289</v>
      </c>
      <c r="E9099" s="9" t="s">
        <v>11</v>
      </c>
    </row>
    <row r="9100" spans="1:5" ht="15" customHeight="1" outlineLevel="2" x14ac:dyDescent="0.25">
      <c r="A9100" s="3" t="str">
        <f>HYPERLINK("http://mystore1.ru/price_items/search?utf8=%E2%9C%93&amp;oem=8304LGNH5RDW","8304LGNH5RDW")</f>
        <v>8304LGNH5RDW</v>
      </c>
      <c r="B9100" s="1" t="s">
        <v>17291</v>
      </c>
      <c r="C9100" s="9" t="s">
        <v>3106</v>
      </c>
      <c r="D9100" s="14" t="s">
        <v>17292</v>
      </c>
      <c r="E9100" s="9" t="s">
        <v>11</v>
      </c>
    </row>
    <row r="9101" spans="1:5" ht="15" customHeight="1" outlineLevel="2" x14ac:dyDescent="0.25">
      <c r="A9101" s="3" t="str">
        <f>HYPERLINK("http://mystore1.ru/price_items/search?utf8=%E2%9C%93&amp;oem=8304LGNS4RDW","8304LGNS4RDW")</f>
        <v>8304LGNS4RDW</v>
      </c>
      <c r="B9101" s="1" t="s">
        <v>17293</v>
      </c>
      <c r="C9101" s="9" t="s">
        <v>3106</v>
      </c>
      <c r="D9101" s="14" t="s">
        <v>17294</v>
      </c>
      <c r="E9101" s="9" t="s">
        <v>11</v>
      </c>
    </row>
    <row r="9102" spans="1:5" ht="15" customHeight="1" outlineLevel="2" x14ac:dyDescent="0.25">
      <c r="A9102" s="3" t="str">
        <f>HYPERLINK("http://mystore1.ru/price_items/search?utf8=%E2%9C%93&amp;oem=8304LGNS4RV","8304LGNS4RV")</f>
        <v>8304LGNS4RV</v>
      </c>
      <c r="B9102" s="1" t="s">
        <v>17295</v>
      </c>
      <c r="C9102" s="9" t="s">
        <v>3106</v>
      </c>
      <c r="D9102" s="14" t="s">
        <v>17296</v>
      </c>
      <c r="E9102" s="9" t="s">
        <v>11</v>
      </c>
    </row>
    <row r="9103" spans="1:5" ht="15" customHeight="1" outlineLevel="2" x14ac:dyDescent="0.25">
      <c r="A9103" s="3" t="str">
        <f>HYPERLINK("http://mystore1.ru/price_items/search?utf8=%E2%9C%93&amp;oem=8304RGNH3FDW","8304RGNH3FDW")</f>
        <v>8304RGNH3FDW</v>
      </c>
      <c r="B9103" s="1" t="s">
        <v>17297</v>
      </c>
      <c r="C9103" s="9" t="s">
        <v>3106</v>
      </c>
      <c r="D9103" s="14" t="s">
        <v>17298</v>
      </c>
      <c r="E9103" s="9" t="s">
        <v>11</v>
      </c>
    </row>
    <row r="9104" spans="1:5" ht="15" customHeight="1" outlineLevel="2" x14ac:dyDescent="0.25">
      <c r="A9104" s="3" t="str">
        <f>HYPERLINK("http://mystore1.ru/price_items/search?utf8=%E2%9C%93&amp;oem=8304RGNH5FDW","8304RGNH5FDW")</f>
        <v>8304RGNH5FDW</v>
      </c>
      <c r="B9104" s="1" t="s">
        <v>17299</v>
      </c>
      <c r="C9104" s="9" t="s">
        <v>3106</v>
      </c>
      <c r="D9104" s="14" t="s">
        <v>17298</v>
      </c>
      <c r="E9104" s="9" t="s">
        <v>11</v>
      </c>
    </row>
    <row r="9105" spans="1:5" ht="15" customHeight="1" outlineLevel="2" x14ac:dyDescent="0.25">
      <c r="A9105" s="3" t="str">
        <f>HYPERLINK("http://mystore1.ru/price_items/search?utf8=%E2%9C%93&amp;oem=8304RGNH5RDW","8304RGNH5RDW")</f>
        <v>8304RGNH5RDW</v>
      </c>
      <c r="B9105" s="1" t="s">
        <v>17300</v>
      </c>
      <c r="C9105" s="9" t="s">
        <v>3106</v>
      </c>
      <c r="D9105" s="14" t="s">
        <v>17301</v>
      </c>
      <c r="E9105" s="9" t="s">
        <v>11</v>
      </c>
    </row>
    <row r="9106" spans="1:5" ht="15" customHeight="1" outlineLevel="2" x14ac:dyDescent="0.25">
      <c r="A9106" s="3" t="str">
        <f>HYPERLINK("http://mystore1.ru/price_items/search?utf8=%E2%9C%93&amp;oem=8304RGNS4RDW","8304RGNS4RDW")</f>
        <v>8304RGNS4RDW</v>
      </c>
      <c r="B9106" s="1" t="s">
        <v>17302</v>
      </c>
      <c r="C9106" s="9" t="s">
        <v>3106</v>
      </c>
      <c r="D9106" s="14" t="s">
        <v>17301</v>
      </c>
      <c r="E9106" s="9" t="s">
        <v>11</v>
      </c>
    </row>
    <row r="9107" spans="1:5" ht="15" customHeight="1" outlineLevel="2" x14ac:dyDescent="0.25">
      <c r="A9107" s="3" t="str">
        <f>HYPERLINK("http://mystore1.ru/price_items/search?utf8=%E2%9C%93&amp;oem=8304RGNS4RV","8304RGNS4RV")</f>
        <v>8304RGNS4RV</v>
      </c>
      <c r="B9107" s="1" t="s">
        <v>17303</v>
      </c>
      <c r="C9107" s="9" t="s">
        <v>3106</v>
      </c>
      <c r="D9107" s="14" t="s">
        <v>17304</v>
      </c>
      <c r="E9107" s="9" t="s">
        <v>11</v>
      </c>
    </row>
    <row r="9108" spans="1:5" outlineLevel="1" x14ac:dyDescent="0.25">
      <c r="A9108" s="2"/>
      <c r="B9108" s="6" t="s">
        <v>17305</v>
      </c>
      <c r="C9108" s="8"/>
      <c r="D9108" s="8"/>
      <c r="E9108" s="8"/>
    </row>
    <row r="9109" spans="1:5" ht="15" customHeight="1" outlineLevel="2" x14ac:dyDescent="0.25">
      <c r="A9109" s="3" t="str">
        <f>HYPERLINK("http://mystore1.ru/price_items/search?utf8=%E2%9C%93&amp;oem=8340AGAM2P","8340AGAM2P")</f>
        <v>8340AGAM2P</v>
      </c>
      <c r="B9109" s="1" t="s">
        <v>17306</v>
      </c>
      <c r="C9109" s="9" t="s">
        <v>464</v>
      </c>
      <c r="D9109" s="14" t="s">
        <v>17307</v>
      </c>
      <c r="E9109" s="9" t="s">
        <v>8</v>
      </c>
    </row>
    <row r="9110" spans="1:5" ht="15" customHeight="1" outlineLevel="2" x14ac:dyDescent="0.25">
      <c r="A9110" s="3" t="str">
        <f>HYPERLINK("http://mystore1.ru/price_items/search?utf8=%E2%9C%93&amp;oem=8340AGN1P","8340AGN1P")</f>
        <v>8340AGN1P</v>
      </c>
      <c r="B9110" s="1" t="s">
        <v>17308</v>
      </c>
      <c r="C9110" s="9" t="s">
        <v>2594</v>
      </c>
      <c r="D9110" s="14" t="s">
        <v>17309</v>
      </c>
      <c r="E9110" s="9" t="s">
        <v>8</v>
      </c>
    </row>
    <row r="9111" spans="1:5" ht="15" customHeight="1" outlineLevel="2" x14ac:dyDescent="0.25">
      <c r="A9111" s="3" t="str">
        <f>HYPERLINK("http://mystore1.ru/price_items/search?utf8=%E2%9C%93&amp;oem=8340AGN3P","8340AGN3P")</f>
        <v>8340AGN3P</v>
      </c>
      <c r="B9111" s="1" t="s">
        <v>17310</v>
      </c>
      <c r="C9111" s="9" t="s">
        <v>464</v>
      </c>
      <c r="D9111" s="14" t="s">
        <v>17311</v>
      </c>
      <c r="E9111" s="9" t="s">
        <v>8</v>
      </c>
    </row>
    <row r="9112" spans="1:5" ht="15" customHeight="1" outlineLevel="2" x14ac:dyDescent="0.25">
      <c r="A9112" s="3" t="str">
        <f>HYPERLINK("http://mystore1.ru/price_items/search?utf8=%E2%9C%93&amp;oem=8340AGS","8340AGS")</f>
        <v>8340AGS</v>
      </c>
      <c r="B9112" s="1" t="s">
        <v>17312</v>
      </c>
      <c r="C9112" s="9" t="s">
        <v>2594</v>
      </c>
      <c r="D9112" s="14" t="s">
        <v>17313</v>
      </c>
      <c r="E9112" s="9" t="s">
        <v>8</v>
      </c>
    </row>
    <row r="9113" spans="1:5" ht="15" customHeight="1" outlineLevel="2" x14ac:dyDescent="0.25">
      <c r="A9113" s="3" t="str">
        <f>HYPERLINK("http://mystore1.ru/price_items/search?utf8=%E2%9C%93&amp;oem=8340AGSM2P","8340AGSM2P")</f>
        <v>8340AGSM2P</v>
      </c>
      <c r="B9113" s="1" t="s">
        <v>17314</v>
      </c>
      <c r="C9113" s="9" t="s">
        <v>464</v>
      </c>
      <c r="D9113" s="14" t="s">
        <v>17315</v>
      </c>
      <c r="E9113" s="9" t="s">
        <v>8</v>
      </c>
    </row>
    <row r="9114" spans="1:5" ht="15" customHeight="1" outlineLevel="2" x14ac:dyDescent="0.25">
      <c r="A9114" s="3" t="str">
        <f>HYPERLINK("http://mystore1.ru/price_items/search?utf8=%E2%9C%93&amp;oem=8340ASMH","8340ASMH")</f>
        <v>8340ASMH</v>
      </c>
      <c r="B9114" s="1" t="s">
        <v>17316</v>
      </c>
      <c r="C9114" s="9" t="s">
        <v>25</v>
      </c>
      <c r="D9114" s="14" t="s">
        <v>17317</v>
      </c>
      <c r="E9114" s="9" t="s">
        <v>27</v>
      </c>
    </row>
    <row r="9115" spans="1:5" ht="15" customHeight="1" outlineLevel="2" x14ac:dyDescent="0.25">
      <c r="A9115" s="3" t="str">
        <f>HYPERLINK("http://mystore1.ru/price_items/search?utf8=%E2%9C%93&amp;oem=8340ASMS","8340ASMS")</f>
        <v>8340ASMS</v>
      </c>
      <c r="B9115" s="1" t="s">
        <v>17318</v>
      </c>
      <c r="C9115" s="9" t="s">
        <v>25</v>
      </c>
      <c r="D9115" s="14" t="s">
        <v>17319</v>
      </c>
      <c r="E9115" s="9" t="s">
        <v>27</v>
      </c>
    </row>
    <row r="9116" spans="1:5" ht="15" customHeight="1" outlineLevel="2" x14ac:dyDescent="0.25">
      <c r="A9116" s="3" t="str">
        <f>HYPERLINK("http://mystore1.ru/price_items/search?utf8=%E2%9C%93&amp;oem=8340BGNS","8340BGNS")</f>
        <v>8340BGNS</v>
      </c>
      <c r="B9116" s="1" t="s">
        <v>17320</v>
      </c>
      <c r="C9116" s="9" t="s">
        <v>2594</v>
      </c>
      <c r="D9116" s="14" t="s">
        <v>17321</v>
      </c>
      <c r="E9116" s="9" t="s">
        <v>30</v>
      </c>
    </row>
    <row r="9117" spans="1:5" ht="15" customHeight="1" outlineLevel="2" x14ac:dyDescent="0.25">
      <c r="A9117" s="3" t="str">
        <f>HYPERLINK("http://mystore1.ru/price_items/search?utf8=%E2%9C%93&amp;oem=8340BGSHW","8340BGSHW")</f>
        <v>8340BGSHW</v>
      </c>
      <c r="B9117" s="1" t="s">
        <v>17322</v>
      </c>
      <c r="C9117" s="9" t="s">
        <v>2594</v>
      </c>
      <c r="D9117" s="14" t="s">
        <v>17323</v>
      </c>
      <c r="E9117" s="9" t="s">
        <v>30</v>
      </c>
    </row>
    <row r="9118" spans="1:5" ht="15" customHeight="1" outlineLevel="2" x14ac:dyDescent="0.25">
      <c r="A9118" s="3" t="str">
        <f>HYPERLINK("http://mystore1.ru/price_items/search?utf8=%E2%9C%93&amp;oem=8340BGSHW1E","8340BGSHW1E")</f>
        <v>8340BGSHW1E</v>
      </c>
      <c r="B9118" s="1" t="s">
        <v>17324</v>
      </c>
      <c r="C9118" s="9" t="s">
        <v>2594</v>
      </c>
      <c r="D9118" s="14" t="s">
        <v>17325</v>
      </c>
      <c r="E9118" s="9" t="s">
        <v>30</v>
      </c>
    </row>
    <row r="9119" spans="1:5" ht="15" customHeight="1" outlineLevel="2" x14ac:dyDescent="0.25">
      <c r="A9119" s="3" t="str">
        <f>HYPERLINK("http://mystore1.ru/price_items/search?utf8=%E2%9C%93&amp;oem=8340LGNE5RD","8340LGNE5RD")</f>
        <v>8340LGNE5RD</v>
      </c>
      <c r="B9119" s="1" t="s">
        <v>17326</v>
      </c>
      <c r="C9119" s="9" t="s">
        <v>2594</v>
      </c>
      <c r="D9119" s="14" t="s">
        <v>17327</v>
      </c>
      <c r="E9119" s="9" t="s">
        <v>11</v>
      </c>
    </row>
    <row r="9120" spans="1:5" ht="15" customHeight="1" outlineLevel="2" x14ac:dyDescent="0.25">
      <c r="A9120" s="3" t="str">
        <f>HYPERLINK("http://mystore1.ru/price_items/search?utf8=%E2%9C%93&amp;oem=8340LGNE5RV","8340LGNE5RV")</f>
        <v>8340LGNE5RV</v>
      </c>
      <c r="B9120" s="1" t="s">
        <v>17328</v>
      </c>
      <c r="C9120" s="9" t="s">
        <v>2594</v>
      </c>
      <c r="D9120" s="14" t="s">
        <v>17329</v>
      </c>
      <c r="E9120" s="9" t="s">
        <v>11</v>
      </c>
    </row>
    <row r="9121" spans="1:5" ht="15" customHeight="1" outlineLevel="2" x14ac:dyDescent="0.25">
      <c r="A9121" s="3" t="str">
        <f>HYPERLINK("http://mystore1.ru/price_items/search?utf8=%E2%9C%93&amp;oem=8340LGNS4FDW","8340LGNS4FDW")</f>
        <v>8340LGNS4FDW</v>
      </c>
      <c r="B9121" s="1" t="s">
        <v>17330</v>
      </c>
      <c r="C9121" s="9" t="s">
        <v>2594</v>
      </c>
      <c r="D9121" s="14" t="s">
        <v>17331</v>
      </c>
      <c r="E9121" s="9" t="s">
        <v>11</v>
      </c>
    </row>
    <row r="9122" spans="1:5" ht="15" customHeight="1" outlineLevel="2" x14ac:dyDescent="0.25">
      <c r="A9122" s="3" t="str">
        <f>HYPERLINK("http://mystore1.ru/price_items/search?utf8=%E2%9C%93&amp;oem=8340LGNS4RD","8340LGNS4RD")</f>
        <v>8340LGNS4RD</v>
      </c>
      <c r="B9122" s="1" t="s">
        <v>17332</v>
      </c>
      <c r="C9122" s="9" t="s">
        <v>2594</v>
      </c>
      <c r="D9122" s="14" t="s">
        <v>17333</v>
      </c>
      <c r="E9122" s="9" t="s">
        <v>11</v>
      </c>
    </row>
    <row r="9123" spans="1:5" ht="15" customHeight="1" outlineLevel="2" x14ac:dyDescent="0.25">
      <c r="A9123" s="3" t="str">
        <f>HYPERLINK("http://mystore1.ru/price_items/search?utf8=%E2%9C%93&amp;oem=8340LGNS4RV","8340LGNS4RV")</f>
        <v>8340LGNS4RV</v>
      </c>
      <c r="B9123" s="1" t="s">
        <v>17334</v>
      </c>
      <c r="C9123" s="9" t="s">
        <v>2594</v>
      </c>
      <c r="D9123" s="14" t="s">
        <v>17335</v>
      </c>
      <c r="E9123" s="9" t="s">
        <v>11</v>
      </c>
    </row>
    <row r="9124" spans="1:5" ht="15" customHeight="1" outlineLevel="2" x14ac:dyDescent="0.25">
      <c r="A9124" s="3" t="str">
        <f>HYPERLINK("http://mystore1.ru/price_items/search?utf8=%E2%9C%93&amp;oem=8340LGSH3FDW","8340LGSH3FDW")</f>
        <v>8340LGSH3FDW</v>
      </c>
      <c r="B9124" s="1" t="s">
        <v>17336</v>
      </c>
      <c r="C9124" s="9" t="s">
        <v>2594</v>
      </c>
      <c r="D9124" s="14" t="s">
        <v>17337</v>
      </c>
      <c r="E9124" s="9" t="s">
        <v>11</v>
      </c>
    </row>
    <row r="9125" spans="1:5" ht="15" customHeight="1" outlineLevel="2" x14ac:dyDescent="0.25">
      <c r="A9125" s="3" t="str">
        <f>HYPERLINK("http://mystore1.ru/price_items/search?utf8=%E2%9C%93&amp;oem=8340LGSH3RQW","8340LGSH3RQW")</f>
        <v>8340LGSH3RQW</v>
      </c>
      <c r="B9125" s="1" t="s">
        <v>17338</v>
      </c>
      <c r="C9125" s="9" t="s">
        <v>2594</v>
      </c>
      <c r="D9125" s="14" t="s">
        <v>17339</v>
      </c>
      <c r="E9125" s="9" t="s">
        <v>11</v>
      </c>
    </row>
    <row r="9126" spans="1:5" ht="15" customHeight="1" outlineLevel="2" x14ac:dyDescent="0.25">
      <c r="A9126" s="3" t="str">
        <f>HYPERLINK("http://mystore1.ru/price_items/search?utf8=%E2%9C%93&amp;oem=8340LGSH5FDW","8340LGSH5FDW")</f>
        <v>8340LGSH5FDW</v>
      </c>
      <c r="B9126" s="1" t="s">
        <v>17340</v>
      </c>
      <c r="C9126" s="9" t="s">
        <v>2594</v>
      </c>
      <c r="D9126" s="14" t="s">
        <v>17341</v>
      </c>
      <c r="E9126" s="9" t="s">
        <v>11</v>
      </c>
    </row>
    <row r="9127" spans="1:5" ht="15" customHeight="1" outlineLevel="2" x14ac:dyDescent="0.25">
      <c r="A9127" s="3" t="str">
        <f>HYPERLINK("http://mystore1.ru/price_items/search?utf8=%E2%9C%93&amp;oem=8340LGSH5RDW","8340LGSH5RDW")</f>
        <v>8340LGSH5RDW</v>
      </c>
      <c r="B9127" s="1" t="s">
        <v>17342</v>
      </c>
      <c r="C9127" s="9" t="s">
        <v>2594</v>
      </c>
      <c r="D9127" s="14" t="s">
        <v>17343</v>
      </c>
      <c r="E9127" s="9" t="s">
        <v>11</v>
      </c>
    </row>
    <row r="9128" spans="1:5" ht="15" customHeight="1" outlineLevel="2" x14ac:dyDescent="0.25">
      <c r="A9128" s="3" t="str">
        <f>HYPERLINK("http://mystore1.ru/price_items/search?utf8=%E2%9C%93&amp;oem=8340LGSH5RV","8340LGSH5RV")</f>
        <v>8340LGSH5RV</v>
      </c>
      <c r="B9128" s="1" t="s">
        <v>17344</v>
      </c>
      <c r="C9128" s="9" t="s">
        <v>2594</v>
      </c>
      <c r="D9128" s="14" t="s">
        <v>17345</v>
      </c>
      <c r="E9128" s="9" t="s">
        <v>11</v>
      </c>
    </row>
    <row r="9129" spans="1:5" ht="15" customHeight="1" outlineLevel="2" x14ac:dyDescent="0.25">
      <c r="A9129" s="3" t="str">
        <f>HYPERLINK("http://mystore1.ru/price_items/search?utf8=%E2%9C%93&amp;oem=8340RGNE5RD","8340RGNE5RD")</f>
        <v>8340RGNE5RD</v>
      </c>
      <c r="B9129" s="1" t="s">
        <v>17346</v>
      </c>
      <c r="C9129" s="9" t="s">
        <v>2594</v>
      </c>
      <c r="D9129" s="14" t="s">
        <v>17347</v>
      </c>
      <c r="E9129" s="9" t="s">
        <v>11</v>
      </c>
    </row>
    <row r="9130" spans="1:5" ht="15" customHeight="1" outlineLevel="2" x14ac:dyDescent="0.25">
      <c r="A9130" s="3" t="str">
        <f>HYPERLINK("http://mystore1.ru/price_items/search?utf8=%E2%9C%93&amp;oem=8340RGNE5RV","8340RGNE5RV")</f>
        <v>8340RGNE5RV</v>
      </c>
      <c r="B9130" s="1" t="s">
        <v>17348</v>
      </c>
      <c r="C9130" s="9" t="s">
        <v>2594</v>
      </c>
      <c r="D9130" s="14" t="s">
        <v>17349</v>
      </c>
      <c r="E9130" s="9" t="s">
        <v>11</v>
      </c>
    </row>
    <row r="9131" spans="1:5" ht="15" customHeight="1" outlineLevel="2" x14ac:dyDescent="0.25">
      <c r="A9131" s="3" t="str">
        <f>HYPERLINK("http://mystore1.ru/price_items/search?utf8=%E2%9C%93&amp;oem=8340RGNS4FDW","8340RGNS4FDW")</f>
        <v>8340RGNS4FDW</v>
      </c>
      <c r="B9131" s="1" t="s">
        <v>17350</v>
      </c>
      <c r="C9131" s="9" t="s">
        <v>2594</v>
      </c>
      <c r="D9131" s="14" t="s">
        <v>17351</v>
      </c>
      <c r="E9131" s="9" t="s">
        <v>11</v>
      </c>
    </row>
    <row r="9132" spans="1:5" ht="15" customHeight="1" outlineLevel="2" x14ac:dyDescent="0.25">
      <c r="A9132" s="3" t="str">
        <f>HYPERLINK("http://mystore1.ru/price_items/search?utf8=%E2%9C%93&amp;oem=8340RGNS4RD","8340RGNS4RD")</f>
        <v>8340RGNS4RD</v>
      </c>
      <c r="B9132" s="1" t="s">
        <v>17352</v>
      </c>
      <c r="C9132" s="9" t="s">
        <v>2594</v>
      </c>
      <c r="D9132" s="14" t="s">
        <v>17353</v>
      </c>
      <c r="E9132" s="9" t="s">
        <v>11</v>
      </c>
    </row>
    <row r="9133" spans="1:5" ht="15" customHeight="1" outlineLevel="2" x14ac:dyDescent="0.25">
      <c r="A9133" s="3" t="str">
        <f>HYPERLINK("http://mystore1.ru/price_items/search?utf8=%E2%9C%93&amp;oem=8340RGNS4RV","8340RGNS4RV")</f>
        <v>8340RGNS4RV</v>
      </c>
      <c r="B9133" s="1" t="s">
        <v>17354</v>
      </c>
      <c r="C9133" s="9" t="s">
        <v>2594</v>
      </c>
      <c r="D9133" s="14" t="s">
        <v>17355</v>
      </c>
      <c r="E9133" s="9" t="s">
        <v>11</v>
      </c>
    </row>
    <row r="9134" spans="1:5" ht="15" customHeight="1" outlineLevel="2" x14ac:dyDescent="0.25">
      <c r="A9134" s="3" t="str">
        <f>HYPERLINK("http://mystore1.ru/price_items/search?utf8=%E2%9C%93&amp;oem=8340RGSH3FDW","8340RGSH3FDW")</f>
        <v>8340RGSH3FDW</v>
      </c>
      <c r="B9134" s="1" t="s">
        <v>17356</v>
      </c>
      <c r="C9134" s="9" t="s">
        <v>2594</v>
      </c>
      <c r="D9134" s="14" t="s">
        <v>17357</v>
      </c>
      <c r="E9134" s="9" t="s">
        <v>11</v>
      </c>
    </row>
    <row r="9135" spans="1:5" ht="15" customHeight="1" outlineLevel="2" x14ac:dyDescent="0.25">
      <c r="A9135" s="3" t="str">
        <f>HYPERLINK("http://mystore1.ru/price_items/search?utf8=%E2%9C%93&amp;oem=8340RGSH3RQW","8340RGSH3RQW")</f>
        <v>8340RGSH3RQW</v>
      </c>
      <c r="B9135" s="1" t="s">
        <v>17358</v>
      </c>
      <c r="C9135" s="9" t="s">
        <v>2594</v>
      </c>
      <c r="D9135" s="14" t="s">
        <v>17359</v>
      </c>
      <c r="E9135" s="9" t="s">
        <v>11</v>
      </c>
    </row>
    <row r="9136" spans="1:5" ht="15" customHeight="1" outlineLevel="2" x14ac:dyDescent="0.25">
      <c r="A9136" s="3" t="str">
        <f>HYPERLINK("http://mystore1.ru/price_items/search?utf8=%E2%9C%93&amp;oem=8340RGSH5FDW","8340RGSH5FDW")</f>
        <v>8340RGSH5FDW</v>
      </c>
      <c r="B9136" s="1" t="s">
        <v>17360</v>
      </c>
      <c r="C9136" s="9" t="s">
        <v>2594</v>
      </c>
      <c r="D9136" s="14" t="s">
        <v>17361</v>
      </c>
      <c r="E9136" s="9" t="s">
        <v>11</v>
      </c>
    </row>
    <row r="9137" spans="1:5" ht="15" customHeight="1" outlineLevel="2" x14ac:dyDescent="0.25">
      <c r="A9137" s="3" t="str">
        <f>HYPERLINK("http://mystore1.ru/price_items/search?utf8=%E2%9C%93&amp;oem=8340RGSH5RDW","8340RGSH5RDW")</f>
        <v>8340RGSH5RDW</v>
      </c>
      <c r="B9137" s="1" t="s">
        <v>17362</v>
      </c>
      <c r="C9137" s="9" t="s">
        <v>2594</v>
      </c>
      <c r="D9137" s="14" t="s">
        <v>17363</v>
      </c>
      <c r="E9137" s="9" t="s">
        <v>11</v>
      </c>
    </row>
    <row r="9138" spans="1:5" ht="15" customHeight="1" outlineLevel="2" x14ac:dyDescent="0.25">
      <c r="A9138" s="3" t="str">
        <f>HYPERLINK("http://mystore1.ru/price_items/search?utf8=%E2%9C%93&amp;oem=8340RGSH5RV","8340RGSH5RV")</f>
        <v>8340RGSH5RV</v>
      </c>
      <c r="B9138" s="1" t="s">
        <v>17364</v>
      </c>
      <c r="C9138" s="9" t="s">
        <v>2594</v>
      </c>
      <c r="D9138" s="14" t="s">
        <v>17365</v>
      </c>
      <c r="E9138" s="9" t="s">
        <v>11</v>
      </c>
    </row>
    <row r="9139" spans="1:5" outlineLevel="1" x14ac:dyDescent="0.25">
      <c r="A9139" s="2"/>
      <c r="B9139" s="6" t="s">
        <v>17366</v>
      </c>
      <c r="C9139" s="8"/>
      <c r="D9139" s="8"/>
      <c r="E9139" s="8"/>
    </row>
    <row r="9140" spans="1:5" ht="15" customHeight="1" outlineLevel="2" x14ac:dyDescent="0.25">
      <c r="A9140" s="3" t="str">
        <f>HYPERLINK("http://mystore1.ru/price_items/search?utf8=%E2%9C%93&amp;oem=8376AGNW","8376AGNW")</f>
        <v>8376AGNW</v>
      </c>
      <c r="B9140" s="1" t="s">
        <v>17367</v>
      </c>
      <c r="C9140" s="9" t="s">
        <v>511</v>
      </c>
      <c r="D9140" s="14" t="s">
        <v>17368</v>
      </c>
      <c r="E9140" s="9" t="s">
        <v>8</v>
      </c>
    </row>
    <row r="9141" spans="1:5" ht="15" customHeight="1" outlineLevel="2" x14ac:dyDescent="0.25">
      <c r="A9141" s="3" t="str">
        <f>HYPERLINK("http://mystore1.ru/price_items/search?utf8=%E2%9C%93&amp;oem=8376AGNMW1P","8376AGNMW1P")</f>
        <v>8376AGNMW1P</v>
      </c>
      <c r="B9141" s="1" t="s">
        <v>17369</v>
      </c>
      <c r="C9141" s="9" t="s">
        <v>511</v>
      </c>
      <c r="D9141" s="14" t="s">
        <v>17370</v>
      </c>
      <c r="E9141" s="9" t="s">
        <v>8</v>
      </c>
    </row>
    <row r="9142" spans="1:5" ht="15" customHeight="1" outlineLevel="2" x14ac:dyDescent="0.25">
      <c r="A9142" s="3" t="str">
        <f>HYPERLINK("http://mystore1.ru/price_items/search?utf8=%E2%9C%93&amp;oem=8376AGAMW1P","8376AGAMW1P")</f>
        <v>8376AGAMW1P</v>
      </c>
      <c r="B9142" s="1" t="s">
        <v>17371</v>
      </c>
      <c r="C9142" s="9" t="s">
        <v>511</v>
      </c>
      <c r="D9142" s="14" t="s">
        <v>17372</v>
      </c>
      <c r="E9142" s="9" t="s">
        <v>8</v>
      </c>
    </row>
    <row r="9143" spans="1:5" ht="15" customHeight="1" outlineLevel="2" x14ac:dyDescent="0.25">
      <c r="A9143" s="3" t="str">
        <f>HYPERLINK("http://mystore1.ru/price_items/search?utf8=%E2%9C%93&amp;oem=8376AGAW","8376AGAW")</f>
        <v>8376AGAW</v>
      </c>
      <c r="B9143" s="1" t="s">
        <v>17373</v>
      </c>
      <c r="C9143" s="9" t="s">
        <v>511</v>
      </c>
      <c r="D9143" s="14" t="s">
        <v>17374</v>
      </c>
      <c r="E9143" s="9" t="s">
        <v>8</v>
      </c>
    </row>
    <row r="9144" spans="1:5" ht="15" customHeight="1" outlineLevel="2" x14ac:dyDescent="0.25">
      <c r="A9144" s="3" t="str">
        <f>HYPERLINK("http://mystore1.ru/price_items/search?utf8=%E2%9C%93&amp;oem=8376LGSS4RD","8376LGSS4RD")</f>
        <v>8376LGSS4RD</v>
      </c>
      <c r="B9144" s="1" t="s">
        <v>17375</v>
      </c>
      <c r="C9144" s="9" t="s">
        <v>511</v>
      </c>
      <c r="D9144" s="14" t="s">
        <v>17376</v>
      </c>
      <c r="E9144" s="9" t="s">
        <v>11</v>
      </c>
    </row>
    <row r="9145" spans="1:5" ht="15" customHeight="1" outlineLevel="2" x14ac:dyDescent="0.25">
      <c r="A9145" s="3" t="str">
        <f>HYPERLINK("http://mystore1.ru/price_items/search?utf8=%E2%9C%93&amp;oem=8376RGSS4RD","8376RGSS4RD")</f>
        <v>8376RGSS4RD</v>
      </c>
      <c r="B9145" s="1" t="s">
        <v>17377</v>
      </c>
      <c r="C9145" s="9" t="s">
        <v>511</v>
      </c>
      <c r="D9145" s="14" t="s">
        <v>17378</v>
      </c>
      <c r="E9145" s="9" t="s">
        <v>11</v>
      </c>
    </row>
    <row r="9146" spans="1:5" outlineLevel="1" x14ac:dyDescent="0.25">
      <c r="A9146" s="2"/>
      <c r="B9146" s="6" t="s">
        <v>17379</v>
      </c>
      <c r="C9146" s="8"/>
      <c r="D9146" s="8"/>
      <c r="E9146" s="8"/>
    </row>
    <row r="9147" spans="1:5" ht="15" customHeight="1" outlineLevel="2" x14ac:dyDescent="0.25">
      <c r="A9147" s="3" t="str">
        <f>HYPERLINK("http://mystore1.ru/price_items/search?utf8=%E2%9C%93&amp;oem=8342AGN","8342AGN")</f>
        <v>8342AGN</v>
      </c>
      <c r="B9147" s="1" t="s">
        <v>17380</v>
      </c>
      <c r="C9147" s="9" t="s">
        <v>567</v>
      </c>
      <c r="D9147" s="14" t="s">
        <v>17381</v>
      </c>
      <c r="E9147" s="9" t="s">
        <v>8</v>
      </c>
    </row>
    <row r="9148" spans="1:5" ht="15" customHeight="1" outlineLevel="2" x14ac:dyDescent="0.25">
      <c r="A9148" s="3" t="str">
        <f>HYPERLINK("http://mystore1.ru/price_items/search?utf8=%E2%9C%93&amp;oem=8342ASMV","8342ASMV")</f>
        <v>8342ASMV</v>
      </c>
      <c r="B9148" s="1" t="s">
        <v>17382</v>
      </c>
      <c r="C9148" s="9" t="s">
        <v>25</v>
      </c>
      <c r="D9148" s="14" t="s">
        <v>17383</v>
      </c>
      <c r="E9148" s="9" t="s">
        <v>27</v>
      </c>
    </row>
    <row r="9149" spans="1:5" ht="15" customHeight="1" outlineLevel="2" x14ac:dyDescent="0.25">
      <c r="A9149" s="3" t="str">
        <f>HYPERLINK("http://mystore1.ru/price_items/search?utf8=%E2%9C%93&amp;oem=8342LGNV5FDW","8342LGNV5FDW")</f>
        <v>8342LGNV5FDW</v>
      </c>
      <c r="B9149" s="1" t="s">
        <v>17384</v>
      </c>
      <c r="C9149" s="9" t="s">
        <v>567</v>
      </c>
      <c r="D9149" s="14" t="s">
        <v>17385</v>
      </c>
      <c r="E9149" s="9" t="s">
        <v>11</v>
      </c>
    </row>
    <row r="9150" spans="1:5" ht="15" customHeight="1" outlineLevel="2" x14ac:dyDescent="0.25">
      <c r="A9150" s="3" t="str">
        <f>HYPERLINK("http://mystore1.ru/price_items/search?utf8=%E2%9C%93&amp;oem=8342LGNV5RDW","8342LGNV5RDW")</f>
        <v>8342LGNV5RDW</v>
      </c>
      <c r="B9150" s="1" t="s">
        <v>17386</v>
      </c>
      <c r="C9150" s="9" t="s">
        <v>567</v>
      </c>
      <c r="D9150" s="14" t="s">
        <v>17387</v>
      </c>
      <c r="E9150" s="9" t="s">
        <v>11</v>
      </c>
    </row>
    <row r="9151" spans="1:5" ht="15" customHeight="1" outlineLevel="2" x14ac:dyDescent="0.25">
      <c r="A9151" s="3" t="str">
        <f>HYPERLINK("http://mystore1.ru/price_items/search?utf8=%E2%9C%93&amp;oem=8342RGNV5FDW","8342RGNV5FDW")</f>
        <v>8342RGNV5FDW</v>
      </c>
      <c r="B9151" s="1" t="s">
        <v>17388</v>
      </c>
      <c r="C9151" s="9" t="s">
        <v>567</v>
      </c>
      <c r="D9151" s="14" t="s">
        <v>17389</v>
      </c>
      <c r="E9151" s="9" t="s">
        <v>11</v>
      </c>
    </row>
    <row r="9152" spans="1:5" ht="15" customHeight="1" outlineLevel="2" x14ac:dyDescent="0.25">
      <c r="A9152" s="3" t="str">
        <f>HYPERLINK("http://mystore1.ru/price_items/search?utf8=%E2%9C%93&amp;oem=8342RGNV5RDW","8342RGNV5RDW")</f>
        <v>8342RGNV5RDW</v>
      </c>
      <c r="B9152" s="1" t="s">
        <v>17390</v>
      </c>
      <c r="C9152" s="9" t="s">
        <v>567</v>
      </c>
      <c r="D9152" s="14" t="s">
        <v>17391</v>
      </c>
      <c r="E9152" s="9" t="s">
        <v>11</v>
      </c>
    </row>
    <row r="9153" spans="1:5" outlineLevel="1" x14ac:dyDescent="0.25">
      <c r="A9153" s="2"/>
      <c r="B9153" s="6" t="s">
        <v>17392</v>
      </c>
      <c r="C9153" s="8"/>
      <c r="D9153" s="8"/>
      <c r="E9153" s="8"/>
    </row>
    <row r="9154" spans="1:5" ht="15" customHeight="1" outlineLevel="2" x14ac:dyDescent="0.25">
      <c r="A9154" s="3" t="str">
        <f>HYPERLINK("http://mystore1.ru/price_items/search?utf8=%E2%9C%93&amp;oem=8356AGN","8356AGN")</f>
        <v>8356AGN</v>
      </c>
      <c r="B9154" s="1" t="s">
        <v>17393</v>
      </c>
      <c r="C9154" s="9" t="s">
        <v>747</v>
      </c>
      <c r="D9154" s="14" t="s">
        <v>17394</v>
      </c>
      <c r="E9154" s="9" t="s">
        <v>8</v>
      </c>
    </row>
    <row r="9155" spans="1:5" ht="15" customHeight="1" outlineLevel="2" x14ac:dyDescent="0.25">
      <c r="A9155" s="3" t="str">
        <f>HYPERLINK("http://mystore1.ru/price_items/search?utf8=%E2%9C%93&amp;oem=8356AGNM1P","8356AGNM1P")</f>
        <v>8356AGNM1P</v>
      </c>
      <c r="B9155" s="1" t="s">
        <v>17395</v>
      </c>
      <c r="C9155" s="9" t="s">
        <v>747</v>
      </c>
      <c r="D9155" s="14" t="s">
        <v>17396</v>
      </c>
      <c r="E9155" s="9" t="s">
        <v>8</v>
      </c>
    </row>
    <row r="9156" spans="1:5" ht="15" customHeight="1" outlineLevel="2" x14ac:dyDescent="0.25">
      <c r="A9156" s="3" t="str">
        <f>HYPERLINK("http://mystore1.ru/price_items/search?utf8=%E2%9C%93&amp;oem=8356ASMV","8356ASMV")</f>
        <v>8356ASMV</v>
      </c>
      <c r="B9156" s="1" t="s">
        <v>17397</v>
      </c>
      <c r="C9156" s="9" t="s">
        <v>25</v>
      </c>
      <c r="D9156" s="14" t="s">
        <v>17398</v>
      </c>
      <c r="E9156" s="9" t="s">
        <v>27</v>
      </c>
    </row>
    <row r="9157" spans="1:5" outlineLevel="1" x14ac:dyDescent="0.25">
      <c r="A9157" s="2"/>
      <c r="B9157" s="6" t="s">
        <v>17399</v>
      </c>
      <c r="C9157" s="47"/>
      <c r="D9157" s="8"/>
      <c r="E9157" s="8"/>
    </row>
    <row r="9158" spans="1:5" ht="15" customHeight="1" outlineLevel="2" x14ac:dyDescent="0.25">
      <c r="A9158" s="3" t="str">
        <f>HYPERLINK("http://mystore1.ru/price_items/search?utf8=%E2%9C%93&amp;oem=8245ABL","8245ABL")</f>
        <v>8245ABL</v>
      </c>
      <c r="B9158" s="1" t="s">
        <v>17400</v>
      </c>
      <c r="C9158" s="9" t="s">
        <v>16443</v>
      </c>
      <c r="D9158" s="14" t="s">
        <v>17401</v>
      </c>
      <c r="E9158" s="9" t="s">
        <v>8</v>
      </c>
    </row>
    <row r="9159" spans="1:5" outlineLevel="1" x14ac:dyDescent="0.25">
      <c r="A9159" s="2"/>
      <c r="B9159" s="6" t="s">
        <v>17402</v>
      </c>
      <c r="C9159" s="8"/>
      <c r="D9159" s="8"/>
      <c r="E9159" s="8"/>
    </row>
    <row r="9160" spans="1:5" ht="15" customHeight="1" outlineLevel="2" x14ac:dyDescent="0.25">
      <c r="A9160" s="3" t="str">
        <f>HYPERLINK("http://mystore1.ru/price_items/search?utf8=%E2%9C%93&amp;oem=8246ACL","8246ACL")</f>
        <v>8246ACL</v>
      </c>
      <c r="B9160" s="1" t="s">
        <v>17403</v>
      </c>
      <c r="C9160" s="9" t="s">
        <v>791</v>
      </c>
      <c r="D9160" s="14" t="s">
        <v>17404</v>
      </c>
      <c r="E9160" s="9" t="s">
        <v>8</v>
      </c>
    </row>
    <row r="9161" spans="1:5" ht="15" customHeight="1" outlineLevel="2" x14ac:dyDescent="0.25">
      <c r="A9161" s="3" t="str">
        <f>HYPERLINK("http://mystore1.ru/price_items/search?utf8=%E2%9C%93&amp;oem=8246BCLV","8246BCLV")</f>
        <v>8246BCLV</v>
      </c>
      <c r="B9161" s="1" t="s">
        <v>17405</v>
      </c>
      <c r="C9161" s="9" t="s">
        <v>791</v>
      </c>
      <c r="D9161" s="14" t="s">
        <v>17406</v>
      </c>
      <c r="E9161" s="9" t="s">
        <v>30</v>
      </c>
    </row>
    <row r="9162" spans="1:5" ht="15" customHeight="1" outlineLevel="2" x14ac:dyDescent="0.25">
      <c r="A9162" s="3" t="str">
        <f>HYPERLINK("http://mystore1.ru/price_items/search?utf8=%E2%9C%93&amp;oem=8246LCLV2FD","8246LCLV2FD")</f>
        <v>8246LCLV2FD</v>
      </c>
      <c r="B9162" s="1" t="s">
        <v>17407</v>
      </c>
      <c r="C9162" s="9" t="s">
        <v>791</v>
      </c>
      <c r="D9162" s="14" t="s">
        <v>17408</v>
      </c>
      <c r="E9162" s="9" t="s">
        <v>11</v>
      </c>
    </row>
    <row r="9163" spans="1:5" ht="15" customHeight="1" outlineLevel="2" x14ac:dyDescent="0.25">
      <c r="A9163" s="3" t="str">
        <f>HYPERLINK("http://mystore1.ru/price_items/search?utf8=%E2%9C%93&amp;oem=8246RCLV2FD","8246RCLV2FD")</f>
        <v>8246RCLV2FD</v>
      </c>
      <c r="B9163" s="1" t="s">
        <v>17409</v>
      </c>
      <c r="C9163" s="9" t="s">
        <v>791</v>
      </c>
      <c r="D9163" s="14" t="s">
        <v>17410</v>
      </c>
      <c r="E9163" s="9" t="s">
        <v>11</v>
      </c>
    </row>
    <row r="9164" spans="1:5" outlineLevel="1" x14ac:dyDescent="0.25">
      <c r="A9164" s="2"/>
      <c r="B9164" s="6" t="s">
        <v>17411</v>
      </c>
      <c r="C9164" s="8"/>
      <c r="D9164" s="8"/>
      <c r="E9164" s="8"/>
    </row>
    <row r="9165" spans="1:5" ht="15" customHeight="1" outlineLevel="2" x14ac:dyDescent="0.25">
      <c r="A9165" s="3" t="str">
        <f>HYPERLINK("http://mystore1.ru/price_items/search?utf8=%E2%9C%93&amp;oem=8268ABL","8268ABL")</f>
        <v>8268ABL</v>
      </c>
      <c r="B9165" s="1" t="s">
        <v>17412</v>
      </c>
      <c r="C9165" s="9" t="s">
        <v>4646</v>
      </c>
      <c r="D9165" s="14" t="s">
        <v>17413</v>
      </c>
      <c r="E9165" s="9" t="s">
        <v>8</v>
      </c>
    </row>
    <row r="9166" spans="1:5" ht="15" customHeight="1" outlineLevel="2" x14ac:dyDescent="0.25">
      <c r="A9166" s="3" t="str">
        <f>HYPERLINK("http://mystore1.ru/price_items/search?utf8=%E2%9C%93&amp;oem=8268ACL","8268ACL")</f>
        <v>8268ACL</v>
      </c>
      <c r="B9166" s="1" t="s">
        <v>17414</v>
      </c>
      <c r="C9166" s="9" t="s">
        <v>4646</v>
      </c>
      <c r="D9166" s="14" t="s">
        <v>17415</v>
      </c>
      <c r="E9166" s="9" t="s">
        <v>8</v>
      </c>
    </row>
    <row r="9167" spans="1:5" ht="15" customHeight="1" outlineLevel="2" x14ac:dyDescent="0.25">
      <c r="A9167" s="3" t="str">
        <f>HYPERLINK("http://mystore1.ru/price_items/search?utf8=%E2%9C%93&amp;oem=8268AGN","8268AGN")</f>
        <v>8268AGN</v>
      </c>
      <c r="B9167" s="1" t="s">
        <v>17416</v>
      </c>
      <c r="C9167" s="9" t="s">
        <v>4646</v>
      </c>
      <c r="D9167" s="14" t="s">
        <v>17417</v>
      </c>
      <c r="E9167" s="9" t="s">
        <v>8</v>
      </c>
    </row>
    <row r="9168" spans="1:5" ht="15" customHeight="1" outlineLevel="2" x14ac:dyDescent="0.25">
      <c r="A9168" s="3" t="str">
        <f>HYPERLINK("http://mystore1.ru/price_items/search?utf8=%E2%9C%93&amp;oem=8268ASRV","8268ASRV")</f>
        <v>8268ASRV</v>
      </c>
      <c r="B9168" s="1" t="s">
        <v>17418</v>
      </c>
      <c r="C9168" s="9" t="s">
        <v>25</v>
      </c>
      <c r="D9168" s="14" t="s">
        <v>17419</v>
      </c>
      <c r="E9168" s="9" t="s">
        <v>27</v>
      </c>
    </row>
    <row r="9169" spans="1:5" ht="15" customHeight="1" outlineLevel="2" x14ac:dyDescent="0.25">
      <c r="A9169" s="3" t="str">
        <f>HYPERLINK("http://mystore1.ru/price_items/search?utf8=%E2%9C%93&amp;oem=8268BCLV","8268BCLV")</f>
        <v>8268BCLV</v>
      </c>
      <c r="B9169" s="1" t="s">
        <v>17420</v>
      </c>
      <c r="C9169" s="9" t="s">
        <v>4646</v>
      </c>
      <c r="D9169" s="14" t="s">
        <v>17421</v>
      </c>
      <c r="E9169" s="9" t="s">
        <v>30</v>
      </c>
    </row>
    <row r="9170" spans="1:5" ht="15" customHeight="1" outlineLevel="2" x14ac:dyDescent="0.25">
      <c r="A9170" s="3" t="str">
        <f>HYPERLINK("http://mystore1.ru/price_items/search?utf8=%E2%9C%93&amp;oem=8268LCLV2FD","8268LCLV2FD")</f>
        <v>8268LCLV2FD</v>
      </c>
      <c r="B9170" s="1" t="s">
        <v>17422</v>
      </c>
      <c r="C9170" s="9" t="s">
        <v>4646</v>
      </c>
      <c r="D9170" s="14" t="s">
        <v>17423</v>
      </c>
      <c r="E9170" s="9" t="s">
        <v>11</v>
      </c>
    </row>
    <row r="9171" spans="1:5" ht="15" customHeight="1" outlineLevel="2" x14ac:dyDescent="0.25">
      <c r="A9171" s="3" t="str">
        <f>HYPERLINK("http://mystore1.ru/price_items/search?utf8=%E2%9C%93&amp;oem=8268RCLV2FD","8268RCLV2FD")</f>
        <v>8268RCLV2FD</v>
      </c>
      <c r="B9171" s="1" t="s">
        <v>17424</v>
      </c>
      <c r="C9171" s="9" t="s">
        <v>4646</v>
      </c>
      <c r="D9171" s="14" t="s">
        <v>17425</v>
      </c>
      <c r="E9171" s="9" t="s">
        <v>11</v>
      </c>
    </row>
    <row r="9172" spans="1:5" outlineLevel="1" x14ac:dyDescent="0.25">
      <c r="A9172" s="2"/>
      <c r="B9172" s="6" t="s">
        <v>17426</v>
      </c>
      <c r="C9172" s="8"/>
      <c r="D9172" s="8"/>
      <c r="E9172" s="8"/>
    </row>
    <row r="9173" spans="1:5" ht="15" customHeight="1" outlineLevel="2" x14ac:dyDescent="0.25">
      <c r="A9173" s="3" t="str">
        <f>HYPERLINK("http://mystore1.ru/price_items/search?utf8=%E2%9C%93&amp;oem=8295ACL","8295ACL")</f>
        <v>8295ACL</v>
      </c>
      <c r="B9173" s="1" t="s">
        <v>17427</v>
      </c>
      <c r="C9173" s="9" t="s">
        <v>17428</v>
      </c>
      <c r="D9173" s="14" t="s">
        <v>17429</v>
      </c>
      <c r="E9173" s="9" t="s">
        <v>8</v>
      </c>
    </row>
    <row r="9174" spans="1:5" ht="15" customHeight="1" outlineLevel="2" x14ac:dyDescent="0.25">
      <c r="A9174" s="3" t="str">
        <f>HYPERLINK("http://mystore1.ru/price_items/search?utf8=%E2%9C%93&amp;oem=8295AGN","8295AGN")</f>
        <v>8295AGN</v>
      </c>
      <c r="B9174" s="1" t="s">
        <v>17430</v>
      </c>
      <c r="C9174" s="9" t="s">
        <v>17431</v>
      </c>
      <c r="D9174" s="14" t="s">
        <v>17432</v>
      </c>
      <c r="E9174" s="9" t="s">
        <v>8</v>
      </c>
    </row>
    <row r="9175" spans="1:5" ht="15" customHeight="1" outlineLevel="2" x14ac:dyDescent="0.25">
      <c r="A9175" s="3" t="str">
        <f>HYPERLINK("http://mystore1.ru/price_items/search?utf8=%E2%9C%93&amp;oem=8295AGN1B","8295AGN1B")</f>
        <v>8295AGN1B</v>
      </c>
      <c r="B9175" s="1" t="s">
        <v>17433</v>
      </c>
      <c r="C9175" s="9" t="s">
        <v>17434</v>
      </c>
      <c r="D9175" s="14" t="s">
        <v>17435</v>
      </c>
      <c r="E9175" s="9" t="s">
        <v>8</v>
      </c>
    </row>
    <row r="9176" spans="1:5" ht="15" customHeight="1" outlineLevel="2" x14ac:dyDescent="0.25">
      <c r="A9176" s="3" t="str">
        <f>HYPERLINK("http://mystore1.ru/price_items/search?utf8=%E2%9C%93&amp;oem=8295AGNBL","8295AGNBL")</f>
        <v>8295AGNBL</v>
      </c>
      <c r="B9176" s="1" t="s">
        <v>17436</v>
      </c>
      <c r="C9176" s="9" t="s">
        <v>17428</v>
      </c>
      <c r="D9176" s="14" t="s">
        <v>17437</v>
      </c>
      <c r="E9176" s="9" t="s">
        <v>8</v>
      </c>
    </row>
    <row r="9177" spans="1:5" ht="15" customHeight="1" outlineLevel="2" x14ac:dyDescent="0.25">
      <c r="A9177" s="3" t="str">
        <f>HYPERLINK("http://mystore1.ru/price_items/search?utf8=%E2%9C%93&amp;oem=8295AGNBL1B","8295AGNBL1B")</f>
        <v>8295AGNBL1B</v>
      </c>
      <c r="B9177" s="1" t="s">
        <v>17438</v>
      </c>
      <c r="C9177" s="9" t="s">
        <v>17434</v>
      </c>
      <c r="D9177" s="14" t="s">
        <v>17439</v>
      </c>
      <c r="E9177" s="9" t="s">
        <v>8</v>
      </c>
    </row>
    <row r="9178" spans="1:5" ht="15" customHeight="1" outlineLevel="2" x14ac:dyDescent="0.25">
      <c r="A9178" s="3" t="str">
        <f>HYPERLINK("http://mystore1.ru/price_items/search?utf8=%E2%9C%93&amp;oem=8295ASMVT","8295ASMVT")</f>
        <v>8295ASMVT</v>
      </c>
      <c r="B9178" s="1" t="s">
        <v>17440</v>
      </c>
      <c r="C9178" s="9" t="s">
        <v>25</v>
      </c>
      <c r="D9178" s="14" t="s">
        <v>17441</v>
      </c>
      <c r="E9178" s="9" t="s">
        <v>27</v>
      </c>
    </row>
    <row r="9179" spans="1:5" ht="15" customHeight="1" outlineLevel="2" x14ac:dyDescent="0.25">
      <c r="A9179" s="3" t="str">
        <f>HYPERLINK("http://mystore1.ru/price_items/search?utf8=%E2%9C%93&amp;oem=8295BCLV","8295BCLV")</f>
        <v>8295BCLV</v>
      </c>
      <c r="B9179" s="1" t="s">
        <v>17442</v>
      </c>
      <c r="C9179" s="9" t="s">
        <v>17428</v>
      </c>
      <c r="D9179" s="14" t="s">
        <v>17443</v>
      </c>
      <c r="E9179" s="9" t="s">
        <v>30</v>
      </c>
    </row>
    <row r="9180" spans="1:5" ht="15" customHeight="1" outlineLevel="2" x14ac:dyDescent="0.25">
      <c r="A9180" s="3" t="str">
        <f>HYPERLINK("http://mystore1.ru/price_items/search?utf8=%E2%9C%93&amp;oem=8295BCLVU","8295BCLVU")</f>
        <v>8295BCLVU</v>
      </c>
      <c r="B9180" s="1" t="s">
        <v>17444</v>
      </c>
      <c r="C9180" s="9" t="s">
        <v>17428</v>
      </c>
      <c r="D9180" s="14" t="s">
        <v>17445</v>
      </c>
      <c r="E9180" s="9" t="s">
        <v>30</v>
      </c>
    </row>
    <row r="9181" spans="1:5" ht="15" customHeight="1" outlineLevel="2" x14ac:dyDescent="0.25">
      <c r="A9181" s="3" t="str">
        <f>HYPERLINK("http://mystore1.ru/price_items/search?utf8=%E2%9C%93&amp;oem=8295BGNV","8295BGNV")</f>
        <v>8295BGNV</v>
      </c>
      <c r="B9181" s="1" t="s">
        <v>17446</v>
      </c>
      <c r="C9181" s="9" t="s">
        <v>17431</v>
      </c>
      <c r="D9181" s="14" t="s">
        <v>17447</v>
      </c>
      <c r="E9181" s="9" t="s">
        <v>30</v>
      </c>
    </row>
    <row r="9182" spans="1:5" ht="15" customHeight="1" outlineLevel="2" x14ac:dyDescent="0.25">
      <c r="A9182" s="3" t="str">
        <f>HYPERLINK("http://mystore1.ru/price_items/search?utf8=%E2%9C%93&amp;oem=8295LCLV2FDW","8295LCLV2FDW")</f>
        <v>8295LCLV2FDW</v>
      </c>
      <c r="B9182" s="1" t="s">
        <v>17448</v>
      </c>
      <c r="C9182" s="9" t="s">
        <v>17428</v>
      </c>
      <c r="D9182" s="14" t="s">
        <v>17449</v>
      </c>
      <c r="E9182" s="9" t="s">
        <v>11</v>
      </c>
    </row>
    <row r="9183" spans="1:5" ht="15" customHeight="1" outlineLevel="2" x14ac:dyDescent="0.25">
      <c r="A9183" s="3" t="str">
        <f>HYPERLINK("http://mystore1.ru/price_items/search?utf8=%E2%9C%93&amp;oem=8295LGNV2FDW","8295LGNV2FDW")</f>
        <v>8295LGNV2FDW</v>
      </c>
      <c r="B9183" s="1" t="s">
        <v>17450</v>
      </c>
      <c r="C9183" s="9" t="s">
        <v>17431</v>
      </c>
      <c r="D9183" s="14" t="s">
        <v>17451</v>
      </c>
      <c r="E9183" s="9" t="s">
        <v>11</v>
      </c>
    </row>
    <row r="9184" spans="1:5" ht="15" customHeight="1" outlineLevel="2" x14ac:dyDescent="0.25">
      <c r="A9184" s="3" t="str">
        <f>HYPERLINK("http://mystore1.ru/price_items/search?utf8=%E2%9C%93&amp;oem=8295RCLV2FDW","8295RCLV2FDW")</f>
        <v>8295RCLV2FDW</v>
      </c>
      <c r="B9184" s="1" t="s">
        <v>17452</v>
      </c>
      <c r="C9184" s="9" t="s">
        <v>17428</v>
      </c>
      <c r="D9184" s="14" t="s">
        <v>17453</v>
      </c>
      <c r="E9184" s="9" t="s">
        <v>11</v>
      </c>
    </row>
    <row r="9185" spans="1:5" ht="15" customHeight="1" outlineLevel="2" x14ac:dyDescent="0.25">
      <c r="A9185" s="3" t="str">
        <f>HYPERLINK("http://mystore1.ru/price_items/search?utf8=%E2%9C%93&amp;oem=8295RGNV2FDW","8295RGNV2FDW")</f>
        <v>8295RGNV2FDW</v>
      </c>
      <c r="B9185" s="1" t="s">
        <v>17454</v>
      </c>
      <c r="C9185" s="9" t="s">
        <v>17431</v>
      </c>
      <c r="D9185" s="14" t="s">
        <v>17455</v>
      </c>
      <c r="E9185" s="9" t="s">
        <v>11</v>
      </c>
    </row>
    <row r="9186" spans="1:5" outlineLevel="1" x14ac:dyDescent="0.25">
      <c r="A9186" s="2"/>
      <c r="B9186" s="6" t="s">
        <v>17456</v>
      </c>
      <c r="C9186" s="8"/>
      <c r="D9186" s="8"/>
      <c r="E9186" s="8"/>
    </row>
    <row r="9187" spans="1:5" ht="15" customHeight="1" outlineLevel="2" x14ac:dyDescent="0.25">
      <c r="A9187" s="3" t="str">
        <f>HYPERLINK("http://mystore1.ru/price_items/search?utf8=%E2%9C%93&amp;oem=8227ACL","8227ACL")</f>
        <v>8227ACL</v>
      </c>
      <c r="B9187" s="1" t="s">
        <v>17457</v>
      </c>
      <c r="C9187" s="9" t="s">
        <v>25</v>
      </c>
      <c r="D9187" s="14" t="s">
        <v>17458</v>
      </c>
      <c r="E9187" s="9" t="s">
        <v>8</v>
      </c>
    </row>
    <row r="9188" spans="1:5" outlineLevel="1" x14ac:dyDescent="0.25">
      <c r="A9188" s="2"/>
      <c r="B9188" s="6" t="s">
        <v>17459</v>
      </c>
      <c r="C9188" s="8"/>
      <c r="D9188" s="8"/>
      <c r="E9188" s="8"/>
    </row>
    <row r="9189" spans="1:5" ht="15" customHeight="1" outlineLevel="2" x14ac:dyDescent="0.25">
      <c r="A9189" s="3" t="str">
        <f>HYPERLINK("http://mystore1.ru/price_items/search?utf8=%E2%9C%93&amp;oem=8250ACL","8250ACL")</f>
        <v>8250ACL</v>
      </c>
      <c r="B9189" s="1" t="s">
        <v>17460</v>
      </c>
      <c r="C9189" s="9" t="s">
        <v>791</v>
      </c>
      <c r="D9189" s="14" t="s">
        <v>17461</v>
      </c>
      <c r="E9189" s="9" t="s">
        <v>8</v>
      </c>
    </row>
    <row r="9190" spans="1:5" outlineLevel="1" x14ac:dyDescent="0.25">
      <c r="A9190" s="2"/>
      <c r="B9190" s="6" t="s">
        <v>17462</v>
      </c>
      <c r="C9190" s="8"/>
      <c r="D9190" s="8"/>
      <c r="E9190" s="8"/>
    </row>
    <row r="9191" spans="1:5" ht="15" customHeight="1" outlineLevel="2" x14ac:dyDescent="0.25">
      <c r="A9191" s="3" t="str">
        <f>HYPERLINK("http://mystore1.ru/price_items/search?utf8=%E2%9C%93&amp;oem=8266ACL","8266ACL")</f>
        <v>8266ACL</v>
      </c>
      <c r="B9191" s="1" t="s">
        <v>17463</v>
      </c>
      <c r="C9191" s="9" t="s">
        <v>14739</v>
      </c>
      <c r="D9191" s="14" t="s">
        <v>17464</v>
      </c>
      <c r="E9191" s="9" t="s">
        <v>8</v>
      </c>
    </row>
    <row r="9192" spans="1:5" outlineLevel="1" x14ac:dyDescent="0.25">
      <c r="A9192" s="2"/>
      <c r="B9192" s="6" t="s">
        <v>17465</v>
      </c>
      <c r="C9192" s="8"/>
      <c r="D9192" s="8"/>
      <c r="E9192" s="8"/>
    </row>
    <row r="9193" spans="1:5" ht="15" customHeight="1" outlineLevel="2" x14ac:dyDescent="0.25">
      <c r="A9193" s="3" t="str">
        <f>HYPERLINK("http://mystore1.ru/price_items/search?utf8=%E2%9C%93&amp;oem=8308AGN","8308AGN")</f>
        <v>8308AGN</v>
      </c>
      <c r="B9193" s="1" t="s">
        <v>17466</v>
      </c>
      <c r="C9193" s="9" t="s">
        <v>120</v>
      </c>
      <c r="D9193" s="14" t="s">
        <v>17467</v>
      </c>
      <c r="E9193" s="9" t="s">
        <v>8</v>
      </c>
    </row>
    <row r="9194" spans="1:5" ht="15" customHeight="1" outlineLevel="2" x14ac:dyDescent="0.25">
      <c r="A9194" s="3" t="str">
        <f>HYPERLINK("http://mystore1.ru/price_items/search?utf8=%E2%9C%93&amp;oem=8308AGNBL","8308AGNBL")</f>
        <v>8308AGNBL</v>
      </c>
      <c r="B9194" s="1" t="s">
        <v>17468</v>
      </c>
      <c r="C9194" s="9" t="s">
        <v>120</v>
      </c>
      <c r="D9194" s="14" t="s">
        <v>17469</v>
      </c>
      <c r="E9194" s="9" t="s">
        <v>8</v>
      </c>
    </row>
    <row r="9195" spans="1:5" ht="15" customHeight="1" outlineLevel="2" x14ac:dyDescent="0.25">
      <c r="A9195" s="3" t="str">
        <f>HYPERLINK("http://mystore1.ru/price_items/search?utf8=%E2%9C%93&amp;oem=8308AGNGN","8308AGNGN")</f>
        <v>8308AGNGN</v>
      </c>
      <c r="B9195" s="1" t="s">
        <v>17470</v>
      </c>
      <c r="C9195" s="9" t="s">
        <v>120</v>
      </c>
      <c r="D9195" s="14" t="s">
        <v>17471</v>
      </c>
      <c r="E9195" s="9" t="s">
        <v>8</v>
      </c>
    </row>
    <row r="9196" spans="1:5" ht="15" customHeight="1" outlineLevel="2" x14ac:dyDescent="0.25">
      <c r="A9196" s="3" t="str">
        <f>HYPERLINK("http://mystore1.ru/price_items/search?utf8=%E2%9C%93&amp;oem=8308ASMPC","8308ASMPC")</f>
        <v>8308ASMPC</v>
      </c>
      <c r="B9196" s="1" t="s">
        <v>17472</v>
      </c>
      <c r="C9196" s="9" t="s">
        <v>25</v>
      </c>
      <c r="D9196" s="14" t="s">
        <v>17473</v>
      </c>
      <c r="E9196" s="9" t="s">
        <v>27</v>
      </c>
    </row>
    <row r="9197" spans="1:5" ht="15" customHeight="1" outlineLevel="2" x14ac:dyDescent="0.25">
      <c r="A9197" s="3" t="str">
        <f>HYPERLINK("http://mystore1.ru/price_items/search?utf8=%E2%9C%93&amp;oem=8308LGNP2FDW","8308LGNP2FDW")</f>
        <v>8308LGNP2FDW</v>
      </c>
      <c r="B9197" s="1" t="s">
        <v>17474</v>
      </c>
      <c r="C9197" s="9" t="s">
        <v>120</v>
      </c>
      <c r="D9197" s="14" t="s">
        <v>17475</v>
      </c>
      <c r="E9197" s="9" t="s">
        <v>11</v>
      </c>
    </row>
    <row r="9198" spans="1:5" ht="15" customHeight="1" outlineLevel="2" x14ac:dyDescent="0.25">
      <c r="A9198" s="3" t="str">
        <f>HYPERLINK("http://mystore1.ru/price_items/search?utf8=%E2%9C%93&amp;oem=8308RGNP2FDW","8308RGNP2FDW")</f>
        <v>8308RGNP2FDW</v>
      </c>
      <c r="B9198" s="1" t="s">
        <v>17476</v>
      </c>
      <c r="C9198" s="9" t="s">
        <v>120</v>
      </c>
      <c r="D9198" s="14" t="s">
        <v>17477</v>
      </c>
      <c r="E9198" s="9" t="s">
        <v>11</v>
      </c>
    </row>
    <row r="9199" spans="1:5" outlineLevel="1" x14ac:dyDescent="0.25">
      <c r="A9199" s="2"/>
      <c r="B9199" s="6" t="s">
        <v>17478</v>
      </c>
      <c r="C9199" s="8"/>
      <c r="D9199" s="8"/>
      <c r="E9199" s="8"/>
    </row>
    <row r="9200" spans="1:5" ht="15" customHeight="1" outlineLevel="2" x14ac:dyDescent="0.25">
      <c r="A9200" s="3" t="str">
        <f>HYPERLINK("http://mystore1.ru/price_items/search?utf8=%E2%9C%93&amp;oem=8367AGN","8367AGN")</f>
        <v>8367AGN</v>
      </c>
      <c r="B9200" s="1" t="s">
        <v>17479</v>
      </c>
      <c r="C9200" s="9" t="s">
        <v>1607</v>
      </c>
      <c r="D9200" s="14" t="s">
        <v>17480</v>
      </c>
      <c r="E9200" s="9" t="s">
        <v>8</v>
      </c>
    </row>
    <row r="9201" spans="1:5" ht="15" customHeight="1" outlineLevel="2" x14ac:dyDescent="0.25">
      <c r="A9201" s="3" t="str">
        <f>HYPERLINK("http://mystore1.ru/price_items/search?utf8=%E2%9C%93&amp;oem=8367AGNGN","8367AGNGN")</f>
        <v>8367AGNGN</v>
      </c>
      <c r="B9201" s="1" t="s">
        <v>17481</v>
      </c>
      <c r="C9201" s="9" t="s">
        <v>1607</v>
      </c>
      <c r="D9201" s="14" t="s">
        <v>17482</v>
      </c>
      <c r="E9201" s="9" t="s">
        <v>8</v>
      </c>
    </row>
    <row r="9202" spans="1:5" outlineLevel="1" x14ac:dyDescent="0.25">
      <c r="A9202" s="2"/>
      <c r="B9202" s="6" t="s">
        <v>17483</v>
      </c>
      <c r="C9202" s="8"/>
      <c r="D9202" s="8"/>
      <c r="E9202" s="8"/>
    </row>
    <row r="9203" spans="1:5" ht="15" customHeight="1" outlineLevel="2" x14ac:dyDescent="0.25">
      <c r="A9203" s="3" t="str">
        <f>HYPERLINK("http://mystore1.ru/price_items/search?utf8=%E2%9C%93&amp;oem=8221ACL","8221ACL")</f>
        <v>8221ACL</v>
      </c>
      <c r="B9203" s="1" t="s">
        <v>17484</v>
      </c>
      <c r="C9203" s="9" t="s">
        <v>17485</v>
      </c>
      <c r="D9203" s="14" t="s">
        <v>17486</v>
      </c>
      <c r="E9203" s="9" t="s">
        <v>8</v>
      </c>
    </row>
    <row r="9204" spans="1:5" outlineLevel="1" x14ac:dyDescent="0.25">
      <c r="A9204" s="2"/>
      <c r="B9204" s="6" t="s">
        <v>17487</v>
      </c>
      <c r="C9204" s="8"/>
      <c r="D9204" s="8"/>
      <c r="E9204" s="8"/>
    </row>
    <row r="9205" spans="1:5" ht="15" customHeight="1" outlineLevel="2" x14ac:dyDescent="0.25">
      <c r="A9205" s="3" t="str">
        <f>HYPERLINK("http://mystore1.ru/price_items/search?utf8=%E2%9C%93&amp;oem=8239ABL","8239ABL")</f>
        <v>8239ABL</v>
      </c>
      <c r="B9205" s="1" t="s">
        <v>17488</v>
      </c>
      <c r="C9205" s="9" t="s">
        <v>17489</v>
      </c>
      <c r="D9205" s="14" t="s">
        <v>17490</v>
      </c>
      <c r="E9205" s="9" t="s">
        <v>8</v>
      </c>
    </row>
    <row r="9206" spans="1:5" ht="15" customHeight="1" outlineLevel="2" x14ac:dyDescent="0.25">
      <c r="A9206" s="3" t="str">
        <f>HYPERLINK("http://mystore1.ru/price_items/search?utf8=%E2%9C%93&amp;oem=8239ACL","8239ACL")</f>
        <v>8239ACL</v>
      </c>
      <c r="B9206" s="1" t="s">
        <v>17491</v>
      </c>
      <c r="C9206" s="9" t="s">
        <v>17489</v>
      </c>
      <c r="D9206" s="14" t="s">
        <v>17492</v>
      </c>
      <c r="E9206" s="9" t="s">
        <v>8</v>
      </c>
    </row>
    <row r="9207" spans="1:5" outlineLevel="1" x14ac:dyDescent="0.25">
      <c r="A9207" s="2"/>
      <c r="B9207" s="6" t="s">
        <v>17493</v>
      </c>
      <c r="C9207" s="47"/>
      <c r="D9207" s="8"/>
      <c r="E9207" s="8"/>
    </row>
    <row r="9208" spans="1:5" ht="15" customHeight="1" outlineLevel="2" x14ac:dyDescent="0.25">
      <c r="A9208" s="3" t="str">
        <f>HYPERLINK("http://mystore1.ru/price_items/search?utf8=%E2%9C%93&amp;oem=8263ABL","8263ABL")</f>
        <v>8263ABL</v>
      </c>
      <c r="B9208" s="1" t="s">
        <v>17494</v>
      </c>
      <c r="C9208" s="9" t="s">
        <v>17495</v>
      </c>
      <c r="D9208" s="14" t="s">
        <v>17496</v>
      </c>
      <c r="E9208" s="9" t="s">
        <v>8</v>
      </c>
    </row>
    <row r="9209" spans="1:5" ht="15" customHeight="1" outlineLevel="2" x14ac:dyDescent="0.25">
      <c r="A9209" s="3" t="str">
        <f>HYPERLINK("http://mystore1.ru/price_items/search?utf8=%E2%9C%93&amp;oem=8263ACL","8263ACL")</f>
        <v>8263ACL</v>
      </c>
      <c r="B9209" s="1" t="s">
        <v>17497</v>
      </c>
      <c r="C9209" s="9" t="s">
        <v>17495</v>
      </c>
      <c r="D9209" s="14" t="s">
        <v>17498</v>
      </c>
      <c r="E9209" s="9" t="s">
        <v>8</v>
      </c>
    </row>
    <row r="9210" spans="1:5" outlineLevel="1" x14ac:dyDescent="0.25">
      <c r="A9210" s="2"/>
      <c r="B9210" s="6" t="s">
        <v>17499</v>
      </c>
      <c r="C9210" s="47"/>
      <c r="D9210" s="8"/>
      <c r="E9210" s="8"/>
    </row>
    <row r="9211" spans="1:5" ht="15" customHeight="1" outlineLevel="2" x14ac:dyDescent="0.25">
      <c r="A9211" s="3" t="str">
        <f>HYPERLINK("http://mystore1.ru/price_items/search?utf8=%E2%9C%93&amp;oem=8283ABL","8283ABL")</f>
        <v>8283ABL</v>
      </c>
      <c r="B9211" s="1" t="s">
        <v>17500</v>
      </c>
      <c r="C9211" s="9" t="s">
        <v>3748</v>
      </c>
      <c r="D9211" s="14" t="s">
        <v>17501</v>
      </c>
      <c r="E9211" s="9" t="s">
        <v>8</v>
      </c>
    </row>
    <row r="9212" spans="1:5" ht="15" customHeight="1" outlineLevel="2" x14ac:dyDescent="0.25">
      <c r="A9212" s="3" t="str">
        <f>HYPERLINK("http://mystore1.ru/price_items/search?utf8=%E2%9C%93&amp;oem=8283ACL","8283ACL")</f>
        <v>8283ACL</v>
      </c>
      <c r="B9212" s="1" t="s">
        <v>17502</v>
      </c>
      <c r="C9212" s="9" t="s">
        <v>3748</v>
      </c>
      <c r="D9212" s="14" t="s">
        <v>17503</v>
      </c>
      <c r="E9212" s="9" t="s">
        <v>8</v>
      </c>
    </row>
    <row r="9213" spans="1:5" outlineLevel="1" x14ac:dyDescent="0.25">
      <c r="A9213" s="2"/>
      <c r="B9213" s="6" t="s">
        <v>17504</v>
      </c>
      <c r="C9213" s="47"/>
      <c r="D9213" s="8"/>
      <c r="E9213" s="8"/>
    </row>
    <row r="9214" spans="1:5" ht="15" customHeight="1" outlineLevel="2" x14ac:dyDescent="0.25">
      <c r="A9214" s="3" t="str">
        <f>HYPERLINK("http://mystore1.ru/price_items/search?utf8=%E2%9C%93&amp;oem=8274ABL","8274ABL")</f>
        <v>8274ABL</v>
      </c>
      <c r="B9214" s="1" t="s">
        <v>17505</v>
      </c>
      <c r="C9214" s="9" t="s">
        <v>7568</v>
      </c>
      <c r="D9214" s="14" t="s">
        <v>17506</v>
      </c>
      <c r="E9214" s="9" t="s">
        <v>8</v>
      </c>
    </row>
    <row r="9215" spans="1:5" ht="15" customHeight="1" outlineLevel="2" x14ac:dyDescent="0.25">
      <c r="A9215" s="3" t="str">
        <f>HYPERLINK("http://mystore1.ru/price_items/search?utf8=%E2%9C%93&amp;oem=8274ABLBL","8274ABLBL")</f>
        <v>8274ABLBL</v>
      </c>
      <c r="B9215" s="1" t="s">
        <v>17507</v>
      </c>
      <c r="C9215" s="9" t="s">
        <v>7568</v>
      </c>
      <c r="D9215" s="14" t="s">
        <v>17508</v>
      </c>
      <c r="E9215" s="9" t="s">
        <v>8</v>
      </c>
    </row>
    <row r="9216" spans="1:5" ht="15" customHeight="1" outlineLevel="2" x14ac:dyDescent="0.25">
      <c r="A9216" s="3" t="str">
        <f>HYPERLINK("http://mystore1.ru/price_items/search?utf8=%E2%9C%93&amp;oem=8274ASRR","8274ASRR")</f>
        <v>8274ASRR</v>
      </c>
      <c r="B9216" s="1" t="s">
        <v>17509</v>
      </c>
      <c r="C9216" s="9" t="s">
        <v>25</v>
      </c>
      <c r="D9216" s="14" t="s">
        <v>17510</v>
      </c>
      <c r="E9216" s="9" t="s">
        <v>27</v>
      </c>
    </row>
    <row r="9217" spans="1:5" ht="15" customHeight="1" outlineLevel="2" x14ac:dyDescent="0.25">
      <c r="A9217" s="3" t="str">
        <f>HYPERLINK("http://mystore1.ru/price_items/search?utf8=%E2%9C%93&amp;oem=8274BBLR","8274BBLR")</f>
        <v>8274BBLR</v>
      </c>
      <c r="B9217" s="1" t="s">
        <v>17511</v>
      </c>
      <c r="C9217" s="9" t="s">
        <v>7568</v>
      </c>
      <c r="D9217" s="14" t="s">
        <v>17512</v>
      </c>
      <c r="E9217" s="9" t="s">
        <v>30</v>
      </c>
    </row>
    <row r="9218" spans="1:5" ht="15" customHeight="1" outlineLevel="2" x14ac:dyDescent="0.25">
      <c r="A9218" s="3" t="str">
        <f>HYPERLINK("http://mystore1.ru/price_items/search?utf8=%E2%9C%93&amp;oem=8274LBLR5FD","8274LBLR5FD")</f>
        <v>8274LBLR5FD</v>
      </c>
      <c r="B9218" s="1" t="s">
        <v>17513</v>
      </c>
      <c r="C9218" s="9" t="s">
        <v>7568</v>
      </c>
      <c r="D9218" s="14" t="s">
        <v>17514</v>
      </c>
      <c r="E9218" s="9" t="s">
        <v>11</v>
      </c>
    </row>
    <row r="9219" spans="1:5" ht="15" customHeight="1" outlineLevel="2" x14ac:dyDescent="0.25">
      <c r="A9219" s="3" t="str">
        <f>HYPERLINK("http://mystore1.ru/price_items/search?utf8=%E2%9C%93&amp;oem=8274RBLR5FD","8274RBLR5FD")</f>
        <v>8274RBLR5FD</v>
      </c>
      <c r="B9219" s="1" t="s">
        <v>17515</v>
      </c>
      <c r="C9219" s="9" t="s">
        <v>7568</v>
      </c>
      <c r="D9219" s="14" t="s">
        <v>17516</v>
      </c>
      <c r="E9219" s="9" t="s">
        <v>11</v>
      </c>
    </row>
    <row r="9220" spans="1:5" outlineLevel="1" x14ac:dyDescent="0.25">
      <c r="A9220" s="2"/>
      <c r="B9220" s="6" t="s">
        <v>17517</v>
      </c>
      <c r="C9220" s="47"/>
      <c r="D9220" s="8"/>
      <c r="E9220" s="8"/>
    </row>
    <row r="9221" spans="1:5" ht="15" customHeight="1" outlineLevel="2" x14ac:dyDescent="0.25">
      <c r="A9221" s="3" t="str">
        <f>HYPERLINK("http://mystore1.ru/price_items/search?utf8=%E2%9C%93&amp;oem=8301ALG","8301ALG")</f>
        <v>8301ALG</v>
      </c>
      <c r="B9221" s="1" t="s">
        <v>17518</v>
      </c>
      <c r="C9221" s="9" t="s">
        <v>420</v>
      </c>
      <c r="D9221" s="14" t="s">
        <v>17519</v>
      </c>
      <c r="E9221" s="9" t="s">
        <v>8</v>
      </c>
    </row>
    <row r="9222" spans="1:5" ht="15" customHeight="1" outlineLevel="2" x14ac:dyDescent="0.25">
      <c r="A9222" s="3" t="str">
        <f>HYPERLINK("http://mystore1.ru/price_items/search?utf8=%E2%9C%93&amp;oem=8301ALGGN","8301ALGGN")</f>
        <v>8301ALGGN</v>
      </c>
      <c r="B9222" s="1" t="s">
        <v>17520</v>
      </c>
      <c r="C9222" s="9" t="s">
        <v>420</v>
      </c>
      <c r="D9222" s="14" t="s">
        <v>17521</v>
      </c>
      <c r="E9222" s="9" t="s">
        <v>8</v>
      </c>
    </row>
    <row r="9223" spans="1:5" ht="15" customHeight="1" outlineLevel="2" x14ac:dyDescent="0.25">
      <c r="A9223" s="3" t="str">
        <f>HYPERLINK("http://mystore1.ru/price_items/search?utf8=%E2%9C%93&amp;oem=8301ASMR","8301ASMR")</f>
        <v>8301ASMR</v>
      </c>
      <c r="B9223" s="1" t="s">
        <v>17522</v>
      </c>
      <c r="C9223" s="9" t="s">
        <v>25</v>
      </c>
      <c r="D9223" s="14" t="s">
        <v>17523</v>
      </c>
      <c r="E9223" s="9" t="s">
        <v>27</v>
      </c>
    </row>
    <row r="9224" spans="1:5" ht="15" customHeight="1" outlineLevel="2" x14ac:dyDescent="0.25">
      <c r="A9224" s="3" t="str">
        <f>HYPERLINK("http://mystore1.ru/price_items/search?utf8=%E2%9C%93&amp;oem=8301BLGR","8301BLGR")</f>
        <v>8301BLGR</v>
      </c>
      <c r="B9224" s="1" t="s">
        <v>17524</v>
      </c>
      <c r="C9224" s="9" t="s">
        <v>420</v>
      </c>
      <c r="D9224" s="14" t="s">
        <v>17525</v>
      </c>
      <c r="E9224" s="9" t="s">
        <v>30</v>
      </c>
    </row>
    <row r="9225" spans="1:5" ht="15" customHeight="1" outlineLevel="2" x14ac:dyDescent="0.25">
      <c r="A9225" s="3" t="str">
        <f>HYPERLINK("http://mystore1.ru/price_items/search?utf8=%E2%9C%93&amp;oem=8301LLGR3FDW","8301LLGR3FDW")</f>
        <v>8301LLGR3FDW</v>
      </c>
      <c r="B9225" s="1" t="s">
        <v>17526</v>
      </c>
      <c r="C9225" s="9" t="s">
        <v>420</v>
      </c>
      <c r="D9225" s="14" t="s">
        <v>17527</v>
      </c>
      <c r="E9225" s="9" t="s">
        <v>11</v>
      </c>
    </row>
    <row r="9226" spans="1:5" ht="15" customHeight="1" outlineLevel="2" x14ac:dyDescent="0.25">
      <c r="A9226" s="3" t="str">
        <f>HYPERLINK("http://mystore1.ru/price_items/search?utf8=%E2%9C%93&amp;oem=8301LLGR5RD","8301LLGR5RD")</f>
        <v>8301LLGR5RD</v>
      </c>
      <c r="B9226" s="1" t="s">
        <v>17528</v>
      </c>
      <c r="C9226" s="9" t="s">
        <v>420</v>
      </c>
      <c r="D9226" s="14" t="s">
        <v>17529</v>
      </c>
      <c r="E9226" s="9" t="s">
        <v>11</v>
      </c>
    </row>
    <row r="9227" spans="1:5" ht="15" customHeight="1" outlineLevel="2" x14ac:dyDescent="0.25">
      <c r="A9227" s="3" t="str">
        <f>HYPERLINK("http://mystore1.ru/price_items/search?utf8=%E2%9C%93&amp;oem=8301LLGR5RV","8301LLGR5RV")</f>
        <v>8301LLGR5RV</v>
      </c>
      <c r="B9227" s="1" t="s">
        <v>17530</v>
      </c>
      <c r="C9227" s="9" t="s">
        <v>420</v>
      </c>
      <c r="D9227" s="14" t="s">
        <v>17531</v>
      </c>
      <c r="E9227" s="9" t="s">
        <v>11</v>
      </c>
    </row>
    <row r="9228" spans="1:5" ht="15" customHeight="1" outlineLevel="2" x14ac:dyDescent="0.25">
      <c r="A9228" s="3" t="str">
        <f>HYPERLINK("http://mystore1.ru/price_items/search?utf8=%E2%9C%93&amp;oem=8301RLGR3FDW","8301RLGR3FDW")</f>
        <v>8301RLGR3FDW</v>
      </c>
      <c r="B9228" s="1" t="s">
        <v>17532</v>
      </c>
      <c r="C9228" s="9" t="s">
        <v>420</v>
      </c>
      <c r="D9228" s="14" t="s">
        <v>17533</v>
      </c>
      <c r="E9228" s="9" t="s">
        <v>11</v>
      </c>
    </row>
    <row r="9229" spans="1:5" ht="15" customHeight="1" outlineLevel="2" x14ac:dyDescent="0.25">
      <c r="A9229" s="3" t="str">
        <f>HYPERLINK("http://mystore1.ru/price_items/search?utf8=%E2%9C%93&amp;oem=8301RLGR5RD","8301RLGR5RD")</f>
        <v>8301RLGR5RD</v>
      </c>
      <c r="B9229" s="1" t="s">
        <v>17534</v>
      </c>
      <c r="C9229" s="9" t="s">
        <v>420</v>
      </c>
      <c r="D9229" s="14" t="s">
        <v>17535</v>
      </c>
      <c r="E9229" s="9" t="s">
        <v>11</v>
      </c>
    </row>
    <row r="9230" spans="1:5" ht="15" customHeight="1" outlineLevel="2" x14ac:dyDescent="0.25">
      <c r="A9230" s="3" t="str">
        <f>HYPERLINK("http://mystore1.ru/price_items/search?utf8=%E2%9C%93&amp;oem=8301RLGR5RV","8301RLGR5RV")</f>
        <v>8301RLGR5RV</v>
      </c>
      <c r="B9230" s="1" t="s">
        <v>17536</v>
      </c>
      <c r="C9230" s="9" t="s">
        <v>420</v>
      </c>
      <c r="D9230" s="14" t="s">
        <v>17537</v>
      </c>
      <c r="E9230" s="9" t="s">
        <v>11</v>
      </c>
    </row>
    <row r="9231" spans="1:5" outlineLevel="1" x14ac:dyDescent="0.25">
      <c r="A9231" s="2"/>
      <c r="B9231" s="6" t="s">
        <v>17538</v>
      </c>
      <c r="C9231" s="47"/>
      <c r="D9231" s="8"/>
      <c r="E9231" s="8"/>
    </row>
    <row r="9232" spans="1:5" ht="15" customHeight="1" outlineLevel="2" x14ac:dyDescent="0.25">
      <c r="A9232" s="3" t="str">
        <f>HYPERLINK("http://mystore1.ru/price_items/search?utf8=%E2%9C%93&amp;oem=8306AGNGN","8306AGNGN")</f>
        <v>8306AGNGN</v>
      </c>
      <c r="B9232" s="1" t="s">
        <v>17539</v>
      </c>
      <c r="C9232" s="9" t="s">
        <v>190</v>
      </c>
      <c r="D9232" s="14" t="s">
        <v>17540</v>
      </c>
      <c r="E9232" s="9" t="s">
        <v>8</v>
      </c>
    </row>
    <row r="9233" spans="1:5" ht="15" customHeight="1" outlineLevel="2" x14ac:dyDescent="0.25">
      <c r="A9233" s="3" t="str">
        <f>HYPERLINK("http://mystore1.ru/price_items/search?utf8=%E2%9C%93&amp;oem=8306AGNGNMV","8306AGNGNMV")</f>
        <v>8306AGNGNMV</v>
      </c>
      <c r="B9233" s="1" t="s">
        <v>17541</v>
      </c>
      <c r="C9233" s="9" t="s">
        <v>190</v>
      </c>
      <c r="D9233" s="14" t="s">
        <v>17542</v>
      </c>
      <c r="E9233" s="9" t="s">
        <v>8</v>
      </c>
    </row>
    <row r="9234" spans="1:5" ht="15" customHeight="1" outlineLevel="2" x14ac:dyDescent="0.25">
      <c r="A9234" s="3" t="str">
        <f>HYPERLINK("http://mystore1.ru/price_items/search?utf8=%E2%9C%93&amp;oem=8306AGNGNV","8306AGNGNV")</f>
        <v>8306AGNGNV</v>
      </c>
      <c r="B9234" s="1" t="s">
        <v>17543</v>
      </c>
      <c r="C9234" s="9" t="s">
        <v>190</v>
      </c>
      <c r="D9234" s="14" t="s">
        <v>17544</v>
      </c>
      <c r="E9234" s="9" t="s">
        <v>8</v>
      </c>
    </row>
    <row r="9235" spans="1:5" ht="15" customHeight="1" outlineLevel="2" x14ac:dyDescent="0.25">
      <c r="A9235" s="3" t="str">
        <f>HYPERLINK("http://mystore1.ru/price_items/search?utf8=%E2%9C%93&amp;oem=8306ASMRT","8306ASMRT")</f>
        <v>8306ASMRT</v>
      </c>
      <c r="B9235" s="1" t="s">
        <v>17545</v>
      </c>
      <c r="C9235" s="9" t="s">
        <v>25</v>
      </c>
      <c r="D9235" s="14" t="s">
        <v>17546</v>
      </c>
      <c r="E9235" s="9" t="s">
        <v>27</v>
      </c>
    </row>
    <row r="9236" spans="1:5" ht="15" customHeight="1" outlineLevel="2" x14ac:dyDescent="0.25">
      <c r="A9236" s="3" t="str">
        <f>HYPERLINK("http://mystore1.ru/price_items/search?utf8=%E2%9C%93&amp;oem=8306BGNR","8306BGNR")</f>
        <v>8306BGNR</v>
      </c>
      <c r="B9236" s="1" t="s">
        <v>17547</v>
      </c>
      <c r="C9236" s="9" t="s">
        <v>190</v>
      </c>
      <c r="D9236" s="14" t="s">
        <v>17548</v>
      </c>
      <c r="E9236" s="9" t="s">
        <v>30</v>
      </c>
    </row>
    <row r="9237" spans="1:5" ht="15" customHeight="1" outlineLevel="2" x14ac:dyDescent="0.25">
      <c r="A9237" s="3" t="str">
        <f>HYPERLINK("http://mystore1.ru/price_items/search?utf8=%E2%9C%93&amp;oem=8306LGNR5FDW","8306LGNR5FDW")</f>
        <v>8306LGNR5FDW</v>
      </c>
      <c r="B9237" s="1" t="s">
        <v>17549</v>
      </c>
      <c r="C9237" s="9" t="s">
        <v>190</v>
      </c>
      <c r="D9237" s="14" t="s">
        <v>17550</v>
      </c>
      <c r="E9237" s="9" t="s">
        <v>11</v>
      </c>
    </row>
    <row r="9238" spans="1:5" ht="15" customHeight="1" outlineLevel="2" x14ac:dyDescent="0.25">
      <c r="A9238" s="3" t="str">
        <f>HYPERLINK("http://mystore1.ru/price_items/search?utf8=%E2%9C%93&amp;oem=8306LGNR5RD","8306LGNR5RD")</f>
        <v>8306LGNR5RD</v>
      </c>
      <c r="B9238" s="1" t="s">
        <v>17551</v>
      </c>
      <c r="C9238" s="9" t="s">
        <v>190</v>
      </c>
      <c r="D9238" s="14" t="s">
        <v>17552</v>
      </c>
      <c r="E9238" s="9" t="s">
        <v>11</v>
      </c>
    </row>
    <row r="9239" spans="1:5" ht="15" customHeight="1" outlineLevel="2" x14ac:dyDescent="0.25">
      <c r="A9239" s="3" t="str">
        <f>HYPERLINK("http://mystore1.ru/price_items/search?utf8=%E2%9C%93&amp;oem=8306LGNR5RV","8306LGNR5RV")</f>
        <v>8306LGNR5RV</v>
      </c>
      <c r="B9239" s="1" t="s">
        <v>17553</v>
      </c>
      <c r="C9239" s="9" t="s">
        <v>190</v>
      </c>
      <c r="D9239" s="14" t="s">
        <v>17554</v>
      </c>
      <c r="E9239" s="9" t="s">
        <v>11</v>
      </c>
    </row>
    <row r="9240" spans="1:5" ht="15" customHeight="1" outlineLevel="2" x14ac:dyDescent="0.25">
      <c r="A9240" s="3" t="str">
        <f>HYPERLINK("http://mystore1.ru/price_items/search?utf8=%E2%9C%93&amp;oem=8306RGNR5FDW","8306RGNR5FDW")</f>
        <v>8306RGNR5FDW</v>
      </c>
      <c r="B9240" s="1" t="s">
        <v>17555</v>
      </c>
      <c r="C9240" s="9" t="s">
        <v>190</v>
      </c>
      <c r="D9240" s="14" t="s">
        <v>17556</v>
      </c>
      <c r="E9240" s="9" t="s">
        <v>11</v>
      </c>
    </row>
    <row r="9241" spans="1:5" ht="15" customHeight="1" outlineLevel="2" x14ac:dyDescent="0.25">
      <c r="A9241" s="3" t="str">
        <f>HYPERLINK("http://mystore1.ru/price_items/search?utf8=%E2%9C%93&amp;oem=8306RGNR5RD","8306RGNR5RD")</f>
        <v>8306RGNR5RD</v>
      </c>
      <c r="B9241" s="1" t="s">
        <v>17557</v>
      </c>
      <c r="C9241" s="9" t="s">
        <v>190</v>
      </c>
      <c r="D9241" s="14" t="s">
        <v>17558</v>
      </c>
      <c r="E9241" s="9" t="s">
        <v>11</v>
      </c>
    </row>
    <row r="9242" spans="1:5" ht="15" customHeight="1" outlineLevel="2" x14ac:dyDescent="0.25">
      <c r="A9242" s="3" t="str">
        <f>HYPERLINK("http://mystore1.ru/price_items/search?utf8=%E2%9C%93&amp;oem=8306RGNR5RV","8306RGNR5RV")</f>
        <v>8306RGNR5RV</v>
      </c>
      <c r="B9242" s="1" t="s">
        <v>17559</v>
      </c>
      <c r="C9242" s="9" t="s">
        <v>190</v>
      </c>
      <c r="D9242" s="14" t="s">
        <v>17560</v>
      </c>
      <c r="E9242" s="9" t="s">
        <v>11</v>
      </c>
    </row>
    <row r="9243" spans="1:5" outlineLevel="1" x14ac:dyDescent="0.25">
      <c r="A9243" s="2"/>
      <c r="B9243" s="6" t="s">
        <v>17561</v>
      </c>
      <c r="C9243" s="47"/>
      <c r="D9243" s="8"/>
      <c r="E9243" s="8"/>
    </row>
    <row r="9244" spans="1:5" ht="15" customHeight="1" outlineLevel="2" x14ac:dyDescent="0.25">
      <c r="A9244" s="3" t="str">
        <f>HYPERLINK("http://mystore1.ru/price_items/search?utf8=%E2%9C%93&amp;oem=8341AGN","8341AGN")</f>
        <v>8341AGN</v>
      </c>
      <c r="B9244" s="1" t="s">
        <v>17562</v>
      </c>
      <c r="C9244" s="9" t="s">
        <v>1408</v>
      </c>
      <c r="D9244" s="14" t="s">
        <v>17563</v>
      </c>
      <c r="E9244" s="9" t="s">
        <v>8</v>
      </c>
    </row>
    <row r="9245" spans="1:5" ht="15" customHeight="1" outlineLevel="2" x14ac:dyDescent="0.25">
      <c r="A9245" s="3" t="str">
        <f>HYPERLINK("http://mystore1.ru/price_items/search?utf8=%E2%9C%93&amp;oem=8341AGNGN","8341AGNGN")</f>
        <v>8341AGNGN</v>
      </c>
      <c r="B9245" s="1" t="s">
        <v>17564</v>
      </c>
      <c r="C9245" s="9" t="s">
        <v>1408</v>
      </c>
      <c r="D9245" s="14" t="s">
        <v>17565</v>
      </c>
      <c r="E9245" s="9" t="s">
        <v>8</v>
      </c>
    </row>
    <row r="9246" spans="1:5" ht="15" customHeight="1" outlineLevel="2" x14ac:dyDescent="0.25">
      <c r="A9246" s="3" t="str">
        <f>HYPERLINK("http://mystore1.ru/price_items/search?utf8=%E2%9C%93&amp;oem=8341AGNGNMV","8341AGNGNMV")</f>
        <v>8341AGNGNMV</v>
      </c>
      <c r="B9246" s="1" t="s">
        <v>8036</v>
      </c>
      <c r="C9246" s="9" t="s">
        <v>2351</v>
      </c>
      <c r="D9246" s="14" t="s">
        <v>8037</v>
      </c>
      <c r="E9246" s="9" t="s">
        <v>8</v>
      </c>
    </row>
    <row r="9247" spans="1:5" ht="15" customHeight="1" outlineLevel="2" x14ac:dyDescent="0.25">
      <c r="A9247" s="3" t="str">
        <f>HYPERLINK("http://mystore1.ru/price_items/search?utf8=%E2%9C%93&amp;oem=8341AGNV","8341AGNV")</f>
        <v>8341AGNV</v>
      </c>
      <c r="B9247" s="1" t="s">
        <v>17566</v>
      </c>
      <c r="C9247" s="9" t="s">
        <v>1362</v>
      </c>
      <c r="D9247" s="14" t="s">
        <v>17567</v>
      </c>
      <c r="E9247" s="9" t="s">
        <v>8</v>
      </c>
    </row>
    <row r="9248" spans="1:5" ht="15" customHeight="1" outlineLevel="2" x14ac:dyDescent="0.25">
      <c r="A9248" s="3" t="str">
        <f>HYPERLINK("http://mystore1.ru/price_items/search?utf8=%E2%9C%93&amp;oem=8341AGNGNV","8341AGNGNV")</f>
        <v>8341AGNGNV</v>
      </c>
      <c r="B9248" s="1" t="s">
        <v>17568</v>
      </c>
      <c r="C9248" s="9" t="s">
        <v>1362</v>
      </c>
      <c r="D9248" s="14" t="s">
        <v>17569</v>
      </c>
      <c r="E9248" s="9" t="s">
        <v>8</v>
      </c>
    </row>
    <row r="9249" spans="1:5" ht="15" customHeight="1" outlineLevel="2" x14ac:dyDescent="0.25">
      <c r="A9249" s="3" t="str">
        <f>HYPERLINK("http://mystore1.ru/price_items/search?utf8=%E2%9C%93&amp;oem=8341ASMRT","8341ASMRT")</f>
        <v>8341ASMRT</v>
      </c>
      <c r="B9249" s="1" t="s">
        <v>8038</v>
      </c>
      <c r="C9249" s="9" t="s">
        <v>25</v>
      </c>
      <c r="D9249" s="14" t="s">
        <v>17570</v>
      </c>
      <c r="E9249" s="9" t="s">
        <v>27</v>
      </c>
    </row>
    <row r="9250" spans="1:5" ht="15" customHeight="1" outlineLevel="2" x14ac:dyDescent="0.25">
      <c r="A9250" s="3" t="str">
        <f>HYPERLINK("http://mystore1.ru/price_items/search?utf8=%E2%9C%93&amp;oem=8341BGNRW","8341BGNRW")</f>
        <v>8341BGNRW</v>
      </c>
      <c r="B9250" s="1" t="s">
        <v>8040</v>
      </c>
      <c r="C9250" s="9" t="s">
        <v>2351</v>
      </c>
      <c r="D9250" s="14" t="s">
        <v>17571</v>
      </c>
      <c r="E9250" s="9" t="s">
        <v>30</v>
      </c>
    </row>
    <row r="9251" spans="1:5" ht="15" customHeight="1" outlineLevel="2" x14ac:dyDescent="0.25">
      <c r="A9251" s="3" t="str">
        <f>HYPERLINK("http://mystore1.ru/price_items/search?utf8=%E2%9C%93&amp;oem=8341BGNRW1J","8341BGNRW1J")</f>
        <v>8341BGNRW1J</v>
      </c>
      <c r="B9251" s="1" t="s">
        <v>8042</v>
      </c>
      <c r="C9251" s="9" t="s">
        <v>2351</v>
      </c>
      <c r="D9251" s="14" t="s">
        <v>17572</v>
      </c>
      <c r="E9251" s="9" t="s">
        <v>30</v>
      </c>
    </row>
    <row r="9252" spans="1:5" ht="15" customHeight="1" outlineLevel="2" x14ac:dyDescent="0.25">
      <c r="A9252" s="3" t="str">
        <f>HYPERLINK("http://mystore1.ru/price_items/search?utf8=%E2%9C%93&amp;oem=8341LGNR3FDW","8341LGNR3FDW")</f>
        <v>8341LGNR3FDW</v>
      </c>
      <c r="B9252" s="1" t="s">
        <v>17573</v>
      </c>
      <c r="C9252" s="9" t="s">
        <v>1362</v>
      </c>
      <c r="D9252" s="14" t="s">
        <v>17574</v>
      </c>
      <c r="E9252" s="9" t="s">
        <v>11</v>
      </c>
    </row>
    <row r="9253" spans="1:5" ht="15" customHeight="1" outlineLevel="2" x14ac:dyDescent="0.25">
      <c r="A9253" s="3" t="str">
        <f>HYPERLINK("http://mystore1.ru/price_items/search?utf8=%E2%9C%93&amp;oem=8341LGNR5RD","8341LGNR5RD")</f>
        <v>8341LGNR5RD</v>
      </c>
      <c r="B9253" s="1" t="s">
        <v>17575</v>
      </c>
      <c r="C9253" s="9" t="s">
        <v>1362</v>
      </c>
      <c r="D9253" s="14" t="s">
        <v>17576</v>
      </c>
      <c r="E9253" s="9" t="s">
        <v>11</v>
      </c>
    </row>
    <row r="9254" spans="1:5" ht="15" customHeight="1" outlineLevel="2" x14ac:dyDescent="0.25">
      <c r="A9254" s="3" t="str">
        <f>HYPERLINK("http://mystore1.ru/price_items/search?utf8=%E2%9C%93&amp;oem=8341LGNR5RV","8341LGNR5RV")</f>
        <v>8341LGNR5RV</v>
      </c>
      <c r="B9254" s="1" t="s">
        <v>17577</v>
      </c>
      <c r="C9254" s="9" t="s">
        <v>1362</v>
      </c>
      <c r="D9254" s="14" t="s">
        <v>17578</v>
      </c>
      <c r="E9254" s="9" t="s">
        <v>11</v>
      </c>
    </row>
    <row r="9255" spans="1:5" ht="15" customHeight="1" outlineLevel="2" x14ac:dyDescent="0.25">
      <c r="A9255" s="3" t="str">
        <f>HYPERLINK("http://mystore1.ru/price_items/search?utf8=%E2%9C%93&amp;oem=8341RGNR3FDW","8341RGNR3FDW")</f>
        <v>8341RGNR3FDW</v>
      </c>
      <c r="B9255" s="1" t="s">
        <v>17579</v>
      </c>
      <c r="C9255" s="9" t="s">
        <v>1362</v>
      </c>
      <c r="D9255" s="14" t="s">
        <v>17580</v>
      </c>
      <c r="E9255" s="9" t="s">
        <v>11</v>
      </c>
    </row>
    <row r="9256" spans="1:5" ht="15" customHeight="1" outlineLevel="2" x14ac:dyDescent="0.25">
      <c r="A9256" s="3" t="str">
        <f>HYPERLINK("http://mystore1.ru/price_items/search?utf8=%E2%9C%93&amp;oem=8341RGNR5RD","8341RGNR5RD")</f>
        <v>8341RGNR5RD</v>
      </c>
      <c r="B9256" s="1" t="s">
        <v>17581</v>
      </c>
      <c r="C9256" s="9" t="s">
        <v>1362</v>
      </c>
      <c r="D9256" s="14" t="s">
        <v>17582</v>
      </c>
      <c r="E9256" s="9" t="s">
        <v>11</v>
      </c>
    </row>
    <row r="9257" spans="1:5" ht="15" customHeight="1" outlineLevel="2" x14ac:dyDescent="0.25">
      <c r="A9257" s="3" t="str">
        <f>HYPERLINK("http://mystore1.ru/price_items/search?utf8=%E2%9C%93&amp;oem=8341RGNR5RV","8341RGNR5RV")</f>
        <v>8341RGNR5RV</v>
      </c>
      <c r="B9257" s="1" t="s">
        <v>17583</v>
      </c>
      <c r="C9257" s="9" t="s">
        <v>1362</v>
      </c>
      <c r="D9257" s="14" t="s">
        <v>17584</v>
      </c>
      <c r="E9257" s="9" t="s">
        <v>11</v>
      </c>
    </row>
    <row r="9258" spans="1:5" outlineLevel="1" x14ac:dyDescent="0.25">
      <c r="A9258" s="2"/>
      <c r="B9258" s="6" t="s">
        <v>17585</v>
      </c>
      <c r="C9258" s="8"/>
      <c r="D9258" s="8"/>
      <c r="E9258" s="8"/>
    </row>
    <row r="9259" spans="1:5" ht="15" customHeight="1" outlineLevel="2" x14ac:dyDescent="0.25">
      <c r="A9259" s="3" t="str">
        <f>HYPERLINK("http://mystore1.ru/price_items/search?utf8=%E2%9C%93&amp;oem=8378AGNGNV","8378AGNGNV")</f>
        <v>8378AGNGNV</v>
      </c>
      <c r="B9259" s="1" t="s">
        <v>17586</v>
      </c>
      <c r="C9259" s="9" t="s">
        <v>642</v>
      </c>
      <c r="D9259" s="14" t="s">
        <v>17587</v>
      </c>
      <c r="E9259" s="9" t="s">
        <v>8</v>
      </c>
    </row>
    <row r="9260" spans="1:5" ht="15" customHeight="1" outlineLevel="2" x14ac:dyDescent="0.25">
      <c r="A9260" s="3" t="str">
        <f>HYPERLINK("http://mystore1.ru/price_items/search?utf8=%E2%9C%93&amp;oem=8378AGNGNHV","8378AGNGNHV")</f>
        <v>8378AGNGNHV</v>
      </c>
      <c r="B9260" s="1" t="s">
        <v>17588</v>
      </c>
      <c r="C9260" s="9" t="s">
        <v>642</v>
      </c>
      <c r="D9260" s="14" t="s">
        <v>17589</v>
      </c>
      <c r="E9260" s="9" t="s">
        <v>8</v>
      </c>
    </row>
    <row r="9261" spans="1:5" ht="15" customHeight="1" outlineLevel="2" x14ac:dyDescent="0.25">
      <c r="A9261" s="3" t="str">
        <f>HYPERLINK("http://mystore1.ru/price_items/search?utf8=%E2%9C%93&amp;oem=8378AGNGNHMV1B","8378AGNGNHMV1B")</f>
        <v>8378AGNGNHMV1B</v>
      </c>
      <c r="B9261" s="1" t="s">
        <v>17590</v>
      </c>
      <c r="C9261" s="9" t="s">
        <v>642</v>
      </c>
      <c r="D9261" s="14" t="s">
        <v>17591</v>
      </c>
      <c r="E9261" s="9" t="s">
        <v>8</v>
      </c>
    </row>
    <row r="9262" spans="1:5" ht="15" customHeight="1" outlineLevel="2" x14ac:dyDescent="0.25">
      <c r="A9262" s="3" t="str">
        <f>HYPERLINK("http://mystore1.ru/price_items/search?utf8=%E2%9C%93&amp;oem=8378ASMRT","8378ASMRT")</f>
        <v>8378ASMRT</v>
      </c>
      <c r="B9262" s="1" t="s">
        <v>17592</v>
      </c>
      <c r="C9262" s="9" t="s">
        <v>642</v>
      </c>
      <c r="D9262" s="14" t="s">
        <v>17593</v>
      </c>
      <c r="E9262" s="9" t="s">
        <v>27</v>
      </c>
    </row>
    <row r="9263" spans="1:5" outlineLevel="1" x14ac:dyDescent="0.25">
      <c r="A9263" s="2"/>
      <c r="B9263" s="6" t="s">
        <v>17594</v>
      </c>
      <c r="C9263" s="8"/>
      <c r="D9263" s="8"/>
      <c r="E9263" s="8"/>
    </row>
    <row r="9264" spans="1:5" ht="15" customHeight="1" outlineLevel="2" x14ac:dyDescent="0.25">
      <c r="A9264" s="3" t="str">
        <f>HYPERLINK("http://mystore1.ru/price_items/search?utf8=%E2%9C%93&amp;oem=8394AGAGNHMZ1B","8394AGAGNHMZ1B")</f>
        <v>8394AGAGNHMZ1B</v>
      </c>
      <c r="B9264" s="1" t="s">
        <v>17595</v>
      </c>
      <c r="C9264" s="9" t="s">
        <v>369</v>
      </c>
      <c r="D9264" s="14" t="s">
        <v>17596</v>
      </c>
      <c r="E9264" s="9" t="s">
        <v>8</v>
      </c>
    </row>
    <row r="9265" spans="1:5" ht="15" customHeight="1" outlineLevel="2" x14ac:dyDescent="0.25">
      <c r="A9265" s="3" t="str">
        <f>HYPERLINK("http://mystore1.ru/price_items/search?utf8=%E2%9C%93&amp;oem=8394AGNGNHMZ1B","8394AGNGNHMZ1B")</f>
        <v>8394AGNGNHMZ1B</v>
      </c>
      <c r="B9265" s="1" t="s">
        <v>17597</v>
      </c>
      <c r="C9265" s="9" t="s">
        <v>369</v>
      </c>
      <c r="D9265" s="14" t="s">
        <v>17598</v>
      </c>
      <c r="E9265" s="9" t="s">
        <v>8</v>
      </c>
    </row>
    <row r="9266" spans="1:5" ht="15" customHeight="1" outlineLevel="2" x14ac:dyDescent="0.25">
      <c r="A9266" s="3" t="str">
        <f>HYPERLINK("http://mystore1.ru/price_items/search?utf8=%E2%9C%93&amp;oem=8394AGAGNVZ","8394AGAGNVZ")</f>
        <v>8394AGAGNVZ</v>
      </c>
      <c r="B9266" s="1" t="s">
        <v>17599</v>
      </c>
      <c r="C9266" s="9" t="s">
        <v>369</v>
      </c>
      <c r="D9266" s="14" t="s">
        <v>17600</v>
      </c>
      <c r="E9266" s="9" t="s">
        <v>8</v>
      </c>
    </row>
    <row r="9267" spans="1:5" ht="15" customHeight="1" outlineLevel="2" x14ac:dyDescent="0.25">
      <c r="A9267" s="3" t="str">
        <f>HYPERLINK("http://mystore1.ru/price_items/search?utf8=%E2%9C%93&amp;oem=8394AGNGNVZ","8394AGNGNVZ")</f>
        <v>8394AGNGNVZ</v>
      </c>
      <c r="B9267" s="1" t="s">
        <v>17601</v>
      </c>
      <c r="C9267" s="9" t="s">
        <v>369</v>
      </c>
      <c r="D9267" s="14" t="s">
        <v>17600</v>
      </c>
      <c r="E9267" s="9" t="s">
        <v>8</v>
      </c>
    </row>
    <row r="9268" spans="1:5" ht="15" customHeight="1" outlineLevel="2" x14ac:dyDescent="0.25">
      <c r="A9268" s="3" t="str">
        <f>HYPERLINK("http://mystore1.ru/price_items/search?utf8=%E2%9C%93&amp;oem=8394AGAGNHZ","8394AGAGNHZ")</f>
        <v>8394AGAGNHZ</v>
      </c>
      <c r="B9268" s="1" t="s">
        <v>17602</v>
      </c>
      <c r="C9268" s="9" t="s">
        <v>369</v>
      </c>
      <c r="D9268" s="14" t="s">
        <v>17603</v>
      </c>
      <c r="E9268" s="9" t="s">
        <v>8</v>
      </c>
    </row>
    <row r="9269" spans="1:5" outlineLevel="1" x14ac:dyDescent="0.25">
      <c r="A9269" s="2"/>
      <c r="B9269" s="6" t="s">
        <v>17604</v>
      </c>
      <c r="C9269" s="8"/>
      <c r="D9269" s="8"/>
      <c r="E9269" s="8"/>
    </row>
    <row r="9270" spans="1:5" ht="15" customHeight="1" outlineLevel="2" x14ac:dyDescent="0.25">
      <c r="A9270" s="3" t="str">
        <f>HYPERLINK("http://mystore1.ru/price_items/search?utf8=%E2%9C%93&amp;oem=8240ACL","8240ACL")</f>
        <v>8240ACL</v>
      </c>
      <c r="B9270" s="1" t="s">
        <v>17605</v>
      </c>
      <c r="C9270" s="9" t="s">
        <v>8396</v>
      </c>
      <c r="D9270" s="14" t="s">
        <v>17606</v>
      </c>
      <c r="E9270" s="9" t="s">
        <v>8</v>
      </c>
    </row>
    <row r="9271" spans="1:5" outlineLevel="1" x14ac:dyDescent="0.25">
      <c r="A9271" s="2"/>
      <c r="B9271" s="6" t="s">
        <v>17607</v>
      </c>
      <c r="C9271" s="8"/>
      <c r="D9271" s="8"/>
      <c r="E9271" s="8"/>
    </row>
    <row r="9272" spans="1:5" ht="15" customHeight="1" outlineLevel="2" x14ac:dyDescent="0.25">
      <c r="A9272" s="3" t="str">
        <f>HYPERLINK("http://mystore1.ru/price_items/search?utf8=%E2%9C%93&amp;oem=8256ABL","8256ABL")</f>
        <v>8256ABL</v>
      </c>
      <c r="B9272" s="1" t="s">
        <v>17608</v>
      </c>
      <c r="C9272" s="9" t="s">
        <v>33</v>
      </c>
      <c r="D9272" s="14" t="s">
        <v>17609</v>
      </c>
      <c r="E9272" s="9" t="s">
        <v>8</v>
      </c>
    </row>
    <row r="9273" spans="1:5" ht="15" customHeight="1" outlineLevel="2" x14ac:dyDescent="0.25">
      <c r="A9273" s="3" t="str">
        <f>HYPERLINK("http://mystore1.ru/price_items/search?utf8=%E2%9C%93&amp;oem=8256ACL","8256ACL")</f>
        <v>8256ACL</v>
      </c>
      <c r="B9273" s="1" t="s">
        <v>17610</v>
      </c>
      <c r="C9273" s="9" t="s">
        <v>33</v>
      </c>
      <c r="D9273" s="14" t="s">
        <v>17611</v>
      </c>
      <c r="E9273" s="9" t="s">
        <v>8</v>
      </c>
    </row>
    <row r="9274" spans="1:5" outlineLevel="1" x14ac:dyDescent="0.25">
      <c r="A9274" s="2"/>
      <c r="B9274" s="6" t="s">
        <v>17612</v>
      </c>
      <c r="C9274" s="8"/>
      <c r="D9274" s="8"/>
      <c r="E9274" s="8"/>
    </row>
    <row r="9275" spans="1:5" ht="15" customHeight="1" outlineLevel="2" x14ac:dyDescent="0.25">
      <c r="A9275" s="3" t="str">
        <f>HYPERLINK("http://mystore1.ru/price_items/search?utf8=%E2%9C%93&amp;oem=8279ACL","8279ACL")</f>
        <v>8279ACL</v>
      </c>
      <c r="B9275" s="1" t="s">
        <v>17613</v>
      </c>
      <c r="C9275" s="9" t="s">
        <v>10314</v>
      </c>
      <c r="D9275" s="14" t="s">
        <v>17614</v>
      </c>
      <c r="E9275" s="9" t="s">
        <v>8</v>
      </c>
    </row>
    <row r="9276" spans="1:5" outlineLevel="1" x14ac:dyDescent="0.25">
      <c r="A9276" s="2"/>
      <c r="B9276" s="6" t="s">
        <v>17615</v>
      </c>
      <c r="C9276" s="8"/>
      <c r="D9276" s="8"/>
      <c r="E9276" s="8"/>
    </row>
    <row r="9277" spans="1:5" ht="15" customHeight="1" outlineLevel="2" x14ac:dyDescent="0.25">
      <c r="A9277" s="3" t="str">
        <f>HYPERLINK("http://mystore1.ru/price_items/search?utf8=%E2%9C%93&amp;oem=8314LBLV4FDW","8314LBLV4FDW")</f>
        <v>8314LBLV4FDW</v>
      </c>
      <c r="B9277" s="1" t="s">
        <v>17616</v>
      </c>
      <c r="C9277" s="9" t="s">
        <v>25</v>
      </c>
      <c r="D9277" s="14" t="s">
        <v>17617</v>
      </c>
      <c r="E9277" s="9" t="s">
        <v>11</v>
      </c>
    </row>
    <row r="9278" spans="1:5" ht="15" customHeight="1" outlineLevel="2" x14ac:dyDescent="0.25">
      <c r="A9278" s="3" t="str">
        <f>HYPERLINK("http://mystore1.ru/price_items/search?utf8=%E2%9C%93&amp;oem=8314RBLV4FDW","8314RBLV4FDW")</f>
        <v>8314RBLV4FDW</v>
      </c>
      <c r="B9278" s="1" t="s">
        <v>17618</v>
      </c>
      <c r="C9278" s="9" t="s">
        <v>25</v>
      </c>
      <c r="D9278" s="14" t="s">
        <v>17619</v>
      </c>
      <c r="E9278" s="9" t="s">
        <v>11</v>
      </c>
    </row>
    <row r="9279" spans="1:5" outlineLevel="1" x14ac:dyDescent="0.25">
      <c r="A9279" s="2"/>
      <c r="B9279" s="6" t="s">
        <v>17620</v>
      </c>
      <c r="C9279" s="8"/>
      <c r="D9279" s="8"/>
      <c r="E9279" s="8"/>
    </row>
    <row r="9280" spans="1:5" ht="15" customHeight="1" outlineLevel="2" x14ac:dyDescent="0.25">
      <c r="A9280" s="3" t="str">
        <f>HYPERLINK("http://mystore1.ru/price_items/search?utf8=%E2%9C%93&amp;oem=2302AGN","2302AGN")</f>
        <v>2302AGN</v>
      </c>
      <c r="B9280" s="1" t="s">
        <v>17621</v>
      </c>
      <c r="C9280" s="9" t="s">
        <v>1408</v>
      </c>
      <c r="D9280" s="14" t="s">
        <v>17622</v>
      </c>
      <c r="E9280" s="9" t="s">
        <v>8</v>
      </c>
    </row>
    <row r="9281" spans="1:5" outlineLevel="1" x14ac:dyDescent="0.25">
      <c r="A9281" s="2"/>
      <c r="B9281" s="6" t="s">
        <v>17623</v>
      </c>
      <c r="C9281" s="8"/>
      <c r="D9281" s="8"/>
      <c r="E9281" s="8"/>
    </row>
    <row r="9282" spans="1:5" ht="15" customHeight="1" outlineLevel="2" x14ac:dyDescent="0.25">
      <c r="A9282" s="3" t="str">
        <f>HYPERLINK("http://mystore1.ru/price_items/search?utf8=%E2%9C%93&amp;oem=8254ABL","8254ABL")</f>
        <v>8254ABL</v>
      </c>
      <c r="B9282" s="1" t="s">
        <v>17624</v>
      </c>
      <c r="C9282" s="9" t="s">
        <v>6274</v>
      </c>
      <c r="D9282" s="14" t="s">
        <v>17625</v>
      </c>
      <c r="E9282" s="9" t="s">
        <v>8</v>
      </c>
    </row>
    <row r="9283" spans="1:5" outlineLevel="1" x14ac:dyDescent="0.25">
      <c r="A9283" s="2"/>
      <c r="B9283" s="6" t="s">
        <v>17626</v>
      </c>
      <c r="C9283" s="8"/>
      <c r="D9283" s="8"/>
      <c r="E9283" s="8"/>
    </row>
    <row r="9284" spans="1:5" ht="15" customHeight="1" outlineLevel="2" x14ac:dyDescent="0.25">
      <c r="A9284" s="3" t="str">
        <f>HYPERLINK("http://mystore1.ru/price_items/search?utf8=%E2%9C%93&amp;oem=8272ABL","8272ABL")</f>
        <v>8272ABL</v>
      </c>
      <c r="B9284" s="1" t="s">
        <v>17627</v>
      </c>
      <c r="C9284" s="9" t="s">
        <v>17628</v>
      </c>
      <c r="D9284" s="14" t="s">
        <v>17629</v>
      </c>
      <c r="E9284" s="9" t="s">
        <v>8</v>
      </c>
    </row>
    <row r="9285" spans="1:5" ht="15" customHeight="1" outlineLevel="2" x14ac:dyDescent="0.25">
      <c r="A9285" s="3" t="str">
        <f>HYPERLINK("http://mystore1.ru/price_items/search?utf8=%E2%9C%93&amp;oem=8272ASMC","8272ASMC")</f>
        <v>8272ASMC</v>
      </c>
      <c r="B9285" s="1" t="s">
        <v>17630</v>
      </c>
      <c r="C9285" s="9" t="s">
        <v>25</v>
      </c>
      <c r="D9285" s="14" t="s">
        <v>17631</v>
      </c>
      <c r="E9285" s="9" t="s">
        <v>27</v>
      </c>
    </row>
    <row r="9286" spans="1:5" outlineLevel="1" x14ac:dyDescent="0.25">
      <c r="A9286" s="2"/>
      <c r="B9286" s="6" t="s">
        <v>17632</v>
      </c>
      <c r="C9286" s="8"/>
      <c r="D9286" s="8"/>
      <c r="E9286" s="8"/>
    </row>
    <row r="9287" spans="1:5" ht="15" customHeight="1" outlineLevel="2" x14ac:dyDescent="0.25">
      <c r="A9287" s="3" t="str">
        <f>HYPERLINK("http://mystore1.ru/price_items/search?utf8=%E2%9C%93&amp;oem=8297ALG","8297ALG")</f>
        <v>8297ALG</v>
      </c>
      <c r="B9287" s="1" t="s">
        <v>17633</v>
      </c>
      <c r="C9287" s="9" t="s">
        <v>2699</v>
      </c>
      <c r="D9287" s="14" t="s">
        <v>17634</v>
      </c>
      <c r="E9287" s="9" t="s">
        <v>8</v>
      </c>
    </row>
    <row r="9288" spans="1:5" ht="15" customHeight="1" outlineLevel="2" x14ac:dyDescent="0.25">
      <c r="A9288" s="3" t="str">
        <f>HYPERLINK("http://mystore1.ru/price_items/search?utf8=%E2%9C%93&amp;oem=8297ALGBL","8297ALGBL")</f>
        <v>8297ALGBL</v>
      </c>
      <c r="B9288" s="1" t="s">
        <v>17635</v>
      </c>
      <c r="C9288" s="9" t="s">
        <v>2699</v>
      </c>
      <c r="D9288" s="14" t="s">
        <v>17636</v>
      </c>
      <c r="E9288" s="9" t="s">
        <v>8</v>
      </c>
    </row>
    <row r="9289" spans="1:5" ht="15" customHeight="1" outlineLevel="2" x14ac:dyDescent="0.25">
      <c r="A9289" s="3" t="str">
        <f>HYPERLINK("http://mystore1.ru/price_items/search?utf8=%E2%9C%93&amp;oem=8297LLGC2FDW","8297LLGC2FDW")</f>
        <v>8297LLGC2FDW</v>
      </c>
      <c r="B9289" s="1" t="s">
        <v>17637</v>
      </c>
      <c r="C9289" s="9" t="s">
        <v>2699</v>
      </c>
      <c r="D9289" s="14" t="s">
        <v>17638</v>
      </c>
      <c r="E9289" s="9" t="s">
        <v>11</v>
      </c>
    </row>
    <row r="9290" spans="1:5" outlineLevel="1" x14ac:dyDescent="0.25">
      <c r="A9290" s="2"/>
      <c r="B9290" s="6" t="s">
        <v>17639</v>
      </c>
      <c r="C9290" s="8"/>
      <c r="D9290" s="8"/>
      <c r="E9290" s="8"/>
    </row>
    <row r="9291" spans="1:5" ht="15" customHeight="1" outlineLevel="2" x14ac:dyDescent="0.25">
      <c r="A9291" s="3" t="str">
        <f>HYPERLINK("http://mystore1.ru/price_items/search?utf8=%E2%9C%93&amp;oem=8303ALG","8303ALG")</f>
        <v>8303ALG</v>
      </c>
      <c r="B9291" s="1" t="s">
        <v>17640</v>
      </c>
      <c r="C9291" s="9" t="s">
        <v>2099</v>
      </c>
      <c r="D9291" s="14" t="s">
        <v>17641</v>
      </c>
      <c r="E9291" s="9" t="s">
        <v>8</v>
      </c>
    </row>
    <row r="9292" spans="1:5" ht="15" customHeight="1" outlineLevel="2" x14ac:dyDescent="0.25">
      <c r="A9292" s="3" t="str">
        <f>HYPERLINK("http://mystore1.ru/price_items/search?utf8=%E2%9C%93&amp;oem=8303ALGBL","8303ALGBL")</f>
        <v>8303ALGBL</v>
      </c>
      <c r="B9292" s="1" t="s">
        <v>17642</v>
      </c>
      <c r="C9292" s="9" t="s">
        <v>2099</v>
      </c>
      <c r="D9292" s="14" t="s">
        <v>17643</v>
      </c>
      <c r="E9292" s="9" t="s">
        <v>8</v>
      </c>
    </row>
    <row r="9293" spans="1:5" ht="15" customHeight="1" outlineLevel="2" x14ac:dyDescent="0.25">
      <c r="A9293" s="3" t="str">
        <f>HYPERLINK("http://mystore1.ru/price_items/search?utf8=%E2%9C%93&amp;oem=8303ASMV","8303ASMV")</f>
        <v>8303ASMV</v>
      </c>
      <c r="B9293" s="1" t="s">
        <v>17644</v>
      </c>
      <c r="C9293" s="9" t="s">
        <v>25</v>
      </c>
      <c r="D9293" s="14" t="s">
        <v>17645</v>
      </c>
      <c r="E9293" s="9" t="s">
        <v>27</v>
      </c>
    </row>
    <row r="9294" spans="1:5" outlineLevel="1" x14ac:dyDescent="0.25">
      <c r="A9294" s="2"/>
      <c r="B9294" s="6" t="s">
        <v>17646</v>
      </c>
      <c r="C9294" s="8"/>
      <c r="D9294" s="8"/>
      <c r="E9294" s="8"/>
    </row>
    <row r="9295" spans="1:5" ht="15" customHeight="1" outlineLevel="2" x14ac:dyDescent="0.25">
      <c r="A9295" s="3" t="str">
        <f>HYPERLINK("http://mystore1.ru/price_items/search?utf8=%E2%9C%93&amp;oem=8312AGN","8312AGN")</f>
        <v>8312AGN</v>
      </c>
      <c r="B9295" s="1" t="s">
        <v>17647</v>
      </c>
      <c r="C9295" s="9" t="s">
        <v>7279</v>
      </c>
      <c r="D9295" s="14" t="s">
        <v>17648</v>
      </c>
      <c r="E9295" s="9" t="s">
        <v>8</v>
      </c>
    </row>
    <row r="9296" spans="1:5" ht="15" customHeight="1" outlineLevel="2" x14ac:dyDescent="0.25">
      <c r="A9296" s="3" t="str">
        <f>HYPERLINK("http://mystore1.ru/price_items/search?utf8=%E2%9C%93&amp;oem=8312ASMVT","8312ASMVT")</f>
        <v>8312ASMVT</v>
      </c>
      <c r="B9296" s="1" t="s">
        <v>17649</v>
      </c>
      <c r="C9296" s="9" t="s">
        <v>25</v>
      </c>
      <c r="D9296" s="14" t="s">
        <v>17650</v>
      </c>
      <c r="E9296" s="9" t="s">
        <v>27</v>
      </c>
    </row>
    <row r="9297" spans="1:5" ht="15" customHeight="1" outlineLevel="2" x14ac:dyDescent="0.25">
      <c r="A9297" s="3" t="str">
        <f>HYPERLINK("http://mystore1.ru/price_items/search?utf8=%E2%9C%93&amp;oem=8312LGNV5RDW","8312LGNV5RDW")</f>
        <v>8312LGNV5RDW</v>
      </c>
      <c r="B9297" s="1" t="s">
        <v>17651</v>
      </c>
      <c r="C9297" s="9" t="s">
        <v>7279</v>
      </c>
      <c r="D9297" s="14" t="s">
        <v>17652</v>
      </c>
      <c r="E9297" s="9" t="s">
        <v>11</v>
      </c>
    </row>
    <row r="9298" spans="1:5" ht="15" customHeight="1" outlineLevel="2" x14ac:dyDescent="0.25">
      <c r="A9298" s="3" t="str">
        <f>HYPERLINK("http://mystore1.ru/price_items/search?utf8=%E2%9C%93&amp;oem=8312RGNV5FDW","8312RGNV5FDW")</f>
        <v>8312RGNV5FDW</v>
      </c>
      <c r="B9298" s="1" t="s">
        <v>17653</v>
      </c>
      <c r="C9298" s="9" t="s">
        <v>7279</v>
      </c>
      <c r="D9298" s="14" t="s">
        <v>17654</v>
      </c>
      <c r="E9298" s="9" t="s">
        <v>11</v>
      </c>
    </row>
    <row r="9299" spans="1:5" ht="15" customHeight="1" outlineLevel="2" x14ac:dyDescent="0.25">
      <c r="A9299" s="3" t="str">
        <f>HYPERLINK("http://mystore1.ru/price_items/search?utf8=%E2%9C%93&amp;oem=8312RGNV5RDW","8312RGNV5RDW")</f>
        <v>8312RGNV5RDW</v>
      </c>
      <c r="B9299" s="1" t="s">
        <v>17655</v>
      </c>
      <c r="C9299" s="9" t="s">
        <v>7279</v>
      </c>
      <c r="D9299" s="14" t="s">
        <v>17656</v>
      </c>
      <c r="E9299" s="9" t="s">
        <v>11</v>
      </c>
    </row>
    <row r="9300" spans="1:5" outlineLevel="1" x14ac:dyDescent="0.25">
      <c r="A9300" s="2"/>
      <c r="B9300" s="6" t="s">
        <v>17657</v>
      </c>
      <c r="C9300" s="8"/>
      <c r="D9300" s="8"/>
      <c r="E9300" s="8"/>
    </row>
    <row r="9301" spans="1:5" ht="15" customHeight="1" outlineLevel="2" x14ac:dyDescent="0.25">
      <c r="A9301" s="3" t="str">
        <f>HYPERLINK("http://mystore1.ru/price_items/search?utf8=%E2%9C%93&amp;oem=8276ABL","8276ABL")</f>
        <v>8276ABL</v>
      </c>
      <c r="B9301" s="1" t="s">
        <v>17658</v>
      </c>
      <c r="C9301" s="9" t="s">
        <v>17659</v>
      </c>
      <c r="D9301" s="14" t="s">
        <v>17660</v>
      </c>
      <c r="E9301" s="9" t="s">
        <v>8</v>
      </c>
    </row>
    <row r="9302" spans="1:5" ht="15" customHeight="1" outlineLevel="2" x14ac:dyDescent="0.25">
      <c r="A9302" s="3" t="str">
        <f>HYPERLINK("http://mystore1.ru/price_items/search?utf8=%E2%9C%93&amp;oem=8276ABLBL","8276ABLBL")</f>
        <v>8276ABLBL</v>
      </c>
      <c r="B9302" s="1" t="s">
        <v>17661</v>
      </c>
      <c r="C9302" s="9" t="s">
        <v>17659</v>
      </c>
      <c r="D9302" s="14" t="s">
        <v>17662</v>
      </c>
      <c r="E9302" s="9" t="s">
        <v>8</v>
      </c>
    </row>
    <row r="9303" spans="1:5" ht="15" customHeight="1" outlineLevel="2" x14ac:dyDescent="0.25">
      <c r="A9303" s="3" t="str">
        <f>HYPERLINK("http://mystore1.ru/price_items/search?utf8=%E2%9C%93&amp;oem=8276ASMV","8276ASMV")</f>
        <v>8276ASMV</v>
      </c>
      <c r="B9303" s="1" t="s">
        <v>17663</v>
      </c>
      <c r="C9303" s="9" t="s">
        <v>25</v>
      </c>
      <c r="D9303" s="14" t="s">
        <v>17664</v>
      </c>
      <c r="E9303" s="9" t="s">
        <v>27</v>
      </c>
    </row>
    <row r="9304" spans="1:5" ht="15" customHeight="1" outlineLevel="2" x14ac:dyDescent="0.25">
      <c r="A9304" s="3" t="str">
        <f>HYPERLINK("http://mystore1.ru/price_items/search?utf8=%E2%9C%93&amp;oem=8276BBLV","8276BBLV")</f>
        <v>8276BBLV</v>
      </c>
      <c r="B9304" s="1" t="s">
        <v>17665</v>
      </c>
      <c r="C9304" s="9" t="s">
        <v>17659</v>
      </c>
      <c r="D9304" s="14" t="s">
        <v>17666</v>
      </c>
      <c r="E9304" s="9" t="s">
        <v>30</v>
      </c>
    </row>
    <row r="9305" spans="1:5" ht="15" customHeight="1" outlineLevel="2" x14ac:dyDescent="0.25">
      <c r="A9305" s="3" t="str">
        <f>HYPERLINK("http://mystore1.ru/price_items/search?utf8=%E2%9C%93&amp;oem=8276LBLV4FDW","8276LBLV4FDW")</f>
        <v>8276LBLV4FDW</v>
      </c>
      <c r="B9305" s="1" t="s">
        <v>17667</v>
      </c>
      <c r="C9305" s="9" t="s">
        <v>17659</v>
      </c>
      <c r="D9305" s="14" t="s">
        <v>17668</v>
      </c>
      <c r="E9305" s="9" t="s">
        <v>11</v>
      </c>
    </row>
    <row r="9306" spans="1:5" ht="15" customHeight="1" outlineLevel="2" x14ac:dyDescent="0.25">
      <c r="A9306" s="3" t="str">
        <f>HYPERLINK("http://mystore1.ru/price_items/search?utf8=%E2%9C%93&amp;oem=8276RBLV4FDW","8276RBLV4FDW")</f>
        <v>8276RBLV4FDW</v>
      </c>
      <c r="B9306" s="1" t="s">
        <v>17669</v>
      </c>
      <c r="C9306" s="9" t="s">
        <v>17659</v>
      </c>
      <c r="D9306" s="14" t="s">
        <v>17670</v>
      </c>
      <c r="E9306" s="9" t="s">
        <v>11</v>
      </c>
    </row>
    <row r="9307" spans="1:5" outlineLevel="1" x14ac:dyDescent="0.25">
      <c r="A9307" s="2"/>
      <c r="B9307" s="6" t="s">
        <v>17671</v>
      </c>
      <c r="C9307" s="8"/>
      <c r="D9307" s="8"/>
      <c r="E9307" s="8"/>
    </row>
    <row r="9308" spans="1:5" ht="15" customHeight="1" outlineLevel="2" x14ac:dyDescent="0.25">
      <c r="A9308" s="3" t="str">
        <f>HYPERLINK("http://mystore1.ru/price_items/search?utf8=%E2%9C%93&amp;oem=8324AGN","8324AGN")</f>
        <v>8324AGN</v>
      </c>
      <c r="B9308" s="1" t="s">
        <v>17672</v>
      </c>
      <c r="C9308" s="9" t="s">
        <v>9574</v>
      </c>
      <c r="D9308" s="14" t="s">
        <v>17673</v>
      </c>
      <c r="E9308" s="9" t="s">
        <v>8</v>
      </c>
    </row>
    <row r="9309" spans="1:5" ht="15" customHeight="1" outlineLevel="2" x14ac:dyDescent="0.25">
      <c r="A9309" s="3" t="str">
        <f>HYPERLINK("http://mystore1.ru/price_items/search?utf8=%E2%9C%93&amp;oem=8324ASMH","8324ASMH")</f>
        <v>8324ASMH</v>
      </c>
      <c r="B9309" s="1" t="s">
        <v>17674</v>
      </c>
      <c r="C9309" s="9" t="s">
        <v>25</v>
      </c>
      <c r="D9309" s="14" t="s">
        <v>17675</v>
      </c>
      <c r="E9309" s="9" t="s">
        <v>27</v>
      </c>
    </row>
    <row r="9310" spans="1:5" outlineLevel="1" x14ac:dyDescent="0.25">
      <c r="A9310" s="2"/>
      <c r="B9310" s="6" t="s">
        <v>17676</v>
      </c>
      <c r="C9310" s="8"/>
      <c r="D9310" s="8"/>
      <c r="E9310" s="8"/>
    </row>
    <row r="9311" spans="1:5" ht="15" customHeight="1" outlineLevel="2" x14ac:dyDescent="0.25">
      <c r="A9311" s="3" t="str">
        <f>HYPERLINK("http://mystore1.ru/price_items/search?utf8=%E2%9C%93&amp;oem=8355AGN","8355AGN")</f>
        <v>8355AGN</v>
      </c>
      <c r="B9311" s="1" t="s">
        <v>17677</v>
      </c>
      <c r="C9311" s="9" t="s">
        <v>2351</v>
      </c>
      <c r="D9311" s="14" t="s">
        <v>17678</v>
      </c>
      <c r="E9311" s="9" t="s">
        <v>8</v>
      </c>
    </row>
    <row r="9312" spans="1:5" ht="15" customHeight="1" outlineLevel="2" x14ac:dyDescent="0.25">
      <c r="A9312" s="3" t="str">
        <f>HYPERLINK("http://mystore1.ru/price_items/search?utf8=%E2%9C%93&amp;oem=8355ASMH","8355ASMH")</f>
        <v>8355ASMH</v>
      </c>
      <c r="B9312" s="1" t="s">
        <v>17679</v>
      </c>
      <c r="C9312" s="9" t="s">
        <v>25</v>
      </c>
      <c r="D9312" s="14" t="s">
        <v>17680</v>
      </c>
      <c r="E9312" s="9" t="s">
        <v>27</v>
      </c>
    </row>
    <row r="9313" spans="1:5" outlineLevel="1" x14ac:dyDescent="0.25">
      <c r="A9313" s="2"/>
      <c r="B9313" s="6" t="s">
        <v>17681</v>
      </c>
      <c r="C9313" s="8"/>
      <c r="D9313" s="8"/>
      <c r="E9313" s="8"/>
    </row>
    <row r="9314" spans="1:5" ht="15" customHeight="1" outlineLevel="2" x14ac:dyDescent="0.25">
      <c r="A9314" s="3" t="str">
        <f>HYPERLINK("http://mystore1.ru/price_items/search?utf8=%E2%9C%93&amp;oem=8271ABL","8271ABL")</f>
        <v>8271ABL</v>
      </c>
      <c r="B9314" s="1" t="s">
        <v>17682</v>
      </c>
      <c r="C9314" s="9" t="s">
        <v>11465</v>
      </c>
      <c r="D9314" s="14" t="s">
        <v>17683</v>
      </c>
      <c r="E9314" s="9" t="s">
        <v>8</v>
      </c>
    </row>
    <row r="9315" spans="1:5" ht="15" customHeight="1" outlineLevel="2" x14ac:dyDescent="0.25">
      <c r="A9315" s="3" t="str">
        <f>HYPERLINK("http://mystore1.ru/price_items/search?utf8=%E2%9C%93&amp;oem=8271ABLBL","8271ABLBL")</f>
        <v>8271ABLBL</v>
      </c>
      <c r="B9315" s="1" t="s">
        <v>17684</v>
      </c>
      <c r="C9315" s="9" t="s">
        <v>11465</v>
      </c>
      <c r="D9315" s="14" t="s">
        <v>17685</v>
      </c>
      <c r="E9315" s="9" t="s">
        <v>8</v>
      </c>
    </row>
    <row r="9316" spans="1:5" ht="15" customHeight="1" outlineLevel="2" x14ac:dyDescent="0.25">
      <c r="A9316" s="3" t="str">
        <f>HYPERLINK("http://mystore1.ru/price_items/search?utf8=%E2%9C%93&amp;oem=8271AKCR","8271AKCR")</f>
        <v>8271AKCR</v>
      </c>
      <c r="B9316" s="1" t="s">
        <v>17686</v>
      </c>
      <c r="C9316" s="9" t="s">
        <v>25</v>
      </c>
      <c r="D9316" s="14" t="s">
        <v>17687</v>
      </c>
      <c r="E9316" s="9" t="s">
        <v>27</v>
      </c>
    </row>
    <row r="9317" spans="1:5" ht="15" customHeight="1" outlineLevel="2" x14ac:dyDescent="0.25">
      <c r="A9317" s="3" t="str">
        <f>HYPERLINK("http://mystore1.ru/price_items/search?utf8=%E2%9C%93&amp;oem=8271ASMRT","8271ASMRT")</f>
        <v>8271ASMRT</v>
      </c>
      <c r="B9317" s="1" t="s">
        <v>17688</v>
      </c>
      <c r="C9317" s="9" t="s">
        <v>25</v>
      </c>
      <c r="D9317" s="14" t="s">
        <v>17689</v>
      </c>
      <c r="E9317" s="9" t="s">
        <v>27</v>
      </c>
    </row>
    <row r="9318" spans="1:5" ht="15" customHeight="1" outlineLevel="2" x14ac:dyDescent="0.25">
      <c r="A9318" s="3" t="str">
        <f>HYPERLINK("http://mystore1.ru/price_items/search?utf8=%E2%9C%93&amp;oem=8271ASMRTC","8271ASMRTC")</f>
        <v>8271ASMRTC</v>
      </c>
      <c r="B9318" s="1" t="s">
        <v>17690</v>
      </c>
      <c r="C9318" s="9" t="s">
        <v>25</v>
      </c>
      <c r="D9318" s="14" t="s">
        <v>17691</v>
      </c>
      <c r="E9318" s="9" t="s">
        <v>27</v>
      </c>
    </row>
    <row r="9319" spans="1:5" ht="15" customHeight="1" outlineLevel="2" x14ac:dyDescent="0.25">
      <c r="A9319" s="3" t="str">
        <f>HYPERLINK("http://mystore1.ru/price_items/search?utf8=%E2%9C%93&amp;oem=8271LBLR5FD","8271LBLR5FD")</f>
        <v>8271LBLR5FD</v>
      </c>
      <c r="B9319" s="1" t="s">
        <v>17692</v>
      </c>
      <c r="C9319" s="9" t="s">
        <v>11465</v>
      </c>
      <c r="D9319" s="14" t="s">
        <v>17693</v>
      </c>
      <c r="E9319" s="9" t="s">
        <v>11</v>
      </c>
    </row>
    <row r="9320" spans="1:5" outlineLevel="1" x14ac:dyDescent="0.25">
      <c r="A9320" s="2"/>
      <c r="B9320" s="6" t="s">
        <v>17694</v>
      </c>
      <c r="C9320" s="8"/>
      <c r="D9320" s="8"/>
      <c r="E9320" s="8"/>
    </row>
    <row r="9321" spans="1:5" ht="15" customHeight="1" outlineLevel="2" x14ac:dyDescent="0.25">
      <c r="A9321" s="3" t="str">
        <f>HYPERLINK("http://mystore1.ru/price_items/search?utf8=%E2%9C%93&amp;oem=8287ABL","8287ABL")</f>
        <v>8287ABL</v>
      </c>
      <c r="B9321" s="1" t="s">
        <v>17695</v>
      </c>
      <c r="C9321" s="9" t="s">
        <v>2692</v>
      </c>
      <c r="D9321" s="14" t="s">
        <v>17696</v>
      </c>
      <c r="E9321" s="9" t="s">
        <v>8</v>
      </c>
    </row>
    <row r="9322" spans="1:5" ht="15" customHeight="1" outlineLevel="2" x14ac:dyDescent="0.25">
      <c r="A9322" s="3" t="str">
        <f>HYPERLINK("http://mystore1.ru/price_items/search?utf8=%E2%9C%93&amp;oem=8287ALG","8287ALG")</f>
        <v>8287ALG</v>
      </c>
      <c r="B9322" s="1" t="s">
        <v>17697</v>
      </c>
      <c r="C9322" s="9" t="s">
        <v>2692</v>
      </c>
      <c r="D9322" s="14" t="s">
        <v>17698</v>
      </c>
      <c r="E9322" s="9" t="s">
        <v>8</v>
      </c>
    </row>
    <row r="9323" spans="1:5" ht="15" customHeight="1" outlineLevel="2" x14ac:dyDescent="0.25">
      <c r="A9323" s="3" t="str">
        <f>HYPERLINK("http://mystore1.ru/price_items/search?utf8=%E2%9C%93&amp;oem=8287ALGBL","8287ALGBL")</f>
        <v>8287ALGBL</v>
      </c>
      <c r="B9323" s="1" t="s">
        <v>17699</v>
      </c>
      <c r="C9323" s="9" t="s">
        <v>2692</v>
      </c>
      <c r="D9323" s="14" t="s">
        <v>17700</v>
      </c>
      <c r="E9323" s="9" t="s">
        <v>8</v>
      </c>
    </row>
    <row r="9324" spans="1:5" ht="15" customHeight="1" outlineLevel="2" x14ac:dyDescent="0.25">
      <c r="A9324" s="3" t="str">
        <f>HYPERLINK("http://mystore1.ru/price_items/search?utf8=%E2%9C%93&amp;oem=8287ALGGN","8287ALGGN")</f>
        <v>8287ALGGN</v>
      </c>
      <c r="B9324" s="1" t="s">
        <v>17701</v>
      </c>
      <c r="C9324" s="9" t="s">
        <v>2692</v>
      </c>
      <c r="D9324" s="14" t="s">
        <v>17702</v>
      </c>
      <c r="E9324" s="9" t="s">
        <v>8</v>
      </c>
    </row>
    <row r="9325" spans="1:5" ht="15" customHeight="1" outlineLevel="2" x14ac:dyDescent="0.25">
      <c r="A9325" s="3" t="str">
        <f>HYPERLINK("http://mystore1.ru/price_items/search?utf8=%E2%9C%93&amp;oem=8287ASMR","8287ASMR")</f>
        <v>8287ASMR</v>
      </c>
      <c r="B9325" s="1" t="s">
        <v>17703</v>
      </c>
      <c r="C9325" s="9" t="s">
        <v>25</v>
      </c>
      <c r="D9325" s="14" t="s">
        <v>17704</v>
      </c>
      <c r="E9325" s="9" t="s">
        <v>27</v>
      </c>
    </row>
    <row r="9326" spans="1:5" ht="15" customHeight="1" outlineLevel="2" x14ac:dyDescent="0.25">
      <c r="A9326" s="3" t="str">
        <f>HYPERLINK("http://mystore1.ru/price_items/search?utf8=%E2%9C%93&amp;oem=8287ASMR1H","8287ASMR1H")</f>
        <v>8287ASMR1H</v>
      </c>
      <c r="B9326" s="1" t="s">
        <v>17705</v>
      </c>
      <c r="C9326" s="9" t="s">
        <v>25</v>
      </c>
      <c r="D9326" s="14" t="s">
        <v>17706</v>
      </c>
      <c r="E9326" s="9" t="s">
        <v>27</v>
      </c>
    </row>
    <row r="9327" spans="1:5" ht="15" customHeight="1" outlineLevel="2" x14ac:dyDescent="0.25">
      <c r="A9327" s="3" t="str">
        <f>HYPERLINK("http://mystore1.ru/price_items/search?utf8=%E2%9C%93&amp;oem=8287BLGR","8287BLGR")</f>
        <v>8287BLGR</v>
      </c>
      <c r="B9327" s="1" t="s">
        <v>17707</v>
      </c>
      <c r="C9327" s="9" t="s">
        <v>2692</v>
      </c>
      <c r="D9327" s="14" t="s">
        <v>17708</v>
      </c>
      <c r="E9327" s="9" t="s">
        <v>30</v>
      </c>
    </row>
    <row r="9328" spans="1:5" ht="15" customHeight="1" outlineLevel="2" x14ac:dyDescent="0.25">
      <c r="A9328" s="3" t="str">
        <f>HYPERLINK("http://mystore1.ru/price_items/search?utf8=%E2%9C%93&amp;oem=8287LLGR3FDW","8287LLGR3FDW")</f>
        <v>8287LLGR3FDW</v>
      </c>
      <c r="B9328" s="1" t="s">
        <v>17709</v>
      </c>
      <c r="C9328" s="9" t="s">
        <v>2692</v>
      </c>
      <c r="D9328" s="14" t="s">
        <v>17710</v>
      </c>
      <c r="E9328" s="9" t="s">
        <v>11</v>
      </c>
    </row>
    <row r="9329" spans="1:5" ht="15" customHeight="1" outlineLevel="2" x14ac:dyDescent="0.25">
      <c r="A9329" s="3" t="str">
        <f>HYPERLINK("http://mystore1.ru/price_items/search?utf8=%E2%9C%93&amp;oem=8287LLGR5FDW","8287LLGR5FDW")</f>
        <v>8287LLGR5FDW</v>
      </c>
      <c r="B9329" s="1" t="s">
        <v>17711</v>
      </c>
      <c r="C9329" s="9" t="s">
        <v>2692</v>
      </c>
      <c r="D9329" s="14" t="s">
        <v>17712</v>
      </c>
      <c r="E9329" s="9" t="s">
        <v>11</v>
      </c>
    </row>
    <row r="9330" spans="1:5" ht="15" customHeight="1" outlineLevel="2" x14ac:dyDescent="0.25">
      <c r="A9330" s="3" t="str">
        <f>HYPERLINK("http://mystore1.ru/price_items/search?utf8=%E2%9C%93&amp;oem=8287LLGR5RD","8287LLGR5RD")</f>
        <v>8287LLGR5RD</v>
      </c>
      <c r="B9330" s="1" t="s">
        <v>17713</v>
      </c>
      <c r="C9330" s="9" t="s">
        <v>2692</v>
      </c>
      <c r="D9330" s="14" t="s">
        <v>17714</v>
      </c>
      <c r="E9330" s="9" t="s">
        <v>11</v>
      </c>
    </row>
    <row r="9331" spans="1:5" ht="15" customHeight="1" outlineLevel="2" x14ac:dyDescent="0.25">
      <c r="A9331" s="3" t="str">
        <f>HYPERLINK("http://mystore1.ru/price_items/search?utf8=%E2%9C%93&amp;oem=8287LLGR5RV","8287LLGR5RV")</f>
        <v>8287LLGR5RV</v>
      </c>
      <c r="B9331" s="1" t="s">
        <v>17715</v>
      </c>
      <c r="C9331" s="9" t="s">
        <v>2692</v>
      </c>
      <c r="D9331" s="14" t="s">
        <v>17716</v>
      </c>
      <c r="E9331" s="9" t="s">
        <v>11</v>
      </c>
    </row>
    <row r="9332" spans="1:5" ht="15" customHeight="1" outlineLevel="2" x14ac:dyDescent="0.25">
      <c r="A9332" s="3" t="str">
        <f>HYPERLINK("http://mystore1.ru/price_items/search?utf8=%E2%9C%93&amp;oem=8287RLGR3FDW","8287RLGR3FDW")</f>
        <v>8287RLGR3FDW</v>
      </c>
      <c r="B9332" s="1" t="s">
        <v>17717</v>
      </c>
      <c r="C9332" s="9" t="s">
        <v>2692</v>
      </c>
      <c r="D9332" s="14" t="s">
        <v>17718</v>
      </c>
      <c r="E9332" s="9" t="s">
        <v>11</v>
      </c>
    </row>
    <row r="9333" spans="1:5" ht="15" customHeight="1" outlineLevel="2" x14ac:dyDescent="0.25">
      <c r="A9333" s="3" t="str">
        <f>HYPERLINK("http://mystore1.ru/price_items/search?utf8=%E2%9C%93&amp;oem=8287RLGR5FDW","8287RLGR5FDW")</f>
        <v>8287RLGR5FDW</v>
      </c>
      <c r="B9333" s="1" t="s">
        <v>17719</v>
      </c>
      <c r="C9333" s="9" t="s">
        <v>2692</v>
      </c>
      <c r="D9333" s="14" t="s">
        <v>17720</v>
      </c>
      <c r="E9333" s="9" t="s">
        <v>11</v>
      </c>
    </row>
    <row r="9334" spans="1:5" ht="15" customHeight="1" outlineLevel="2" x14ac:dyDescent="0.25">
      <c r="A9334" s="3" t="str">
        <f>HYPERLINK("http://mystore1.ru/price_items/search?utf8=%E2%9C%93&amp;oem=8287RLGR5RD","8287RLGR5RD")</f>
        <v>8287RLGR5RD</v>
      </c>
      <c r="B9334" s="1" t="s">
        <v>17721</v>
      </c>
      <c r="C9334" s="9" t="s">
        <v>2692</v>
      </c>
      <c r="D9334" s="14" t="s">
        <v>17722</v>
      </c>
      <c r="E9334" s="9" t="s">
        <v>11</v>
      </c>
    </row>
    <row r="9335" spans="1:5" ht="15" customHeight="1" outlineLevel="2" x14ac:dyDescent="0.25">
      <c r="A9335" s="3" t="str">
        <f>HYPERLINK("http://mystore1.ru/price_items/search?utf8=%E2%9C%93&amp;oem=8287RLGR5RV","8287RLGR5RV")</f>
        <v>8287RLGR5RV</v>
      </c>
      <c r="B9335" s="1" t="s">
        <v>17723</v>
      </c>
      <c r="C9335" s="9" t="s">
        <v>2692</v>
      </c>
      <c r="D9335" s="14" t="s">
        <v>17724</v>
      </c>
      <c r="E9335" s="9" t="s">
        <v>11</v>
      </c>
    </row>
    <row r="9336" spans="1:5" outlineLevel="1" x14ac:dyDescent="0.25">
      <c r="A9336" s="2"/>
      <c r="B9336" s="6" t="s">
        <v>17725</v>
      </c>
      <c r="C9336" s="8"/>
      <c r="D9336" s="8"/>
      <c r="E9336" s="8"/>
    </row>
    <row r="9337" spans="1:5" ht="15" customHeight="1" outlineLevel="2" x14ac:dyDescent="0.25">
      <c r="A9337" s="3" t="str">
        <f>HYPERLINK("http://mystore1.ru/price_items/search?utf8=%E2%9C%93&amp;oem=8323AGN","8323AGN")</f>
        <v>8323AGN</v>
      </c>
      <c r="B9337" s="1" t="s">
        <v>17726</v>
      </c>
      <c r="C9337" s="9" t="s">
        <v>1499</v>
      </c>
      <c r="D9337" s="14" t="s">
        <v>17727</v>
      </c>
      <c r="E9337" s="9" t="s">
        <v>8</v>
      </c>
    </row>
    <row r="9338" spans="1:5" ht="15" customHeight="1" outlineLevel="2" x14ac:dyDescent="0.25">
      <c r="A9338" s="3" t="str">
        <f>HYPERLINK("http://mystore1.ru/price_items/search?utf8=%E2%9C%93&amp;oem=8323AGN1B","8323AGN1B")</f>
        <v>8323AGN1B</v>
      </c>
      <c r="B9338" s="1" t="s">
        <v>17728</v>
      </c>
      <c r="C9338" s="9" t="s">
        <v>1499</v>
      </c>
      <c r="D9338" s="14" t="s">
        <v>17729</v>
      </c>
      <c r="E9338" s="9" t="s">
        <v>8</v>
      </c>
    </row>
    <row r="9339" spans="1:5" ht="15" customHeight="1" outlineLevel="2" x14ac:dyDescent="0.25">
      <c r="A9339" s="3" t="str">
        <f>HYPERLINK("http://mystore1.ru/price_items/search?utf8=%E2%9C%93&amp;oem=8323AGNBL","8323AGNBL")</f>
        <v>8323AGNBL</v>
      </c>
      <c r="B9339" s="1" t="s">
        <v>17730</v>
      </c>
      <c r="C9339" s="9" t="s">
        <v>9574</v>
      </c>
      <c r="D9339" s="14" t="s">
        <v>17731</v>
      </c>
      <c r="E9339" s="9" t="s">
        <v>8</v>
      </c>
    </row>
    <row r="9340" spans="1:5" ht="15" customHeight="1" outlineLevel="2" x14ac:dyDescent="0.25">
      <c r="A9340" s="3" t="str">
        <f>HYPERLINK("http://mystore1.ru/price_items/search?utf8=%E2%9C%93&amp;oem=8323AGNBL1B","8323AGNBL1B")</f>
        <v>8323AGNBL1B</v>
      </c>
      <c r="B9340" s="1" t="s">
        <v>17732</v>
      </c>
      <c r="C9340" s="9" t="s">
        <v>1499</v>
      </c>
      <c r="D9340" s="14" t="s">
        <v>17733</v>
      </c>
      <c r="E9340" s="9" t="s">
        <v>8</v>
      </c>
    </row>
    <row r="9341" spans="1:5" ht="15" customHeight="1" outlineLevel="2" x14ac:dyDescent="0.25">
      <c r="A9341" s="3" t="str">
        <f>HYPERLINK("http://mystore1.ru/price_items/search?utf8=%E2%9C%93&amp;oem=8323AGNGN","8323AGNGN")</f>
        <v>8323AGNGN</v>
      </c>
      <c r="B9341" s="1" t="s">
        <v>17734</v>
      </c>
      <c r="C9341" s="9" t="s">
        <v>1499</v>
      </c>
      <c r="D9341" s="14" t="s">
        <v>17735</v>
      </c>
      <c r="E9341" s="9" t="s">
        <v>8</v>
      </c>
    </row>
    <row r="9342" spans="1:5" ht="15" customHeight="1" outlineLevel="2" x14ac:dyDescent="0.25">
      <c r="A9342" s="3" t="str">
        <f>HYPERLINK("http://mystore1.ru/price_items/search?utf8=%E2%9C%93&amp;oem=8323AGNGN1B","8323AGNGN1B")</f>
        <v>8323AGNGN1B</v>
      </c>
      <c r="B9342" s="1" t="s">
        <v>17736</v>
      </c>
      <c r="C9342" s="9" t="s">
        <v>1499</v>
      </c>
      <c r="D9342" s="14" t="s">
        <v>17737</v>
      </c>
      <c r="E9342" s="9" t="s">
        <v>8</v>
      </c>
    </row>
    <row r="9343" spans="1:5" ht="15" customHeight="1" outlineLevel="2" x14ac:dyDescent="0.25">
      <c r="A9343" s="3" t="str">
        <f>HYPERLINK("http://mystore1.ru/price_items/search?utf8=%E2%9C%93&amp;oem=8323AGNV","8323AGNV")</f>
        <v>8323AGNV</v>
      </c>
      <c r="B9343" s="1" t="s">
        <v>17738</v>
      </c>
      <c r="C9343" s="9" t="s">
        <v>1499</v>
      </c>
      <c r="D9343" s="14" t="s">
        <v>17739</v>
      </c>
      <c r="E9343" s="9" t="s">
        <v>8</v>
      </c>
    </row>
    <row r="9344" spans="1:5" ht="15" customHeight="1" outlineLevel="2" x14ac:dyDescent="0.25">
      <c r="A9344" s="3" t="str">
        <f>HYPERLINK("http://mystore1.ru/price_items/search?utf8=%E2%9C%93&amp;oem=8323AGNV1P","8323AGNV1P")</f>
        <v>8323AGNV1P</v>
      </c>
      <c r="B9344" s="1" t="s">
        <v>17740</v>
      </c>
      <c r="C9344" s="9" t="s">
        <v>1590</v>
      </c>
      <c r="D9344" s="14" t="s">
        <v>17741</v>
      </c>
      <c r="E9344" s="9" t="s">
        <v>8</v>
      </c>
    </row>
    <row r="9345" spans="1:5" ht="15" customHeight="1" outlineLevel="2" x14ac:dyDescent="0.25">
      <c r="A9345" s="3" t="str">
        <f>HYPERLINK("http://mystore1.ru/price_items/search?utf8=%E2%9C%93&amp;oem=8323ASMRT","8323ASMRT")</f>
        <v>8323ASMRT</v>
      </c>
      <c r="B9345" s="1" t="s">
        <v>17742</v>
      </c>
      <c r="C9345" s="9" t="s">
        <v>25</v>
      </c>
      <c r="D9345" s="14" t="s">
        <v>17743</v>
      </c>
      <c r="E9345" s="9" t="s">
        <v>27</v>
      </c>
    </row>
    <row r="9346" spans="1:5" ht="15" customHeight="1" outlineLevel="2" x14ac:dyDescent="0.25">
      <c r="A9346" s="3" t="str">
        <f>HYPERLINK("http://mystore1.ru/price_items/search?utf8=%E2%9C%93&amp;oem=8323BGNRB","8323BGNRB")</f>
        <v>8323BGNRB</v>
      </c>
      <c r="B9346" s="1" t="s">
        <v>17744</v>
      </c>
      <c r="C9346" s="9" t="s">
        <v>1499</v>
      </c>
      <c r="D9346" s="14" t="s">
        <v>17745</v>
      </c>
      <c r="E9346" s="9" t="s">
        <v>30</v>
      </c>
    </row>
    <row r="9347" spans="1:5" ht="15" customHeight="1" outlineLevel="2" x14ac:dyDescent="0.25">
      <c r="A9347" s="3" t="str">
        <f>HYPERLINK("http://mystore1.ru/price_items/search?utf8=%E2%9C%93&amp;oem=8323LGNR3FDW","8323LGNR3FDW")</f>
        <v>8323LGNR3FDW</v>
      </c>
      <c r="B9347" s="1" t="s">
        <v>17746</v>
      </c>
      <c r="C9347" s="9" t="s">
        <v>1499</v>
      </c>
      <c r="D9347" s="14" t="s">
        <v>17747</v>
      </c>
      <c r="E9347" s="9" t="s">
        <v>11</v>
      </c>
    </row>
    <row r="9348" spans="1:5" ht="15" customHeight="1" outlineLevel="2" x14ac:dyDescent="0.25">
      <c r="A9348" s="3" t="str">
        <f>HYPERLINK("http://mystore1.ru/price_items/search?utf8=%E2%9C%93&amp;oem=8323LGNR5FDW","8323LGNR5FDW")</f>
        <v>8323LGNR5FDW</v>
      </c>
      <c r="B9348" s="1" t="s">
        <v>17748</v>
      </c>
      <c r="C9348" s="9" t="s">
        <v>1499</v>
      </c>
      <c r="D9348" s="14" t="s">
        <v>17749</v>
      </c>
      <c r="E9348" s="9" t="s">
        <v>11</v>
      </c>
    </row>
    <row r="9349" spans="1:5" ht="15" customHeight="1" outlineLevel="2" x14ac:dyDescent="0.25">
      <c r="A9349" s="3" t="str">
        <f>HYPERLINK("http://mystore1.ru/price_items/search?utf8=%E2%9C%93&amp;oem=8323LGNR5RD","8323LGNR5RD")</f>
        <v>8323LGNR5RD</v>
      </c>
      <c r="B9349" s="1" t="s">
        <v>17750</v>
      </c>
      <c r="C9349" s="9" t="s">
        <v>1499</v>
      </c>
      <c r="D9349" s="14" t="s">
        <v>17751</v>
      </c>
      <c r="E9349" s="9" t="s">
        <v>11</v>
      </c>
    </row>
    <row r="9350" spans="1:5" ht="15" customHeight="1" outlineLevel="2" x14ac:dyDescent="0.25">
      <c r="A9350" s="3" t="str">
        <f>HYPERLINK("http://mystore1.ru/price_items/search?utf8=%E2%9C%93&amp;oem=8323LGNR5RV","8323LGNR5RV")</f>
        <v>8323LGNR5RV</v>
      </c>
      <c r="B9350" s="1" t="s">
        <v>17752</v>
      </c>
      <c r="C9350" s="9" t="s">
        <v>1499</v>
      </c>
      <c r="D9350" s="14" t="s">
        <v>17753</v>
      </c>
      <c r="E9350" s="9" t="s">
        <v>11</v>
      </c>
    </row>
    <row r="9351" spans="1:5" ht="15" customHeight="1" outlineLevel="2" x14ac:dyDescent="0.25">
      <c r="A9351" s="3" t="str">
        <f>HYPERLINK("http://mystore1.ru/price_items/search?utf8=%E2%9C%93&amp;oem=8323RGNR3FDW","8323RGNR3FDW")</f>
        <v>8323RGNR3FDW</v>
      </c>
      <c r="B9351" s="1" t="s">
        <v>17754</v>
      </c>
      <c r="C9351" s="9" t="s">
        <v>1499</v>
      </c>
      <c r="D9351" s="14" t="s">
        <v>17755</v>
      </c>
      <c r="E9351" s="9" t="s">
        <v>11</v>
      </c>
    </row>
    <row r="9352" spans="1:5" ht="15" customHeight="1" outlineLevel="2" x14ac:dyDescent="0.25">
      <c r="A9352" s="3" t="str">
        <f>HYPERLINK("http://mystore1.ru/price_items/search?utf8=%E2%9C%93&amp;oem=8323RGNR5FDW","8323RGNR5FDW")</f>
        <v>8323RGNR5FDW</v>
      </c>
      <c r="B9352" s="1" t="s">
        <v>17756</v>
      </c>
      <c r="C9352" s="9" t="s">
        <v>1499</v>
      </c>
      <c r="D9352" s="14" t="s">
        <v>17757</v>
      </c>
      <c r="E9352" s="9" t="s">
        <v>11</v>
      </c>
    </row>
    <row r="9353" spans="1:5" ht="15" customHeight="1" outlineLevel="2" x14ac:dyDescent="0.25">
      <c r="A9353" s="3" t="str">
        <f>HYPERLINK("http://mystore1.ru/price_items/search?utf8=%E2%9C%93&amp;oem=8323RGNR5RD","8323RGNR5RD")</f>
        <v>8323RGNR5RD</v>
      </c>
      <c r="B9353" s="1" t="s">
        <v>17758</v>
      </c>
      <c r="C9353" s="9" t="s">
        <v>1499</v>
      </c>
      <c r="D9353" s="14" t="s">
        <v>17759</v>
      </c>
      <c r="E9353" s="9" t="s">
        <v>11</v>
      </c>
    </row>
    <row r="9354" spans="1:5" ht="15" customHeight="1" outlineLevel="2" x14ac:dyDescent="0.25">
      <c r="A9354" s="3" t="str">
        <f>HYPERLINK("http://mystore1.ru/price_items/search?utf8=%E2%9C%93&amp;oem=8323RGNR5RV","8323RGNR5RV")</f>
        <v>8323RGNR5RV</v>
      </c>
      <c r="B9354" s="1" t="s">
        <v>17760</v>
      </c>
      <c r="C9354" s="9" t="s">
        <v>1499</v>
      </c>
      <c r="D9354" s="14" t="s">
        <v>17761</v>
      </c>
      <c r="E9354" s="9" t="s">
        <v>11</v>
      </c>
    </row>
    <row r="9355" spans="1:5" outlineLevel="1" x14ac:dyDescent="0.25">
      <c r="A9355" s="2"/>
      <c r="B9355" s="6" t="s">
        <v>17762</v>
      </c>
      <c r="C9355" s="8"/>
      <c r="D9355" s="8"/>
      <c r="E9355" s="8"/>
    </row>
    <row r="9356" spans="1:5" ht="15" customHeight="1" outlineLevel="2" x14ac:dyDescent="0.25">
      <c r="A9356" s="3" t="str">
        <f>HYPERLINK("http://mystore1.ru/price_items/search?utf8=%E2%9C%93&amp;oem=8372AGAHMW1B","8372AGAHMW1B")</f>
        <v>8372AGAHMW1B</v>
      </c>
      <c r="B9356" s="1" t="s">
        <v>17763</v>
      </c>
      <c r="C9356" s="9" t="s">
        <v>1786</v>
      </c>
      <c r="D9356" s="14" t="s">
        <v>17764</v>
      </c>
      <c r="E9356" s="9" t="s">
        <v>8</v>
      </c>
    </row>
    <row r="9357" spans="1:5" ht="15" customHeight="1" outlineLevel="2" x14ac:dyDescent="0.25">
      <c r="A9357" s="3" t="str">
        <f>HYPERLINK("http://mystore1.ru/price_items/search?utf8=%E2%9C%93&amp;oem=8372AGNHMVW1B","8372AGNHMVW1B")</f>
        <v>8372AGNHMVW1B</v>
      </c>
      <c r="B9357" s="1" t="s">
        <v>17765</v>
      </c>
      <c r="C9357" s="9" t="s">
        <v>1786</v>
      </c>
      <c r="D9357" s="14" t="s">
        <v>17766</v>
      </c>
      <c r="E9357" s="9" t="s">
        <v>8</v>
      </c>
    </row>
    <row r="9358" spans="1:5" ht="15" customHeight="1" outlineLevel="2" x14ac:dyDescent="0.25">
      <c r="A9358" s="3" t="str">
        <f>HYPERLINK("http://mystore1.ru/price_items/search?utf8=%E2%9C%93&amp;oem=8372AGNHVW","8372AGNHVW")</f>
        <v>8372AGNHVW</v>
      </c>
      <c r="B9358" s="1" t="s">
        <v>17767</v>
      </c>
      <c r="C9358" s="9" t="s">
        <v>1786</v>
      </c>
      <c r="D9358" s="14" t="s">
        <v>17768</v>
      </c>
      <c r="E9358" s="9" t="s">
        <v>8</v>
      </c>
    </row>
    <row r="9359" spans="1:5" ht="15" customHeight="1" outlineLevel="2" x14ac:dyDescent="0.25">
      <c r="A9359" s="3" t="str">
        <f>HYPERLINK("http://mystore1.ru/price_items/search?utf8=%E2%9C%93&amp;oem=8372AGAHVW","8372AGAHVW")</f>
        <v>8372AGAHVW</v>
      </c>
      <c r="B9359" s="1" t="s">
        <v>17769</v>
      </c>
      <c r="C9359" s="9" t="s">
        <v>1786</v>
      </c>
      <c r="D9359" s="14" t="s">
        <v>17768</v>
      </c>
      <c r="E9359" s="9" t="s">
        <v>8</v>
      </c>
    </row>
    <row r="9360" spans="1:5" ht="15" customHeight="1" outlineLevel="2" x14ac:dyDescent="0.25">
      <c r="A9360" s="3" t="str">
        <f>HYPERLINK("http://mystore1.ru/price_items/search?utf8=%E2%9C%93&amp;oem=8372AGAMW1B","8372AGAMW1B")</f>
        <v>8372AGAMW1B</v>
      </c>
      <c r="B9360" s="1" t="s">
        <v>17770</v>
      </c>
      <c r="C9360" s="9" t="s">
        <v>1786</v>
      </c>
      <c r="D9360" s="14" t="s">
        <v>17771</v>
      </c>
      <c r="E9360" s="9" t="s">
        <v>8</v>
      </c>
    </row>
    <row r="9361" spans="1:5" ht="15" customHeight="1" outlineLevel="2" x14ac:dyDescent="0.25">
      <c r="A9361" s="3" t="str">
        <f>HYPERLINK("http://mystore1.ru/price_items/search?utf8=%E2%9C%93&amp;oem=8372AGAVW","8372AGAVW")</f>
        <v>8372AGAVW</v>
      </c>
      <c r="B9361" s="1" t="s">
        <v>17772</v>
      </c>
      <c r="C9361" s="9" t="s">
        <v>1786</v>
      </c>
      <c r="D9361" s="14" t="s">
        <v>17773</v>
      </c>
      <c r="E9361" s="9" t="s">
        <v>8</v>
      </c>
    </row>
    <row r="9362" spans="1:5" ht="15" customHeight="1" outlineLevel="2" x14ac:dyDescent="0.25">
      <c r="A9362" s="3" t="str">
        <f>HYPERLINK("http://mystore1.ru/price_items/search?utf8=%E2%9C%93&amp;oem=8372BGSRAW","8372BGSRAW")</f>
        <v>8372BGSRAW</v>
      </c>
      <c r="B9362" s="1" t="s">
        <v>17774</v>
      </c>
      <c r="C9362" s="9" t="s">
        <v>1786</v>
      </c>
      <c r="D9362" s="14" t="s">
        <v>17775</v>
      </c>
      <c r="E9362" s="9" t="s">
        <v>30</v>
      </c>
    </row>
    <row r="9363" spans="1:5" ht="15" customHeight="1" outlineLevel="2" x14ac:dyDescent="0.25">
      <c r="A9363" s="3" t="str">
        <f>HYPERLINK("http://mystore1.ru/price_items/search?utf8=%E2%9C%93&amp;oem=8372LGSR5RV","8372LGSR5RV")</f>
        <v>8372LGSR5RV</v>
      </c>
      <c r="B9363" s="1" t="s">
        <v>17776</v>
      </c>
      <c r="C9363" s="9" t="s">
        <v>1786</v>
      </c>
      <c r="D9363" s="14" t="s">
        <v>17777</v>
      </c>
      <c r="E9363" s="9" t="s">
        <v>11</v>
      </c>
    </row>
    <row r="9364" spans="1:5" ht="15" customHeight="1" outlineLevel="2" x14ac:dyDescent="0.25">
      <c r="A9364" s="3" t="str">
        <f>HYPERLINK("http://mystore1.ru/price_items/search?utf8=%E2%9C%93&amp;oem=8372RGSR5RV","8372RGSR5RV")</f>
        <v>8372RGSR5RV</v>
      </c>
      <c r="B9364" s="1" t="s">
        <v>17778</v>
      </c>
      <c r="C9364" s="9" t="s">
        <v>1786</v>
      </c>
      <c r="D9364" s="14" t="s">
        <v>17779</v>
      </c>
      <c r="E9364" s="9" t="s">
        <v>11</v>
      </c>
    </row>
    <row r="9365" spans="1:5" ht="15" customHeight="1" outlineLevel="2" x14ac:dyDescent="0.25">
      <c r="A9365" s="3" t="str">
        <f>HYPERLINK("http://mystore1.ru/price_items/search?utf8=%E2%9C%93&amp;oem=8372LGSR5RDW","8372LGSR5RDW")</f>
        <v>8372LGSR5RDW</v>
      </c>
      <c r="B9365" s="1" t="s">
        <v>17780</v>
      </c>
      <c r="C9365" s="9" t="s">
        <v>1786</v>
      </c>
      <c r="D9365" s="14" t="s">
        <v>17781</v>
      </c>
      <c r="E9365" s="9" t="s">
        <v>11</v>
      </c>
    </row>
    <row r="9366" spans="1:5" ht="15" customHeight="1" outlineLevel="2" x14ac:dyDescent="0.25">
      <c r="A9366" s="3" t="str">
        <f>HYPERLINK("http://mystore1.ru/price_items/search?utf8=%E2%9C%93&amp;oem=8372LGSR5FDW","8372LGSR5FDW")</f>
        <v>8372LGSR5FDW</v>
      </c>
      <c r="B9366" s="1" t="s">
        <v>17782</v>
      </c>
      <c r="C9366" s="9" t="s">
        <v>1786</v>
      </c>
      <c r="D9366" s="14" t="s">
        <v>17783</v>
      </c>
      <c r="E9366" s="9" t="s">
        <v>11</v>
      </c>
    </row>
    <row r="9367" spans="1:5" ht="15" customHeight="1" outlineLevel="2" x14ac:dyDescent="0.25">
      <c r="A9367" s="3" t="str">
        <f>HYPERLINK("http://mystore1.ru/price_items/search?utf8=%E2%9C%93&amp;oem=8372RGSR5FDW","8372RGSR5FDW")</f>
        <v>8372RGSR5FDW</v>
      </c>
      <c r="B9367" s="1" t="s">
        <v>17784</v>
      </c>
      <c r="C9367" s="9" t="s">
        <v>1786</v>
      </c>
      <c r="D9367" s="14" t="s">
        <v>17785</v>
      </c>
      <c r="E9367" s="9" t="s">
        <v>11</v>
      </c>
    </row>
    <row r="9368" spans="1:5" ht="15" customHeight="1" outlineLevel="2" x14ac:dyDescent="0.25">
      <c r="A9368" s="3" t="str">
        <f>HYPERLINK("http://mystore1.ru/price_items/search?utf8=%E2%9C%93&amp;oem=8372RGSR5RDW","8372RGSR5RDW")</f>
        <v>8372RGSR5RDW</v>
      </c>
      <c r="B9368" s="1" t="s">
        <v>17786</v>
      </c>
      <c r="C9368" s="9" t="s">
        <v>1786</v>
      </c>
      <c r="D9368" s="14" t="s">
        <v>17787</v>
      </c>
      <c r="E9368" s="9" t="s">
        <v>11</v>
      </c>
    </row>
    <row r="9369" spans="1:5" outlineLevel="1" x14ac:dyDescent="0.25">
      <c r="A9369" s="2"/>
      <c r="B9369" s="6" t="s">
        <v>17788</v>
      </c>
      <c r="C9369" s="8"/>
      <c r="D9369" s="8"/>
      <c r="E9369" s="8"/>
    </row>
    <row r="9370" spans="1:5" ht="15" customHeight="1" outlineLevel="2" x14ac:dyDescent="0.25">
      <c r="A9370" s="3" t="str">
        <f>HYPERLINK("http://mystore1.ru/price_items/search?utf8=%E2%9C%93&amp;oem=83B3AGSBLV","83B3AGSBLV")</f>
        <v>83B3AGSBLV</v>
      </c>
      <c r="B9370" s="1" t="s">
        <v>17789</v>
      </c>
      <c r="C9370" s="9" t="s">
        <v>1359</v>
      </c>
      <c r="D9370" s="14" t="s">
        <v>17790</v>
      </c>
      <c r="E9370" s="9" t="s">
        <v>8</v>
      </c>
    </row>
    <row r="9371" spans="1:5" outlineLevel="1" x14ac:dyDescent="0.25">
      <c r="A9371" s="2"/>
      <c r="B9371" s="6" t="s">
        <v>17791</v>
      </c>
      <c r="C9371" s="8"/>
      <c r="D9371" s="8"/>
      <c r="E9371" s="8"/>
    </row>
    <row r="9372" spans="1:5" ht="15" customHeight="1" outlineLevel="2" x14ac:dyDescent="0.25">
      <c r="A9372" s="3" t="str">
        <f>HYPERLINK("http://mystore1.ru/price_items/search?utf8=%E2%9C%93&amp;oem=8252ABL","8252ABL")</f>
        <v>8252ABL</v>
      </c>
      <c r="B9372" s="1" t="s">
        <v>17792</v>
      </c>
      <c r="C9372" s="9" t="s">
        <v>5845</v>
      </c>
      <c r="D9372" s="14" t="s">
        <v>17793</v>
      </c>
      <c r="E9372" s="9" t="s">
        <v>8</v>
      </c>
    </row>
    <row r="9373" spans="1:5" ht="15" customHeight="1" outlineLevel="2" x14ac:dyDescent="0.25">
      <c r="A9373" s="3" t="str">
        <f>HYPERLINK("http://mystore1.ru/price_items/search?utf8=%E2%9C%93&amp;oem=8252ACL","8252ACL")</f>
        <v>8252ACL</v>
      </c>
      <c r="B9373" s="1" t="s">
        <v>17794</v>
      </c>
      <c r="C9373" s="9" t="s">
        <v>5845</v>
      </c>
      <c r="D9373" s="14" t="s">
        <v>17795</v>
      </c>
      <c r="E9373" s="9" t="s">
        <v>8</v>
      </c>
    </row>
    <row r="9374" spans="1:5" ht="15" customHeight="1" outlineLevel="2" x14ac:dyDescent="0.25">
      <c r="A9374" s="3" t="str">
        <f>HYPERLINK("http://mystore1.ru/price_items/search?utf8=%E2%9C%93&amp;oem=8252LBLH3FD","8252LBLH3FD")</f>
        <v>8252LBLH3FD</v>
      </c>
      <c r="B9374" s="1" t="s">
        <v>17796</v>
      </c>
      <c r="C9374" s="9" t="s">
        <v>5845</v>
      </c>
      <c r="D9374" s="14" t="s">
        <v>17797</v>
      </c>
      <c r="E9374" s="9" t="s">
        <v>11</v>
      </c>
    </row>
    <row r="9375" spans="1:5" ht="15" customHeight="1" outlineLevel="2" x14ac:dyDescent="0.25">
      <c r="A9375" s="3" t="str">
        <f>HYPERLINK("http://mystore1.ru/price_items/search?utf8=%E2%9C%93&amp;oem=8252LCLH3FD","8252LCLH3FD")</f>
        <v>8252LCLH3FD</v>
      </c>
      <c r="B9375" s="1" t="s">
        <v>17798</v>
      </c>
      <c r="C9375" s="9" t="s">
        <v>5845</v>
      </c>
      <c r="D9375" s="14" t="s">
        <v>17799</v>
      </c>
      <c r="E9375" s="9" t="s">
        <v>11</v>
      </c>
    </row>
    <row r="9376" spans="1:5" ht="15" customHeight="1" outlineLevel="2" x14ac:dyDescent="0.25">
      <c r="A9376" s="3" t="str">
        <f>HYPERLINK("http://mystore1.ru/price_items/search?utf8=%E2%9C%93&amp;oem=8252RBLH3FD","8252RBLH3FD")</f>
        <v>8252RBLH3FD</v>
      </c>
      <c r="B9376" s="1" t="s">
        <v>17800</v>
      </c>
      <c r="C9376" s="9" t="s">
        <v>5845</v>
      </c>
      <c r="D9376" s="14" t="s">
        <v>17801</v>
      </c>
      <c r="E9376" s="9" t="s">
        <v>11</v>
      </c>
    </row>
    <row r="9377" spans="1:5" outlineLevel="1" x14ac:dyDescent="0.25">
      <c r="A9377" s="2"/>
      <c r="B9377" s="6" t="s">
        <v>17802</v>
      </c>
      <c r="C9377" s="8"/>
      <c r="D9377" s="8"/>
      <c r="E9377" s="8"/>
    </row>
    <row r="9378" spans="1:5" ht="15" customHeight="1" outlineLevel="2" x14ac:dyDescent="0.25">
      <c r="A9378" s="3" t="str">
        <f>HYPERLINK("http://mystore1.ru/price_items/search?utf8=%E2%9C%93&amp;oem=8273ABL","8273ABL")</f>
        <v>8273ABL</v>
      </c>
      <c r="B9378" s="1" t="s">
        <v>17803</v>
      </c>
      <c r="C9378" s="9" t="s">
        <v>11465</v>
      </c>
      <c r="D9378" s="14" t="s">
        <v>17804</v>
      </c>
      <c r="E9378" s="9" t="s">
        <v>8</v>
      </c>
    </row>
    <row r="9379" spans="1:5" ht="15" customHeight="1" outlineLevel="2" x14ac:dyDescent="0.25">
      <c r="A9379" s="3" t="str">
        <f>HYPERLINK("http://mystore1.ru/price_items/search?utf8=%E2%9C%93&amp;oem=8273ACL","8273ACL")</f>
        <v>8273ACL</v>
      </c>
      <c r="B9379" s="1" t="s">
        <v>17805</v>
      </c>
      <c r="C9379" s="9" t="s">
        <v>11465</v>
      </c>
      <c r="D9379" s="14" t="s">
        <v>17806</v>
      </c>
      <c r="E9379" s="9" t="s">
        <v>8</v>
      </c>
    </row>
    <row r="9380" spans="1:5" ht="15" customHeight="1" outlineLevel="2" x14ac:dyDescent="0.25">
      <c r="A9380" s="3" t="str">
        <f>HYPERLINK("http://mystore1.ru/price_items/search?utf8=%E2%9C%93&amp;oem=8273ASMH","8273ASMH")</f>
        <v>8273ASMH</v>
      </c>
      <c r="B9380" s="1" t="s">
        <v>17807</v>
      </c>
      <c r="C9380" s="9" t="s">
        <v>25</v>
      </c>
      <c r="D9380" s="14" t="s">
        <v>17808</v>
      </c>
      <c r="E9380" s="9" t="s">
        <v>27</v>
      </c>
    </row>
    <row r="9381" spans="1:5" ht="15" customHeight="1" outlineLevel="2" x14ac:dyDescent="0.25">
      <c r="A9381" s="3" t="str">
        <f>HYPERLINK("http://mystore1.ru/price_items/search?utf8=%E2%9C%93&amp;oem=8273BBLH","8273BBLH")</f>
        <v>8273BBLH</v>
      </c>
      <c r="B9381" s="1" t="s">
        <v>17809</v>
      </c>
      <c r="C9381" s="9" t="s">
        <v>11484</v>
      </c>
      <c r="D9381" s="14" t="s">
        <v>17810</v>
      </c>
      <c r="E9381" s="9" t="s">
        <v>30</v>
      </c>
    </row>
    <row r="9382" spans="1:5" ht="15" customHeight="1" outlineLevel="2" x14ac:dyDescent="0.25">
      <c r="A9382" s="3" t="str">
        <f>HYPERLINK("http://mystore1.ru/price_items/search?utf8=%E2%9C%93&amp;oem=8273BCLH","8273BCLH")</f>
        <v>8273BCLH</v>
      </c>
      <c r="B9382" s="1" t="s">
        <v>17811</v>
      </c>
      <c r="C9382" s="9" t="s">
        <v>11484</v>
      </c>
      <c r="D9382" s="14" t="s">
        <v>17812</v>
      </c>
      <c r="E9382" s="9" t="s">
        <v>30</v>
      </c>
    </row>
    <row r="9383" spans="1:5" outlineLevel="1" x14ac:dyDescent="0.25">
      <c r="A9383" s="2"/>
      <c r="B9383" s="6" t="s">
        <v>17813</v>
      </c>
      <c r="C9383" s="8"/>
      <c r="D9383" s="8"/>
      <c r="E9383" s="8"/>
    </row>
    <row r="9384" spans="1:5" ht="15" customHeight="1" outlineLevel="2" x14ac:dyDescent="0.25">
      <c r="A9384" s="3" t="str">
        <f>HYPERLINK("http://mystore1.ru/price_items/search?utf8=%E2%9C%93&amp;oem=8298AGN","8298AGN")</f>
        <v>8298AGN</v>
      </c>
      <c r="B9384" s="1" t="s">
        <v>17814</v>
      </c>
      <c r="C9384" s="9" t="s">
        <v>2699</v>
      </c>
      <c r="D9384" s="14" t="s">
        <v>17815</v>
      </c>
      <c r="E9384" s="9" t="s">
        <v>8</v>
      </c>
    </row>
    <row r="9385" spans="1:5" ht="15" customHeight="1" outlineLevel="2" x14ac:dyDescent="0.25">
      <c r="A9385" s="3" t="str">
        <f>HYPERLINK("http://mystore1.ru/price_items/search?utf8=%E2%9C%93&amp;oem=8298ASMH","8298ASMH")</f>
        <v>8298ASMH</v>
      </c>
      <c r="B9385" s="1" t="s">
        <v>17816</v>
      </c>
      <c r="C9385" s="9" t="s">
        <v>25</v>
      </c>
      <c r="D9385" s="14" t="s">
        <v>17817</v>
      </c>
      <c r="E9385" s="9" t="s">
        <v>27</v>
      </c>
    </row>
    <row r="9386" spans="1:5" ht="15" customHeight="1" outlineLevel="2" x14ac:dyDescent="0.25">
      <c r="A9386" s="3" t="str">
        <f>HYPERLINK("http://mystore1.ru/price_items/search?utf8=%E2%9C%93&amp;oem=8298BGNH","8298BGNH")</f>
        <v>8298BGNH</v>
      </c>
      <c r="B9386" s="1" t="s">
        <v>17818</v>
      </c>
      <c r="C9386" s="9" t="s">
        <v>2699</v>
      </c>
      <c r="D9386" s="14" t="s">
        <v>17819</v>
      </c>
      <c r="E9386" s="9" t="s">
        <v>30</v>
      </c>
    </row>
    <row r="9387" spans="1:5" ht="15" customHeight="1" outlineLevel="2" x14ac:dyDescent="0.25">
      <c r="A9387" s="3" t="str">
        <f>HYPERLINK("http://mystore1.ru/price_items/search?utf8=%E2%9C%93&amp;oem=8298LGNH3FD1H","8298LGNH3FD1H")</f>
        <v>8298LGNH3FD1H</v>
      </c>
      <c r="B9387" s="1" t="s">
        <v>17820</v>
      </c>
      <c r="C9387" s="9" t="s">
        <v>2699</v>
      </c>
      <c r="D9387" s="14" t="s">
        <v>17821</v>
      </c>
      <c r="E9387" s="9" t="s">
        <v>11</v>
      </c>
    </row>
    <row r="9388" spans="1:5" ht="15" customHeight="1" outlineLevel="2" x14ac:dyDescent="0.25">
      <c r="A9388" s="3" t="str">
        <f>HYPERLINK("http://mystore1.ru/price_items/search?utf8=%E2%9C%93&amp;oem=8298LGNH5FD1H","8298LGNH5FD1H")</f>
        <v>8298LGNH5FD1H</v>
      </c>
      <c r="B9388" s="1" t="s">
        <v>17822</v>
      </c>
      <c r="C9388" s="9" t="s">
        <v>2699</v>
      </c>
      <c r="D9388" s="14" t="s">
        <v>17823</v>
      </c>
      <c r="E9388" s="9" t="s">
        <v>11</v>
      </c>
    </row>
    <row r="9389" spans="1:5" ht="15" customHeight="1" outlineLevel="2" x14ac:dyDescent="0.25">
      <c r="A9389" s="3" t="str">
        <f>HYPERLINK("http://mystore1.ru/price_items/search?utf8=%E2%9C%93&amp;oem=8298LGNH5RV","8298LGNH5RV")</f>
        <v>8298LGNH5RV</v>
      </c>
      <c r="B9389" s="1" t="s">
        <v>17824</v>
      </c>
      <c r="C9389" s="9" t="s">
        <v>2699</v>
      </c>
      <c r="D9389" s="14" t="s">
        <v>17825</v>
      </c>
      <c r="E9389" s="9" t="s">
        <v>11</v>
      </c>
    </row>
    <row r="9390" spans="1:5" ht="15" customHeight="1" outlineLevel="2" x14ac:dyDescent="0.25">
      <c r="A9390" s="3" t="str">
        <f>HYPERLINK("http://mystore1.ru/price_items/search?utf8=%E2%9C%93&amp;oem=8298RGNH3FD1H","8298RGNH3FD1H")</f>
        <v>8298RGNH3FD1H</v>
      </c>
      <c r="B9390" s="1" t="s">
        <v>17826</v>
      </c>
      <c r="C9390" s="9" t="s">
        <v>2699</v>
      </c>
      <c r="D9390" s="14" t="s">
        <v>17827</v>
      </c>
      <c r="E9390" s="9" t="s">
        <v>11</v>
      </c>
    </row>
    <row r="9391" spans="1:5" ht="15" customHeight="1" outlineLevel="2" x14ac:dyDescent="0.25">
      <c r="A9391" s="3" t="str">
        <f>HYPERLINK("http://mystore1.ru/price_items/search?utf8=%E2%9C%93&amp;oem=8298RGNH5FD1H","8298RGNH5FD1H")</f>
        <v>8298RGNH5FD1H</v>
      </c>
      <c r="B9391" s="1" t="s">
        <v>17828</v>
      </c>
      <c r="C9391" s="9" t="s">
        <v>2699</v>
      </c>
      <c r="D9391" s="14" t="s">
        <v>17829</v>
      </c>
      <c r="E9391" s="9" t="s">
        <v>11</v>
      </c>
    </row>
    <row r="9392" spans="1:5" ht="15" customHeight="1" outlineLevel="2" x14ac:dyDescent="0.25">
      <c r="A9392" s="3" t="str">
        <f>HYPERLINK("http://mystore1.ru/price_items/search?utf8=%E2%9C%93&amp;oem=8298RGNH5RV","8298RGNH5RV")</f>
        <v>8298RGNH5RV</v>
      </c>
      <c r="B9392" s="1" t="s">
        <v>17830</v>
      </c>
      <c r="C9392" s="9" t="s">
        <v>2699</v>
      </c>
      <c r="D9392" s="14" t="s">
        <v>17831</v>
      </c>
      <c r="E9392" s="9" t="s">
        <v>11</v>
      </c>
    </row>
    <row r="9393" spans="1:5" outlineLevel="1" x14ac:dyDescent="0.25">
      <c r="A9393" s="2"/>
      <c r="B9393" s="6" t="s">
        <v>17832</v>
      </c>
      <c r="C9393" s="8"/>
      <c r="D9393" s="8"/>
      <c r="E9393" s="8"/>
    </row>
    <row r="9394" spans="1:5" ht="15" customHeight="1" outlineLevel="2" x14ac:dyDescent="0.25">
      <c r="A9394" s="3" t="str">
        <f>HYPERLINK("http://mystore1.ru/price_items/search?utf8=%E2%9C%93&amp;oem=8257ABL","8257ABL")</f>
        <v>8257ABL</v>
      </c>
      <c r="B9394" s="1" t="s">
        <v>17833</v>
      </c>
      <c r="C9394" s="9" t="s">
        <v>5462</v>
      </c>
      <c r="D9394" s="14" t="s">
        <v>17834</v>
      </c>
      <c r="E9394" s="9" t="s">
        <v>8</v>
      </c>
    </row>
    <row r="9395" spans="1:5" outlineLevel="1" x14ac:dyDescent="0.25">
      <c r="A9395" s="2"/>
      <c r="B9395" s="6" t="s">
        <v>17835</v>
      </c>
      <c r="C9395" s="8"/>
      <c r="D9395" s="8"/>
      <c r="E9395" s="8"/>
    </row>
    <row r="9396" spans="1:5" ht="15" customHeight="1" outlineLevel="2" x14ac:dyDescent="0.25">
      <c r="A9396" s="3" t="str">
        <f>HYPERLINK("http://mystore1.ru/price_items/search?utf8=%E2%9C%93&amp;oem=8243ABL","8243ABL")</f>
        <v>8243ABL</v>
      </c>
      <c r="B9396" s="1" t="s">
        <v>17836</v>
      </c>
      <c r="C9396" s="9" t="s">
        <v>11664</v>
      </c>
      <c r="D9396" s="14" t="s">
        <v>17837</v>
      </c>
      <c r="E9396" s="9" t="s">
        <v>8</v>
      </c>
    </row>
    <row r="9397" spans="1:5" outlineLevel="1" x14ac:dyDescent="0.25">
      <c r="A9397" s="2"/>
      <c r="B9397" s="6" t="s">
        <v>17838</v>
      </c>
      <c r="C9397" s="8"/>
      <c r="D9397" s="8"/>
      <c r="E9397" s="8"/>
    </row>
    <row r="9398" spans="1:5" ht="15" customHeight="1" outlineLevel="2" x14ac:dyDescent="0.25">
      <c r="A9398" s="3" t="str">
        <f>HYPERLINK("http://mystore1.ru/price_items/search?utf8=%E2%9C%93&amp;oem=8310AGN","8310AGN")</f>
        <v>8310AGN</v>
      </c>
      <c r="B9398" s="1" t="s">
        <v>17839</v>
      </c>
      <c r="C9398" s="9" t="s">
        <v>2031</v>
      </c>
      <c r="D9398" s="14" t="s">
        <v>17840</v>
      </c>
      <c r="E9398" s="9" t="s">
        <v>8</v>
      </c>
    </row>
    <row r="9399" spans="1:5" ht="15" customHeight="1" outlineLevel="2" x14ac:dyDescent="0.25">
      <c r="A9399" s="3" t="str">
        <f>HYPERLINK("http://mystore1.ru/price_items/search?utf8=%E2%9C%93&amp;oem=8310AGN1C","8310AGN1C")</f>
        <v>8310AGN1C</v>
      </c>
      <c r="B9399" s="1" t="s">
        <v>17841</v>
      </c>
      <c r="C9399" s="9" t="s">
        <v>2031</v>
      </c>
      <c r="D9399" s="14" t="s">
        <v>17842</v>
      </c>
      <c r="E9399" s="9" t="s">
        <v>8</v>
      </c>
    </row>
    <row r="9400" spans="1:5" ht="15" customHeight="1" outlineLevel="2" x14ac:dyDescent="0.25">
      <c r="A9400" s="3" t="str">
        <f>HYPERLINK("http://mystore1.ru/price_items/search?utf8=%E2%9C%93&amp;oem=8310AGN2C","8310AGN2C")</f>
        <v>8310AGN2C</v>
      </c>
      <c r="B9400" s="1" t="s">
        <v>17843</v>
      </c>
      <c r="C9400" s="9" t="s">
        <v>2036</v>
      </c>
      <c r="D9400" s="14" t="s">
        <v>17844</v>
      </c>
      <c r="E9400" s="9" t="s">
        <v>8</v>
      </c>
    </row>
    <row r="9401" spans="1:5" ht="15" customHeight="1" outlineLevel="2" x14ac:dyDescent="0.25">
      <c r="A9401" s="3" t="str">
        <f>HYPERLINK("http://mystore1.ru/price_items/search?utf8=%E2%9C%93&amp;oem=8310AGNBL","8310AGNBL")</f>
        <v>8310AGNBL</v>
      </c>
      <c r="B9401" s="1" t="s">
        <v>17845</v>
      </c>
      <c r="C9401" s="9" t="s">
        <v>2031</v>
      </c>
      <c r="D9401" s="14" t="s">
        <v>17846</v>
      </c>
      <c r="E9401" s="9" t="s">
        <v>8</v>
      </c>
    </row>
    <row r="9402" spans="1:5" ht="15" customHeight="1" outlineLevel="2" x14ac:dyDescent="0.25">
      <c r="A9402" s="3" t="str">
        <f>HYPERLINK("http://mystore1.ru/price_items/search?utf8=%E2%9C%93&amp;oem=8310AGNGN1C","8310AGNGN1C")</f>
        <v>8310AGNGN1C</v>
      </c>
      <c r="B9402" s="1" t="s">
        <v>17847</v>
      </c>
      <c r="C9402" s="9" t="s">
        <v>2031</v>
      </c>
      <c r="D9402" s="14" t="s">
        <v>17848</v>
      </c>
      <c r="E9402" s="9" t="s">
        <v>8</v>
      </c>
    </row>
    <row r="9403" spans="1:5" ht="15" customHeight="1" outlineLevel="2" x14ac:dyDescent="0.25">
      <c r="A9403" s="3" t="str">
        <f>HYPERLINK("http://mystore1.ru/price_items/search?utf8=%E2%9C%93&amp;oem=8310ASMH","8310ASMH")</f>
        <v>8310ASMH</v>
      </c>
      <c r="B9403" s="1" t="s">
        <v>17849</v>
      </c>
      <c r="C9403" s="9" t="s">
        <v>25</v>
      </c>
      <c r="D9403" s="14" t="s">
        <v>17850</v>
      </c>
      <c r="E9403" s="9" t="s">
        <v>27</v>
      </c>
    </row>
    <row r="9404" spans="1:5" ht="15" customHeight="1" outlineLevel="2" x14ac:dyDescent="0.25">
      <c r="A9404" s="3" t="str">
        <f>HYPERLINK("http://mystore1.ru/price_items/search?utf8=%E2%9C%93&amp;oem=8310BGNHZ","8310BGNHZ")</f>
        <v>8310BGNHZ</v>
      </c>
      <c r="B9404" s="1" t="s">
        <v>17851</v>
      </c>
      <c r="C9404" s="9" t="s">
        <v>2031</v>
      </c>
      <c r="D9404" s="14" t="s">
        <v>17852</v>
      </c>
      <c r="E9404" s="9" t="s">
        <v>30</v>
      </c>
    </row>
    <row r="9405" spans="1:5" ht="15" customHeight="1" outlineLevel="2" x14ac:dyDescent="0.25">
      <c r="A9405" s="3" t="str">
        <f>HYPERLINK("http://mystore1.ru/price_items/search?utf8=%E2%9C%93&amp;oem=8310LGNH3FDW","8310LGNH3FDW")</f>
        <v>8310LGNH3FDW</v>
      </c>
      <c r="B9405" s="1" t="s">
        <v>17853</v>
      </c>
      <c r="C9405" s="9" t="s">
        <v>2031</v>
      </c>
      <c r="D9405" s="14" t="s">
        <v>17854</v>
      </c>
      <c r="E9405" s="9" t="s">
        <v>11</v>
      </c>
    </row>
    <row r="9406" spans="1:5" ht="15" customHeight="1" outlineLevel="2" x14ac:dyDescent="0.25">
      <c r="A9406" s="3" t="str">
        <f>HYPERLINK("http://mystore1.ru/price_items/search?utf8=%E2%9C%93&amp;oem=8310LGNH3RQ","8310LGNH3RQ")</f>
        <v>8310LGNH3RQ</v>
      </c>
      <c r="B9406" s="1" t="s">
        <v>17855</v>
      </c>
      <c r="C9406" s="9" t="s">
        <v>2031</v>
      </c>
      <c r="D9406" s="14" t="s">
        <v>17856</v>
      </c>
      <c r="E9406" s="9" t="s">
        <v>11</v>
      </c>
    </row>
    <row r="9407" spans="1:5" ht="15" customHeight="1" outlineLevel="2" x14ac:dyDescent="0.25">
      <c r="A9407" s="3" t="str">
        <f>HYPERLINK("http://mystore1.ru/price_items/search?utf8=%E2%9C%93&amp;oem=8310LGNH5FDW","8310LGNH5FDW")</f>
        <v>8310LGNH5FDW</v>
      </c>
      <c r="B9407" s="1" t="s">
        <v>17857</v>
      </c>
      <c r="C9407" s="9" t="s">
        <v>2031</v>
      </c>
      <c r="D9407" s="14" t="s">
        <v>17858</v>
      </c>
      <c r="E9407" s="9" t="s">
        <v>11</v>
      </c>
    </row>
    <row r="9408" spans="1:5" ht="15" customHeight="1" outlineLevel="2" x14ac:dyDescent="0.25">
      <c r="A9408" s="3" t="str">
        <f>HYPERLINK("http://mystore1.ru/price_items/search?utf8=%E2%9C%93&amp;oem=8310LGNH5RD","8310LGNH5RD")</f>
        <v>8310LGNH5RD</v>
      </c>
      <c r="B9408" s="1" t="s">
        <v>17859</v>
      </c>
      <c r="C9408" s="9" t="s">
        <v>2031</v>
      </c>
      <c r="D9408" s="14" t="s">
        <v>17860</v>
      </c>
      <c r="E9408" s="9" t="s">
        <v>11</v>
      </c>
    </row>
    <row r="9409" spans="1:5" ht="15" customHeight="1" outlineLevel="2" x14ac:dyDescent="0.25">
      <c r="A9409" s="3" t="str">
        <f>HYPERLINK("http://mystore1.ru/price_items/search?utf8=%E2%9C%93&amp;oem=8310LGNH5RV","8310LGNH5RV")</f>
        <v>8310LGNH5RV</v>
      </c>
      <c r="B9409" s="1" t="s">
        <v>17861</v>
      </c>
      <c r="C9409" s="9" t="s">
        <v>2031</v>
      </c>
      <c r="D9409" s="14" t="s">
        <v>17862</v>
      </c>
      <c r="E9409" s="9" t="s">
        <v>11</v>
      </c>
    </row>
    <row r="9410" spans="1:5" ht="15" customHeight="1" outlineLevel="2" x14ac:dyDescent="0.25">
      <c r="A9410" s="3" t="str">
        <f>HYPERLINK("http://mystore1.ru/price_items/search?utf8=%E2%9C%93&amp;oem=8310RGNH3FDW","8310RGNH3FDW")</f>
        <v>8310RGNH3FDW</v>
      </c>
      <c r="B9410" s="1" t="s">
        <v>17863</v>
      </c>
      <c r="C9410" s="9" t="s">
        <v>2031</v>
      </c>
      <c r="D9410" s="14" t="s">
        <v>17864</v>
      </c>
      <c r="E9410" s="9" t="s">
        <v>11</v>
      </c>
    </row>
    <row r="9411" spans="1:5" ht="15" customHeight="1" outlineLevel="2" x14ac:dyDescent="0.25">
      <c r="A9411" s="3" t="str">
        <f>HYPERLINK("http://mystore1.ru/price_items/search?utf8=%E2%9C%93&amp;oem=8310RGNH3RQ","8310RGNH3RQ")</f>
        <v>8310RGNH3RQ</v>
      </c>
      <c r="B9411" s="1" t="s">
        <v>17865</v>
      </c>
      <c r="C9411" s="9" t="s">
        <v>2031</v>
      </c>
      <c r="D9411" s="14" t="s">
        <v>17866</v>
      </c>
      <c r="E9411" s="9" t="s">
        <v>11</v>
      </c>
    </row>
    <row r="9412" spans="1:5" ht="15" customHeight="1" outlineLevel="2" x14ac:dyDescent="0.25">
      <c r="A9412" s="3" t="str">
        <f>HYPERLINK("http://mystore1.ru/price_items/search?utf8=%E2%9C%93&amp;oem=8310RGNH5FDW","8310RGNH5FDW")</f>
        <v>8310RGNH5FDW</v>
      </c>
      <c r="B9412" s="1" t="s">
        <v>17867</v>
      </c>
      <c r="C9412" s="9" t="s">
        <v>2031</v>
      </c>
      <c r="D9412" s="14" t="s">
        <v>17868</v>
      </c>
      <c r="E9412" s="9" t="s">
        <v>11</v>
      </c>
    </row>
    <row r="9413" spans="1:5" ht="15" customHeight="1" outlineLevel="2" x14ac:dyDescent="0.25">
      <c r="A9413" s="3" t="str">
        <f>HYPERLINK("http://mystore1.ru/price_items/search?utf8=%E2%9C%93&amp;oem=8310RGNH5RD","8310RGNH5RD")</f>
        <v>8310RGNH5RD</v>
      </c>
      <c r="B9413" s="1" t="s">
        <v>17869</v>
      </c>
      <c r="C9413" s="9" t="s">
        <v>2031</v>
      </c>
      <c r="D9413" s="14" t="s">
        <v>17870</v>
      </c>
      <c r="E9413" s="9" t="s">
        <v>11</v>
      </c>
    </row>
    <row r="9414" spans="1:5" ht="15" customHeight="1" outlineLevel="2" x14ac:dyDescent="0.25">
      <c r="A9414" s="3" t="str">
        <f>HYPERLINK("http://mystore1.ru/price_items/search?utf8=%E2%9C%93&amp;oem=8310RGNH5RV","8310RGNH5RV")</f>
        <v>8310RGNH5RV</v>
      </c>
      <c r="B9414" s="1" t="s">
        <v>17871</v>
      </c>
      <c r="C9414" s="9" t="s">
        <v>2031</v>
      </c>
      <c r="D9414" s="14" t="s">
        <v>17872</v>
      </c>
      <c r="E9414" s="9" t="s">
        <v>11</v>
      </c>
    </row>
    <row r="9415" spans="1:5" outlineLevel="1" x14ac:dyDescent="0.25">
      <c r="A9415" s="2"/>
      <c r="B9415" s="6" t="s">
        <v>17873</v>
      </c>
      <c r="C9415" s="8"/>
      <c r="D9415" s="8"/>
      <c r="E9415" s="8"/>
    </row>
    <row r="9416" spans="1:5" ht="15" customHeight="1" outlineLevel="2" x14ac:dyDescent="0.25">
      <c r="A9416" s="3" t="str">
        <f>HYPERLINK("http://mystore1.ru/price_items/search?utf8=%E2%9C%93&amp;oem=8370AGNZ","8370AGNZ")</f>
        <v>8370AGNZ</v>
      </c>
      <c r="B9416" s="1" t="s">
        <v>17874</v>
      </c>
      <c r="C9416" s="9" t="s">
        <v>1722</v>
      </c>
      <c r="D9416" s="14" t="s">
        <v>17875</v>
      </c>
      <c r="E9416" s="9" t="s">
        <v>8</v>
      </c>
    </row>
    <row r="9417" spans="1:5" ht="15" customHeight="1" outlineLevel="2" x14ac:dyDescent="0.25">
      <c r="A9417" s="3" t="str">
        <f>HYPERLINK("http://mystore1.ru/price_items/search?utf8=%E2%9C%93&amp;oem=8370AGSZ1C","8370AGSZ1C")</f>
        <v>8370AGSZ1C</v>
      </c>
      <c r="B9417" s="1" t="s">
        <v>17876</v>
      </c>
      <c r="C9417" s="9" t="s">
        <v>1722</v>
      </c>
      <c r="D9417" s="14" t="s">
        <v>17877</v>
      </c>
      <c r="E9417" s="9" t="s">
        <v>8</v>
      </c>
    </row>
    <row r="9418" spans="1:5" ht="15" customHeight="1" outlineLevel="2" x14ac:dyDescent="0.25">
      <c r="A9418" s="3" t="str">
        <f>HYPERLINK("http://mystore1.ru/price_items/search?utf8=%E2%9C%93&amp;oem=8370LGSH3FDW","8370LGSH3FDW")</f>
        <v>8370LGSH3FDW</v>
      </c>
      <c r="B9418" s="1" t="s">
        <v>17878</v>
      </c>
      <c r="C9418" s="9" t="s">
        <v>1722</v>
      </c>
      <c r="D9418" s="14" t="s">
        <v>17879</v>
      </c>
      <c r="E9418" s="9" t="s">
        <v>11</v>
      </c>
    </row>
    <row r="9419" spans="1:5" ht="15" customHeight="1" outlineLevel="2" x14ac:dyDescent="0.25">
      <c r="A9419" s="3" t="str">
        <f>HYPERLINK("http://mystore1.ru/price_items/search?utf8=%E2%9C%93&amp;oem=8370RGSH3RQ","8370RGSH3RQ")</f>
        <v>8370RGSH3RQ</v>
      </c>
      <c r="B9419" s="1" t="s">
        <v>17880</v>
      </c>
      <c r="C9419" s="9" t="s">
        <v>1722</v>
      </c>
      <c r="D9419" s="14" t="s">
        <v>17881</v>
      </c>
      <c r="E9419" s="9" t="s">
        <v>11</v>
      </c>
    </row>
    <row r="9420" spans="1:5" ht="15" customHeight="1" outlineLevel="2" x14ac:dyDescent="0.25">
      <c r="A9420" s="3" t="str">
        <f>HYPERLINK("http://mystore1.ru/price_items/search?utf8=%E2%9C%93&amp;oem=8370LGNH5FDW","8370LGNH5FDW")</f>
        <v>8370LGNH5FDW</v>
      </c>
      <c r="B9420" s="1" t="s">
        <v>17882</v>
      </c>
      <c r="C9420" s="9" t="s">
        <v>1722</v>
      </c>
      <c r="D9420" s="14" t="s">
        <v>17883</v>
      </c>
      <c r="E9420" s="9" t="s">
        <v>11</v>
      </c>
    </row>
    <row r="9421" spans="1:5" ht="15" customHeight="1" outlineLevel="2" x14ac:dyDescent="0.25">
      <c r="A9421" s="3" t="str">
        <f>HYPERLINK("http://mystore1.ru/price_items/search?utf8=%E2%9C%93&amp;oem=8370LGSH5RDW","8370LGSH5RDW")</f>
        <v>8370LGSH5RDW</v>
      </c>
      <c r="B9421" s="1" t="s">
        <v>17884</v>
      </c>
      <c r="C9421" s="9" t="s">
        <v>1722</v>
      </c>
      <c r="D9421" s="14" t="s">
        <v>17885</v>
      </c>
      <c r="E9421" s="9" t="s">
        <v>11</v>
      </c>
    </row>
    <row r="9422" spans="1:5" ht="15" customHeight="1" outlineLevel="2" x14ac:dyDescent="0.25">
      <c r="A9422" s="3" t="str">
        <f>HYPERLINK("http://mystore1.ru/price_items/search?utf8=%E2%9C%93&amp;oem=8370LGSH5RV","8370LGSH5RV")</f>
        <v>8370LGSH5RV</v>
      </c>
      <c r="B9422" s="1" t="s">
        <v>17886</v>
      </c>
      <c r="C9422" s="9" t="s">
        <v>1722</v>
      </c>
      <c r="D9422" s="14" t="s">
        <v>17887</v>
      </c>
      <c r="E9422" s="9" t="s">
        <v>11</v>
      </c>
    </row>
    <row r="9423" spans="1:5" ht="15" customHeight="1" outlineLevel="2" x14ac:dyDescent="0.25">
      <c r="A9423" s="3" t="str">
        <f>HYPERLINK("http://mystore1.ru/price_items/search?utf8=%E2%9C%93&amp;oem=8370LYPH5RV","8370LYPH5RV")</f>
        <v>8370LYPH5RV</v>
      </c>
      <c r="B9423" s="1" t="s">
        <v>17888</v>
      </c>
      <c r="C9423" s="9" t="s">
        <v>1722</v>
      </c>
      <c r="D9423" s="14" t="s">
        <v>17889</v>
      </c>
      <c r="E9423" s="9" t="s">
        <v>11</v>
      </c>
    </row>
    <row r="9424" spans="1:5" ht="15" customHeight="1" outlineLevel="2" x14ac:dyDescent="0.25">
      <c r="A9424" s="3" t="str">
        <f>HYPERLINK("http://mystore1.ru/price_items/search?utf8=%E2%9C%93&amp;oem=8370RGSH3FDW","8370RGSH3FDW")</f>
        <v>8370RGSH3FDW</v>
      </c>
      <c r="B9424" s="1" t="s">
        <v>17890</v>
      </c>
      <c r="C9424" s="9" t="s">
        <v>1722</v>
      </c>
      <c r="D9424" s="14" t="s">
        <v>17891</v>
      </c>
      <c r="E9424" s="9" t="s">
        <v>11</v>
      </c>
    </row>
    <row r="9425" spans="1:5" ht="15" customHeight="1" outlineLevel="2" x14ac:dyDescent="0.25">
      <c r="A9425" s="3" t="str">
        <f>HYPERLINK("http://mystore1.ru/price_items/search?utf8=%E2%9C%93&amp;oem=8370LGSH3RQ","8370LGSH3RQ")</f>
        <v>8370LGSH3RQ</v>
      </c>
      <c r="B9425" s="1" t="s">
        <v>17892</v>
      </c>
      <c r="C9425" s="9" t="s">
        <v>1722</v>
      </c>
      <c r="D9425" s="14" t="s">
        <v>17893</v>
      </c>
      <c r="E9425" s="9" t="s">
        <v>11</v>
      </c>
    </row>
    <row r="9426" spans="1:5" ht="15" customHeight="1" outlineLevel="2" x14ac:dyDescent="0.25">
      <c r="A9426" s="3" t="str">
        <f>HYPERLINK("http://mystore1.ru/price_items/search?utf8=%E2%9C%93&amp;oem=8370RGNH5FDW","8370RGNH5FDW")</f>
        <v>8370RGNH5FDW</v>
      </c>
      <c r="B9426" s="1" t="s">
        <v>17894</v>
      </c>
      <c r="C9426" s="9" t="s">
        <v>1722</v>
      </c>
      <c r="D9426" s="14" t="s">
        <v>17895</v>
      </c>
      <c r="E9426" s="9" t="s">
        <v>11</v>
      </c>
    </row>
    <row r="9427" spans="1:5" ht="15" customHeight="1" outlineLevel="2" x14ac:dyDescent="0.25">
      <c r="A9427" s="3" t="str">
        <f>HYPERLINK("http://mystore1.ru/price_items/search?utf8=%E2%9C%93&amp;oem=8370RGSH5RDW","8370RGSH5RDW")</f>
        <v>8370RGSH5RDW</v>
      </c>
      <c r="B9427" s="1" t="s">
        <v>17896</v>
      </c>
      <c r="C9427" s="9" t="s">
        <v>1722</v>
      </c>
      <c r="D9427" s="14" t="s">
        <v>17897</v>
      </c>
      <c r="E9427" s="9" t="s">
        <v>11</v>
      </c>
    </row>
    <row r="9428" spans="1:5" ht="15" customHeight="1" outlineLevel="2" x14ac:dyDescent="0.25">
      <c r="A9428" s="3" t="str">
        <f>HYPERLINK("http://mystore1.ru/price_items/search?utf8=%E2%9C%93&amp;oem=8370RGSH5RV","8370RGSH5RV")</f>
        <v>8370RGSH5RV</v>
      </c>
      <c r="B9428" s="1" t="s">
        <v>17898</v>
      </c>
      <c r="C9428" s="9" t="s">
        <v>1722</v>
      </c>
      <c r="D9428" s="14" t="s">
        <v>17899</v>
      </c>
      <c r="E9428" s="9" t="s">
        <v>11</v>
      </c>
    </row>
    <row r="9429" spans="1:5" ht="15" customHeight="1" outlineLevel="2" x14ac:dyDescent="0.25">
      <c r="A9429" s="3" t="str">
        <f>HYPERLINK("http://mystore1.ru/price_items/search?utf8=%E2%9C%93&amp;oem=8370RYPH5RV","8370RYPH5RV")</f>
        <v>8370RYPH5RV</v>
      </c>
      <c r="B9429" s="1" t="s">
        <v>17900</v>
      </c>
      <c r="C9429" s="9" t="s">
        <v>1722</v>
      </c>
      <c r="D9429" s="14" t="s">
        <v>17901</v>
      </c>
      <c r="E9429" s="9" t="s">
        <v>11</v>
      </c>
    </row>
    <row r="9430" spans="1:5" outlineLevel="1" x14ac:dyDescent="0.25">
      <c r="A9430" s="2"/>
      <c r="B9430" s="6" t="s">
        <v>17902</v>
      </c>
      <c r="C9430" s="8"/>
      <c r="D9430" s="8"/>
      <c r="E9430" s="8"/>
    </row>
    <row r="9431" spans="1:5" ht="15" customHeight="1" outlineLevel="2" x14ac:dyDescent="0.25">
      <c r="A9431" s="3" t="str">
        <f>HYPERLINK("http://mystore1.ru/price_items/search?utf8=%E2%9C%93&amp;oem=8317AGN","8317AGN")</f>
        <v>8317AGN</v>
      </c>
      <c r="B9431" s="1" t="s">
        <v>17903</v>
      </c>
      <c r="C9431" s="9" t="s">
        <v>7022</v>
      </c>
      <c r="D9431" s="14" t="s">
        <v>17904</v>
      </c>
      <c r="E9431" s="9" t="s">
        <v>8</v>
      </c>
    </row>
    <row r="9432" spans="1:5" ht="15" customHeight="1" outlineLevel="2" x14ac:dyDescent="0.25">
      <c r="A9432" s="3" t="str">
        <f>HYPERLINK("http://mystore1.ru/price_items/search?utf8=%E2%9C%93&amp;oem=8317AGN1P","8317AGN1P")</f>
        <v>8317AGN1P</v>
      </c>
      <c r="B9432" s="1" t="s">
        <v>17905</v>
      </c>
      <c r="C9432" s="9" t="s">
        <v>7022</v>
      </c>
      <c r="D9432" s="14" t="s">
        <v>17906</v>
      </c>
      <c r="E9432" s="9" t="s">
        <v>8</v>
      </c>
    </row>
    <row r="9433" spans="1:5" ht="15" customHeight="1" outlineLevel="2" x14ac:dyDescent="0.25">
      <c r="A9433" s="3" t="str">
        <f>HYPERLINK("http://mystore1.ru/price_items/search?utf8=%E2%9C%93&amp;oem=8317ASMV","8317ASMV")</f>
        <v>8317ASMV</v>
      </c>
      <c r="B9433" s="1" t="s">
        <v>17907</v>
      </c>
      <c r="C9433" s="9" t="s">
        <v>25</v>
      </c>
      <c r="D9433" s="14" t="s">
        <v>17908</v>
      </c>
      <c r="E9433" s="9" t="s">
        <v>27</v>
      </c>
    </row>
    <row r="9434" spans="1:5" ht="15" customHeight="1" outlineLevel="2" x14ac:dyDescent="0.25">
      <c r="A9434" s="3" t="str">
        <f>HYPERLINK("http://mystore1.ru/price_items/search?utf8=%E2%9C%93&amp;oem=8317BGNV","8317BGNV")</f>
        <v>8317BGNV</v>
      </c>
      <c r="B9434" s="1" t="s">
        <v>17909</v>
      </c>
      <c r="C9434" s="9" t="s">
        <v>7022</v>
      </c>
      <c r="D9434" s="14" t="s">
        <v>17910</v>
      </c>
      <c r="E9434" s="9" t="s">
        <v>30</v>
      </c>
    </row>
    <row r="9435" spans="1:5" ht="15" customHeight="1" outlineLevel="2" x14ac:dyDescent="0.25">
      <c r="A9435" s="3" t="str">
        <f>HYPERLINK("http://mystore1.ru/price_items/search?utf8=%E2%9C%93&amp;oem=8317LGNV5FDW","8317LGNV5FDW")</f>
        <v>8317LGNV5FDW</v>
      </c>
      <c r="B9435" s="1" t="s">
        <v>17911</v>
      </c>
      <c r="C9435" s="9" t="s">
        <v>7022</v>
      </c>
      <c r="D9435" s="14" t="s">
        <v>17912</v>
      </c>
      <c r="E9435" s="9" t="s">
        <v>11</v>
      </c>
    </row>
    <row r="9436" spans="1:5" ht="15" customHeight="1" outlineLevel="2" x14ac:dyDescent="0.25">
      <c r="A9436" s="3" t="str">
        <f>HYPERLINK("http://mystore1.ru/price_items/search?utf8=%E2%9C%93&amp;oem=8317LGNV5RDW","8317LGNV5RDW")</f>
        <v>8317LGNV5RDW</v>
      </c>
      <c r="B9436" s="1" t="s">
        <v>17913</v>
      </c>
      <c r="C9436" s="9" t="s">
        <v>7022</v>
      </c>
      <c r="D9436" s="14" t="s">
        <v>17914</v>
      </c>
      <c r="E9436" s="9" t="s">
        <v>11</v>
      </c>
    </row>
    <row r="9437" spans="1:5" ht="15" customHeight="1" outlineLevel="2" x14ac:dyDescent="0.25">
      <c r="A9437" s="3" t="str">
        <f>HYPERLINK("http://mystore1.ru/price_items/search?utf8=%E2%9C%93&amp;oem=8317LGNV5RQ","8317LGNV5RQ")</f>
        <v>8317LGNV5RQ</v>
      </c>
      <c r="B9437" s="1" t="s">
        <v>17915</v>
      </c>
      <c r="C9437" s="9" t="s">
        <v>7022</v>
      </c>
      <c r="D9437" s="14" t="s">
        <v>17916</v>
      </c>
      <c r="E9437" s="9" t="s">
        <v>11</v>
      </c>
    </row>
    <row r="9438" spans="1:5" ht="15" customHeight="1" outlineLevel="2" x14ac:dyDescent="0.25">
      <c r="A9438" s="3" t="str">
        <f>HYPERLINK("http://mystore1.ru/price_items/search?utf8=%E2%9C%93&amp;oem=8317RGNV5FDW","8317RGNV5FDW")</f>
        <v>8317RGNV5FDW</v>
      </c>
      <c r="B9438" s="1" t="s">
        <v>17917</v>
      </c>
      <c r="C9438" s="9" t="s">
        <v>7022</v>
      </c>
      <c r="D9438" s="14" t="s">
        <v>17918</v>
      </c>
      <c r="E9438" s="9" t="s">
        <v>11</v>
      </c>
    </row>
    <row r="9439" spans="1:5" ht="15" customHeight="1" outlineLevel="2" x14ac:dyDescent="0.25">
      <c r="A9439" s="3" t="str">
        <f>HYPERLINK("http://mystore1.ru/price_items/search?utf8=%E2%9C%93&amp;oem=8317RGNV5RDW","8317RGNV5RDW")</f>
        <v>8317RGNV5RDW</v>
      </c>
      <c r="B9439" s="1" t="s">
        <v>17919</v>
      </c>
      <c r="C9439" s="9" t="s">
        <v>7022</v>
      </c>
      <c r="D9439" s="14" t="s">
        <v>17920</v>
      </c>
      <c r="E9439" s="9" t="s">
        <v>11</v>
      </c>
    </row>
    <row r="9440" spans="1:5" ht="15" customHeight="1" outlineLevel="2" x14ac:dyDescent="0.25">
      <c r="A9440" s="3" t="str">
        <f>HYPERLINK("http://mystore1.ru/price_items/search?utf8=%E2%9C%93&amp;oem=8317RGNV5RQ","8317RGNV5RQ")</f>
        <v>8317RGNV5RQ</v>
      </c>
      <c r="B9440" s="1" t="s">
        <v>17921</v>
      </c>
      <c r="C9440" s="9" t="s">
        <v>7022</v>
      </c>
      <c r="D9440" s="14" t="s">
        <v>17922</v>
      </c>
      <c r="E9440" s="9" t="s">
        <v>11</v>
      </c>
    </row>
    <row r="9441" spans="1:5" outlineLevel="1" x14ac:dyDescent="0.25">
      <c r="A9441" s="2"/>
      <c r="B9441" s="6" t="s">
        <v>17902</v>
      </c>
      <c r="C9441" s="8"/>
      <c r="D9441" s="8"/>
      <c r="E9441" s="8"/>
    </row>
    <row r="9442" spans="1:5" outlineLevel="2" x14ac:dyDescent="0.25">
      <c r="A9442" s="3" t="str">
        <f>HYPERLINK("http://mystore1.ru/price_items/search?utf8=%E2%9C%93&amp;oem=OLD-8320AGNB","OLD-8320AGNB")</f>
        <v>OLD-8320AGNB</v>
      </c>
      <c r="B9442" s="1" t="s">
        <v>17923</v>
      </c>
      <c r="C9442" s="9" t="s">
        <v>7022</v>
      </c>
      <c r="D9442" s="14" t="s">
        <v>17924</v>
      </c>
      <c r="E9442" s="9" t="s">
        <v>8</v>
      </c>
    </row>
    <row r="9443" spans="1:5" outlineLevel="2" x14ac:dyDescent="0.25">
      <c r="A9443" s="3" t="str">
        <f>HYPERLINK("http://mystore1.ru/price_items/search?utf8=%E2%9C%93&amp;oem=8320AGN1P","8320AGN1P")</f>
        <v>8320AGN1P</v>
      </c>
      <c r="B9443" s="1" t="s">
        <v>17925</v>
      </c>
      <c r="C9443" s="9" t="s">
        <v>7022</v>
      </c>
      <c r="D9443" s="14" t="s">
        <v>17926</v>
      </c>
      <c r="E9443" s="9" t="s">
        <v>8</v>
      </c>
    </row>
    <row r="9444" spans="1:5" x14ac:dyDescent="0.25">
      <c r="A9444" s="61" t="s">
        <v>17927</v>
      </c>
      <c r="B9444" s="61"/>
      <c r="C9444" s="61"/>
      <c r="D9444" s="61"/>
      <c r="E9444" s="61"/>
    </row>
    <row r="9445" spans="1:5" outlineLevel="1" x14ac:dyDescent="0.25">
      <c r="A9445" s="2"/>
      <c r="B9445" s="6" t="s">
        <v>17928</v>
      </c>
      <c r="C9445" s="8"/>
      <c r="D9445" s="8"/>
      <c r="E9445" s="8"/>
    </row>
    <row r="9446" spans="1:5" ht="15" customHeight="1" outlineLevel="2" x14ac:dyDescent="0.25">
      <c r="A9446" s="3" t="str">
        <f>HYPERLINK("http://mystore1.ru/price_items/search?utf8=%E2%9C%93&amp;oem=8609AGSVW1B","8609AGSVW1B")</f>
        <v>8609AGSVW1B</v>
      </c>
      <c r="B9446" s="1" t="s">
        <v>17929</v>
      </c>
      <c r="C9446" s="9" t="s">
        <v>601</v>
      </c>
      <c r="D9446" s="14" t="s">
        <v>17930</v>
      </c>
      <c r="E9446" s="9" t="s">
        <v>8</v>
      </c>
    </row>
    <row r="9447" spans="1:5" outlineLevel="1" x14ac:dyDescent="0.25">
      <c r="A9447" s="2"/>
      <c r="B9447" s="6" t="s">
        <v>17931</v>
      </c>
      <c r="C9447" s="8"/>
      <c r="D9447" s="8"/>
      <c r="E9447" s="8"/>
    </row>
    <row r="9448" spans="1:5" ht="15" customHeight="1" outlineLevel="2" x14ac:dyDescent="0.25">
      <c r="A9448" s="3" t="str">
        <f>HYPERLINK("http://mystore1.ru/price_items/search?utf8=%E2%9C%93&amp;oem=8515ACL","8515ACL")</f>
        <v>8515ACL</v>
      </c>
      <c r="B9448" s="1" t="s">
        <v>17932</v>
      </c>
      <c r="C9448" s="9" t="s">
        <v>17933</v>
      </c>
      <c r="D9448" s="14" t="s">
        <v>17934</v>
      </c>
      <c r="E9448" s="9" t="s">
        <v>8</v>
      </c>
    </row>
    <row r="9449" spans="1:5" ht="15" customHeight="1" outlineLevel="2" x14ac:dyDescent="0.25">
      <c r="A9449" s="3" t="str">
        <f>HYPERLINK("http://mystore1.ru/price_items/search?utf8=%E2%9C%93&amp;oem=8515ASRS","8515ASRS")</f>
        <v>8515ASRS</v>
      </c>
      <c r="B9449" s="1" t="s">
        <v>17935</v>
      </c>
      <c r="C9449" s="9" t="s">
        <v>25</v>
      </c>
      <c r="D9449" s="14" t="s">
        <v>17936</v>
      </c>
      <c r="E9449" s="9" t="s">
        <v>27</v>
      </c>
    </row>
    <row r="9450" spans="1:5" outlineLevel="1" x14ac:dyDescent="0.25">
      <c r="A9450" s="2"/>
      <c r="B9450" s="6" t="s">
        <v>17937</v>
      </c>
      <c r="C9450" s="8"/>
      <c r="D9450" s="8"/>
      <c r="E9450" s="8"/>
    </row>
    <row r="9451" spans="1:5" ht="15" customHeight="1" outlineLevel="2" x14ac:dyDescent="0.25">
      <c r="A9451" s="3" t="str">
        <f>HYPERLINK("http://mystore1.ru/price_items/search?utf8=%E2%9C%93&amp;oem=8506ACL","8506ACL")</f>
        <v>8506ACL</v>
      </c>
      <c r="B9451" s="1" t="s">
        <v>17938</v>
      </c>
      <c r="C9451" s="9" t="s">
        <v>17939</v>
      </c>
      <c r="D9451" s="14" t="s">
        <v>17940</v>
      </c>
      <c r="E9451" s="9" t="s">
        <v>8</v>
      </c>
    </row>
    <row r="9452" spans="1:5" ht="15" customHeight="1" outlineLevel="2" x14ac:dyDescent="0.25">
      <c r="A9452" s="3" t="str">
        <f>HYPERLINK("http://mystore1.ru/price_items/search?utf8=%E2%9C%93&amp;oem=8506ASRS","8506ASRS")</f>
        <v>8506ASRS</v>
      </c>
      <c r="B9452" s="1" t="s">
        <v>17941</v>
      </c>
      <c r="C9452" s="9" t="s">
        <v>25</v>
      </c>
      <c r="D9452" s="14" t="s">
        <v>17942</v>
      </c>
      <c r="E9452" s="9" t="s">
        <v>27</v>
      </c>
    </row>
    <row r="9453" spans="1:5" outlineLevel="1" x14ac:dyDescent="0.25">
      <c r="A9453" s="2"/>
      <c r="B9453" s="6" t="s">
        <v>17943</v>
      </c>
      <c r="C9453" s="8"/>
      <c r="D9453" s="8"/>
      <c r="E9453" s="8"/>
    </row>
    <row r="9454" spans="1:5" ht="15" customHeight="1" outlineLevel="2" x14ac:dyDescent="0.25">
      <c r="A9454" s="3" t="str">
        <f>HYPERLINK("http://mystore1.ru/price_items/search?utf8=%E2%9C%93&amp;oem=8559AGNGYZ","8559AGNGYZ")</f>
        <v>8559AGNGYZ</v>
      </c>
      <c r="B9454" s="1" t="s">
        <v>17944</v>
      </c>
      <c r="C9454" s="9" t="s">
        <v>1171</v>
      </c>
      <c r="D9454" s="14" t="s">
        <v>17945</v>
      </c>
      <c r="E9454" s="9" t="s">
        <v>8</v>
      </c>
    </row>
    <row r="9455" spans="1:5" ht="15" customHeight="1" outlineLevel="2" x14ac:dyDescent="0.25">
      <c r="A9455" s="3" t="str">
        <f>HYPERLINK("http://mystore1.ru/price_items/search?utf8=%E2%9C%93&amp;oem=8559BGNSZ","8559BGNSZ")</f>
        <v>8559BGNSZ</v>
      </c>
      <c r="B9455" s="1" t="s">
        <v>17946</v>
      </c>
      <c r="C9455" s="9" t="s">
        <v>1171</v>
      </c>
      <c r="D9455" s="14" t="s">
        <v>17947</v>
      </c>
      <c r="E9455" s="9" t="s">
        <v>30</v>
      </c>
    </row>
    <row r="9456" spans="1:5" ht="15" customHeight="1" outlineLevel="2" x14ac:dyDescent="0.25">
      <c r="A9456" s="3" t="str">
        <f>HYPERLINK("http://mystore1.ru/price_items/search?utf8=%E2%9C%93&amp;oem=8559LGNS2FD","8559LGNS2FD")</f>
        <v>8559LGNS2FD</v>
      </c>
      <c r="B9456" s="1" t="s">
        <v>17948</v>
      </c>
      <c r="C9456" s="9" t="s">
        <v>1171</v>
      </c>
      <c r="D9456" s="14" t="s">
        <v>17949</v>
      </c>
      <c r="E9456" s="9" t="s">
        <v>11</v>
      </c>
    </row>
    <row r="9457" spans="1:5" ht="15" customHeight="1" outlineLevel="2" x14ac:dyDescent="0.25">
      <c r="A9457" s="3" t="str">
        <f>HYPERLINK("http://mystore1.ru/price_items/search?utf8=%E2%9C%93&amp;oem=8559RGNS2FD","8559RGNS2FD")</f>
        <v>8559RGNS2FD</v>
      </c>
      <c r="B9457" s="1" t="s">
        <v>17950</v>
      </c>
      <c r="C9457" s="9" t="s">
        <v>1171</v>
      </c>
      <c r="D9457" s="14" t="s">
        <v>17951</v>
      </c>
      <c r="E9457" s="9" t="s">
        <v>11</v>
      </c>
    </row>
    <row r="9458" spans="1:5" outlineLevel="1" x14ac:dyDescent="0.25">
      <c r="A9458" s="2"/>
      <c r="B9458" s="6" t="s">
        <v>17952</v>
      </c>
      <c r="C9458" s="8"/>
      <c r="D9458" s="8"/>
      <c r="E9458" s="8"/>
    </row>
    <row r="9459" spans="1:5" ht="15" customHeight="1" outlineLevel="2" x14ac:dyDescent="0.25">
      <c r="A9459" s="3" t="str">
        <f>HYPERLINK("http://mystore1.ru/price_items/search?utf8=%E2%9C%93&amp;oem=8555ACL1P","8555ACL1P")</f>
        <v>8555ACL1P</v>
      </c>
      <c r="B9459" s="1" t="s">
        <v>17953</v>
      </c>
      <c r="C9459" s="9" t="s">
        <v>2789</v>
      </c>
      <c r="D9459" s="14" t="s">
        <v>17954</v>
      </c>
      <c r="E9459" s="9" t="s">
        <v>8</v>
      </c>
    </row>
    <row r="9460" spans="1:5" ht="15" customHeight="1" outlineLevel="2" x14ac:dyDescent="0.25">
      <c r="A9460" s="3" t="str">
        <f>HYPERLINK("http://mystore1.ru/price_items/search?utf8=%E2%9C%93&amp;oem=8555AGN1P","8555AGN1P")</f>
        <v>8555AGN1P</v>
      </c>
      <c r="B9460" s="1" t="s">
        <v>17955</v>
      </c>
      <c r="C9460" s="9" t="s">
        <v>2789</v>
      </c>
      <c r="D9460" s="14" t="s">
        <v>17956</v>
      </c>
      <c r="E9460" s="9" t="s">
        <v>8</v>
      </c>
    </row>
    <row r="9461" spans="1:5" ht="15" customHeight="1" outlineLevel="2" x14ac:dyDescent="0.25">
      <c r="A9461" s="3" t="str">
        <f>HYPERLINK("http://mystore1.ru/price_items/search?utf8=%E2%9C%93&amp;oem=8555AGNBL1P","8555AGNBL1P")</f>
        <v>8555AGNBL1P</v>
      </c>
      <c r="B9461" s="1" t="s">
        <v>17957</v>
      </c>
      <c r="C9461" s="9" t="s">
        <v>2789</v>
      </c>
      <c r="D9461" s="14" t="s">
        <v>17958</v>
      </c>
      <c r="E9461" s="9" t="s">
        <v>8</v>
      </c>
    </row>
    <row r="9462" spans="1:5" ht="15" customHeight="1" outlineLevel="2" x14ac:dyDescent="0.25">
      <c r="A9462" s="3" t="str">
        <f>HYPERLINK("http://mystore1.ru/price_items/search?utf8=%E2%9C%93&amp;oem=8555LCLP2FD","8555LCLP2FD")</f>
        <v>8555LCLP2FD</v>
      </c>
      <c r="B9462" s="1" t="s">
        <v>17959</v>
      </c>
      <c r="C9462" s="9" t="s">
        <v>2789</v>
      </c>
      <c r="D9462" s="14" t="s">
        <v>17960</v>
      </c>
      <c r="E9462" s="9" t="s">
        <v>11</v>
      </c>
    </row>
    <row r="9463" spans="1:5" ht="15" customHeight="1" outlineLevel="2" x14ac:dyDescent="0.25">
      <c r="A9463" s="3" t="str">
        <f>HYPERLINK("http://mystore1.ru/price_items/search?utf8=%E2%9C%93&amp;oem=8555LGNP2FD","8555LGNP2FD")</f>
        <v>8555LGNP2FD</v>
      </c>
      <c r="B9463" s="1" t="s">
        <v>17961</v>
      </c>
      <c r="C9463" s="9" t="s">
        <v>2789</v>
      </c>
      <c r="D9463" s="14" t="s">
        <v>17962</v>
      </c>
      <c r="E9463" s="9" t="s">
        <v>11</v>
      </c>
    </row>
    <row r="9464" spans="1:5" ht="15" customHeight="1" outlineLevel="2" x14ac:dyDescent="0.25">
      <c r="A9464" s="3" t="str">
        <f>HYPERLINK("http://mystore1.ru/price_items/search?utf8=%E2%9C%93&amp;oem=8555RCLP2FD","8555RCLP2FD")</f>
        <v>8555RCLP2FD</v>
      </c>
      <c r="B9464" s="1" t="s">
        <v>17963</v>
      </c>
      <c r="C9464" s="9" t="s">
        <v>2789</v>
      </c>
      <c r="D9464" s="14" t="s">
        <v>17964</v>
      </c>
      <c r="E9464" s="9" t="s">
        <v>11</v>
      </c>
    </row>
    <row r="9465" spans="1:5" ht="15" customHeight="1" outlineLevel="2" x14ac:dyDescent="0.25">
      <c r="A9465" s="3" t="str">
        <f>HYPERLINK("http://mystore1.ru/price_items/search?utf8=%E2%9C%93&amp;oem=8555RGNP2FD","8555RGNP2FD")</f>
        <v>8555RGNP2FD</v>
      </c>
      <c r="B9465" s="1" t="s">
        <v>17965</v>
      </c>
      <c r="C9465" s="9" t="s">
        <v>2789</v>
      </c>
      <c r="D9465" s="14" t="s">
        <v>17966</v>
      </c>
      <c r="E9465" s="9" t="s">
        <v>11</v>
      </c>
    </row>
    <row r="9466" spans="1:5" outlineLevel="1" x14ac:dyDescent="0.25">
      <c r="A9466" s="2"/>
      <c r="B9466" s="6" t="s">
        <v>17967</v>
      </c>
      <c r="C9466" s="8"/>
      <c r="D9466" s="8"/>
      <c r="E9466" s="8"/>
    </row>
    <row r="9467" spans="1:5" ht="15" customHeight="1" outlineLevel="2" x14ac:dyDescent="0.25">
      <c r="A9467" s="3" t="str">
        <f>HYPERLINK("http://mystore1.ru/price_items/search?utf8=%E2%9C%93&amp;oem=8581AGBABVZ1F","8581AGBABVZ1F")</f>
        <v>8581AGBABVZ1F</v>
      </c>
      <c r="B9467" s="1" t="s">
        <v>17968</v>
      </c>
      <c r="C9467" s="9" t="s">
        <v>747</v>
      </c>
      <c r="D9467" s="14" t="s">
        <v>17969</v>
      </c>
      <c r="E9467" s="9" t="s">
        <v>8</v>
      </c>
    </row>
    <row r="9468" spans="1:5" ht="15" customHeight="1" outlineLevel="2" x14ac:dyDescent="0.25">
      <c r="A9468" s="3" t="str">
        <f>HYPERLINK("http://mystore1.ru/price_items/search?utf8=%E2%9C%93&amp;oem=8581AGBAVZ1F","8581AGBAVZ1F")</f>
        <v>8581AGBAVZ1F</v>
      </c>
      <c r="B9468" s="1" t="s">
        <v>17970</v>
      </c>
      <c r="C9468" s="9" t="s">
        <v>747</v>
      </c>
      <c r="D9468" s="14" t="s">
        <v>17971</v>
      </c>
      <c r="E9468" s="9" t="s">
        <v>8</v>
      </c>
    </row>
    <row r="9469" spans="1:5" ht="15" customHeight="1" outlineLevel="2" x14ac:dyDescent="0.25">
      <c r="A9469" s="3" t="str">
        <f>HYPERLINK("http://mystore1.ru/price_items/search?utf8=%E2%9C%93&amp;oem=8581AGBGYABVZ1F","8581AGBGYABVZ1F")</f>
        <v>8581AGBGYABVZ1F</v>
      </c>
      <c r="B9469" s="1" t="s">
        <v>17972</v>
      </c>
      <c r="C9469" s="9" t="s">
        <v>747</v>
      </c>
      <c r="D9469" s="14" t="s">
        <v>17973</v>
      </c>
      <c r="E9469" s="9" t="s">
        <v>8</v>
      </c>
    </row>
    <row r="9470" spans="1:5" ht="15" customHeight="1" outlineLevel="2" x14ac:dyDescent="0.25">
      <c r="A9470" s="3" t="str">
        <f>HYPERLINK("http://mystore1.ru/price_items/search?utf8=%E2%9C%93&amp;oem=8581AGBGYAVZ1F","8581AGBGYAVZ1F")</f>
        <v>8581AGBGYAVZ1F</v>
      </c>
      <c r="B9470" s="1" t="s">
        <v>17974</v>
      </c>
      <c r="C9470" s="9" t="s">
        <v>747</v>
      </c>
      <c r="D9470" s="14" t="s">
        <v>17975</v>
      </c>
      <c r="E9470" s="9" t="s">
        <v>8</v>
      </c>
    </row>
    <row r="9471" spans="1:5" ht="15" customHeight="1" outlineLevel="2" x14ac:dyDescent="0.25">
      <c r="A9471" s="3" t="str">
        <f>HYPERLINK("http://mystore1.ru/price_items/search?utf8=%E2%9C%93&amp;oem=8581AGSABGVZ","8581AGSABGVZ")</f>
        <v>8581AGSABGVZ</v>
      </c>
      <c r="B9471" s="1" t="s">
        <v>17976</v>
      </c>
      <c r="C9471" s="9" t="s">
        <v>747</v>
      </c>
      <c r="D9471" s="14" t="s">
        <v>17977</v>
      </c>
      <c r="E9471" s="9" t="s">
        <v>8</v>
      </c>
    </row>
    <row r="9472" spans="1:5" ht="15" customHeight="1" outlineLevel="2" x14ac:dyDescent="0.25">
      <c r="A9472" s="3" t="str">
        <f>HYPERLINK("http://mystore1.ru/price_items/search?utf8=%E2%9C%93&amp;oem=8581AGSABVZ","8581AGSABVZ")</f>
        <v>8581AGSABVZ</v>
      </c>
      <c r="B9472" s="1" t="s">
        <v>17978</v>
      </c>
      <c r="C9472" s="9" t="s">
        <v>747</v>
      </c>
      <c r="D9472" s="14" t="s">
        <v>17979</v>
      </c>
      <c r="E9472" s="9" t="s">
        <v>8</v>
      </c>
    </row>
    <row r="9473" spans="1:5" ht="15" customHeight="1" outlineLevel="2" x14ac:dyDescent="0.25">
      <c r="A9473" s="3" t="str">
        <f>HYPERLINK("http://mystore1.ru/price_items/search?utf8=%E2%9C%93&amp;oem=8581AGSAVZ1F","8581AGSAVZ1F")</f>
        <v>8581AGSAVZ1F</v>
      </c>
      <c r="B9473" s="1" t="s">
        <v>17980</v>
      </c>
      <c r="C9473" s="9" t="s">
        <v>747</v>
      </c>
      <c r="D9473" s="14" t="s">
        <v>17981</v>
      </c>
      <c r="E9473" s="9" t="s">
        <v>8</v>
      </c>
    </row>
    <row r="9474" spans="1:5" ht="15" customHeight="1" outlineLevel="2" x14ac:dyDescent="0.25">
      <c r="A9474" s="3" t="str">
        <f>HYPERLINK("http://mystore1.ru/price_items/search?utf8=%E2%9C%93&amp;oem=8581AGSAMVZ1B","8581AGSAMVZ1B")</f>
        <v>8581AGSAMVZ1B</v>
      </c>
      <c r="B9474" s="1" t="s">
        <v>17982</v>
      </c>
      <c r="C9474" s="9" t="s">
        <v>747</v>
      </c>
      <c r="D9474" s="14" t="s">
        <v>17983</v>
      </c>
      <c r="E9474" s="9" t="s">
        <v>8</v>
      </c>
    </row>
    <row r="9475" spans="1:5" ht="15" customHeight="1" outlineLevel="2" x14ac:dyDescent="0.25">
      <c r="A9475" s="3" t="str">
        <f>HYPERLINK("http://mystore1.ru/price_items/search?utf8=%E2%9C%93&amp;oem=8581AGSMVZ1P","8581AGSMVZ1P")</f>
        <v>8581AGSMVZ1P</v>
      </c>
      <c r="B9475" s="1" t="s">
        <v>17984</v>
      </c>
      <c r="C9475" s="9" t="s">
        <v>747</v>
      </c>
      <c r="D9475" s="14" t="s">
        <v>17985</v>
      </c>
      <c r="E9475" s="9" t="s">
        <v>8</v>
      </c>
    </row>
    <row r="9476" spans="1:5" ht="15" customHeight="1" outlineLevel="2" x14ac:dyDescent="0.25">
      <c r="A9476" s="3" t="str">
        <f>HYPERLINK("http://mystore1.ru/price_items/search?utf8=%E2%9C%93&amp;oem=8581AGSAVZ","8581AGSAVZ")</f>
        <v>8581AGSAVZ</v>
      </c>
      <c r="B9476" s="1" t="s">
        <v>17986</v>
      </c>
      <c r="C9476" s="9" t="s">
        <v>747</v>
      </c>
      <c r="D9476" s="14" t="s">
        <v>17987</v>
      </c>
      <c r="E9476" s="9" t="s">
        <v>8</v>
      </c>
    </row>
    <row r="9477" spans="1:5" ht="15" customHeight="1" outlineLevel="2" x14ac:dyDescent="0.25">
      <c r="A9477" s="3" t="str">
        <f>HYPERLINK("http://mystore1.ru/price_items/search?utf8=%E2%9C%93&amp;oem=8581AGSGYABVZ1F","8581AGSGYABVZ1F")</f>
        <v>8581AGSGYABVZ1F</v>
      </c>
      <c r="B9477" s="1" t="s">
        <v>17988</v>
      </c>
      <c r="C9477" s="9" t="s">
        <v>747</v>
      </c>
      <c r="D9477" s="14" t="s">
        <v>17989</v>
      </c>
      <c r="E9477" s="9" t="s">
        <v>8</v>
      </c>
    </row>
    <row r="9478" spans="1:5" ht="15" customHeight="1" outlineLevel="2" x14ac:dyDescent="0.25">
      <c r="A9478" s="3" t="str">
        <f>HYPERLINK("http://mystore1.ru/price_items/search?utf8=%E2%9C%93&amp;oem=8581AGSGYABVZ","8581AGSGYABVZ")</f>
        <v>8581AGSGYABVZ</v>
      </c>
      <c r="B9478" s="1" t="s">
        <v>17990</v>
      </c>
      <c r="C9478" s="9" t="s">
        <v>747</v>
      </c>
      <c r="D9478" s="14" t="s">
        <v>17991</v>
      </c>
      <c r="E9478" s="9" t="s">
        <v>8</v>
      </c>
    </row>
    <row r="9479" spans="1:5" ht="15" customHeight="1" outlineLevel="2" x14ac:dyDescent="0.25">
      <c r="A9479" s="3" t="str">
        <f>HYPERLINK("http://mystore1.ru/price_items/search?utf8=%E2%9C%93&amp;oem=8581AGSGYAVZ1F","8581AGSGYAVZ1F")</f>
        <v>8581AGSGYAVZ1F</v>
      </c>
      <c r="B9479" s="1" t="s">
        <v>17992</v>
      </c>
      <c r="C9479" s="9" t="s">
        <v>747</v>
      </c>
      <c r="D9479" s="14" t="s">
        <v>17993</v>
      </c>
      <c r="E9479" s="9" t="s">
        <v>8</v>
      </c>
    </row>
    <row r="9480" spans="1:5" ht="15" customHeight="1" outlineLevel="2" x14ac:dyDescent="0.25">
      <c r="A9480" s="3" t="str">
        <f>HYPERLINK("http://mystore1.ru/price_items/search?utf8=%E2%9C%93&amp;oem=8581AGSGYAVZ","8581AGSGYAVZ")</f>
        <v>8581AGSGYAVZ</v>
      </c>
      <c r="B9480" s="1" t="s">
        <v>17994</v>
      </c>
      <c r="C9480" s="9" t="s">
        <v>747</v>
      </c>
      <c r="D9480" s="14" t="s">
        <v>17995</v>
      </c>
      <c r="E9480" s="9" t="s">
        <v>8</v>
      </c>
    </row>
    <row r="9481" spans="1:5" ht="15" customHeight="1" outlineLevel="2" x14ac:dyDescent="0.25">
      <c r="A9481" s="3" t="str">
        <f>HYPERLINK("http://mystore1.ru/price_items/search?utf8=%E2%9C%93&amp;oem=8581AGSGYVZ","8581AGSGYVZ")</f>
        <v>8581AGSGYVZ</v>
      </c>
      <c r="B9481" s="1" t="s">
        <v>17996</v>
      </c>
      <c r="C9481" s="9" t="s">
        <v>747</v>
      </c>
      <c r="D9481" s="14" t="s">
        <v>17997</v>
      </c>
      <c r="E9481" s="9" t="s">
        <v>8</v>
      </c>
    </row>
    <row r="9482" spans="1:5" ht="15" customHeight="1" outlineLevel="2" x14ac:dyDescent="0.25">
      <c r="A9482" s="3" t="str">
        <f>HYPERLINK("http://mystore1.ru/price_items/search?utf8=%E2%9C%93&amp;oem=8581AGSVZ","8581AGSVZ")</f>
        <v>8581AGSVZ</v>
      </c>
      <c r="B9482" s="1" t="s">
        <v>17998</v>
      </c>
      <c r="C9482" s="9" t="s">
        <v>747</v>
      </c>
      <c r="D9482" s="14" t="s">
        <v>17999</v>
      </c>
      <c r="E9482" s="9" t="s">
        <v>8</v>
      </c>
    </row>
    <row r="9483" spans="1:5" ht="15" customHeight="1" outlineLevel="2" x14ac:dyDescent="0.25">
      <c r="A9483" s="3" t="str">
        <f>HYPERLINK("http://mystore1.ru/price_items/search?utf8=%E2%9C%93&amp;oem=8581BGDVL","8581BGDVL")</f>
        <v>8581BGDVL</v>
      </c>
      <c r="B9483" s="1" t="s">
        <v>18000</v>
      </c>
      <c r="C9483" s="9" t="s">
        <v>747</v>
      </c>
      <c r="D9483" s="14" t="s">
        <v>18001</v>
      </c>
      <c r="E9483" s="9" t="s">
        <v>30</v>
      </c>
    </row>
    <row r="9484" spans="1:5" ht="15" customHeight="1" outlineLevel="2" x14ac:dyDescent="0.25">
      <c r="A9484" s="3" t="str">
        <f>HYPERLINK("http://mystore1.ru/price_items/search?utf8=%E2%9C%93&amp;oem=8581BGDVR1J","8581BGDVR1J")</f>
        <v>8581BGDVR1J</v>
      </c>
      <c r="B9484" s="1" t="s">
        <v>18002</v>
      </c>
      <c r="C9484" s="9" t="s">
        <v>747</v>
      </c>
      <c r="D9484" s="14" t="s">
        <v>18003</v>
      </c>
      <c r="E9484" s="9" t="s">
        <v>30</v>
      </c>
    </row>
    <row r="9485" spans="1:5" ht="15" customHeight="1" outlineLevel="2" x14ac:dyDescent="0.25">
      <c r="A9485" s="3" t="str">
        <f>HYPERLINK("http://mystore1.ru/price_items/search?utf8=%E2%9C%93&amp;oem=8581BGSVL","8581BGSVL")</f>
        <v>8581BGSVL</v>
      </c>
      <c r="B9485" s="1" t="s">
        <v>18004</v>
      </c>
      <c r="C9485" s="9" t="s">
        <v>747</v>
      </c>
      <c r="D9485" s="14" t="s">
        <v>18005</v>
      </c>
      <c r="E9485" s="9" t="s">
        <v>30</v>
      </c>
    </row>
    <row r="9486" spans="1:5" ht="15" customHeight="1" outlineLevel="2" x14ac:dyDescent="0.25">
      <c r="A9486" s="3" t="str">
        <f>HYPERLINK("http://mystore1.ru/price_items/search?utf8=%E2%9C%93&amp;oem=8581BGSVR1J","8581BGSVR1J")</f>
        <v>8581BGSVR1J</v>
      </c>
      <c r="B9486" s="1" t="s">
        <v>18006</v>
      </c>
      <c r="C9486" s="9" t="s">
        <v>747</v>
      </c>
      <c r="D9486" s="14" t="s">
        <v>18007</v>
      </c>
      <c r="E9486" s="9" t="s">
        <v>30</v>
      </c>
    </row>
    <row r="9487" spans="1:5" ht="15" customHeight="1" outlineLevel="2" x14ac:dyDescent="0.25">
      <c r="A9487" s="3" t="str">
        <f>HYPERLINK("http://mystore1.ru/price_items/search?utf8=%E2%9C%93&amp;oem=8581BGSVI","8581BGSVI")</f>
        <v>8581BGSVI</v>
      </c>
      <c r="B9487" s="1" t="s">
        <v>18008</v>
      </c>
      <c r="C9487" s="9" t="s">
        <v>747</v>
      </c>
      <c r="D9487" s="14" t="s">
        <v>18009</v>
      </c>
      <c r="E9487" s="9" t="s">
        <v>30</v>
      </c>
    </row>
    <row r="9488" spans="1:5" ht="15" customHeight="1" outlineLevel="2" x14ac:dyDescent="0.25">
      <c r="A9488" s="3" t="str">
        <f>HYPERLINK("http://mystore1.ru/price_items/search?utf8=%E2%9C%93&amp;oem=8581BYPVL","8581BYPVL")</f>
        <v>8581BYPVL</v>
      </c>
      <c r="B9488" s="1" t="s">
        <v>18010</v>
      </c>
      <c r="C9488" s="9" t="s">
        <v>747</v>
      </c>
      <c r="D9488" s="14" t="s">
        <v>18011</v>
      </c>
      <c r="E9488" s="9" t="s">
        <v>30</v>
      </c>
    </row>
    <row r="9489" spans="1:5" ht="15" customHeight="1" outlineLevel="2" x14ac:dyDescent="0.25">
      <c r="A9489" s="3" t="str">
        <f>HYPERLINK("http://mystore1.ru/price_items/search?utf8=%E2%9C%93&amp;oem=8581LGSV2FD","8581LGSV2FD")</f>
        <v>8581LGSV2FD</v>
      </c>
      <c r="B9489" s="1" t="s">
        <v>18012</v>
      </c>
      <c r="C9489" s="9" t="s">
        <v>747</v>
      </c>
      <c r="D9489" s="14" t="s">
        <v>18013</v>
      </c>
      <c r="E9489" s="9" t="s">
        <v>11</v>
      </c>
    </row>
    <row r="9490" spans="1:5" ht="15" customHeight="1" outlineLevel="2" x14ac:dyDescent="0.25">
      <c r="A9490" s="3" t="str">
        <f>HYPERLINK("http://mystore1.ru/price_items/search?utf8=%E2%9C%93&amp;oem=8581LGSV2FQZ","8581LGSV2FQZ")</f>
        <v>8581LGSV2FQZ</v>
      </c>
      <c r="B9490" s="1" t="s">
        <v>18014</v>
      </c>
      <c r="C9490" s="9" t="s">
        <v>747</v>
      </c>
      <c r="D9490" s="14" t="s">
        <v>18015</v>
      </c>
      <c r="E9490" s="9" t="s">
        <v>11</v>
      </c>
    </row>
    <row r="9491" spans="1:5" ht="15" customHeight="1" outlineLevel="2" x14ac:dyDescent="0.25">
      <c r="A9491" s="3" t="str">
        <f>HYPERLINK("http://mystore1.ru/price_items/search?utf8=%E2%9C%93&amp;oem=8581LGSV3MQW","8581LGSV3MQW")</f>
        <v>8581LGSV3MQW</v>
      </c>
      <c r="B9491" s="1" t="s">
        <v>18016</v>
      </c>
      <c r="C9491" s="9" t="s">
        <v>747</v>
      </c>
      <c r="D9491" s="14" t="s">
        <v>18017</v>
      </c>
      <c r="E9491" s="9" t="s">
        <v>11</v>
      </c>
    </row>
    <row r="9492" spans="1:5" ht="15" customHeight="1" outlineLevel="2" x14ac:dyDescent="0.25">
      <c r="A9492" s="3" t="str">
        <f>HYPERLINK("http://mystore1.ru/price_items/search?utf8=%E2%9C%93&amp;oem=8581RGSV2FD","8581RGSV2FD")</f>
        <v>8581RGSV2FD</v>
      </c>
      <c r="B9492" s="1" t="s">
        <v>18018</v>
      </c>
      <c r="C9492" s="9" t="s">
        <v>747</v>
      </c>
      <c r="D9492" s="14" t="s">
        <v>18019</v>
      </c>
      <c r="E9492" s="9" t="s">
        <v>11</v>
      </c>
    </row>
    <row r="9493" spans="1:5" ht="15" customHeight="1" outlineLevel="2" x14ac:dyDescent="0.25">
      <c r="A9493" s="3" t="str">
        <f>HYPERLINK("http://mystore1.ru/price_items/search?utf8=%E2%9C%93&amp;oem=8581RGSV2FQZ","8581RGSV2FQZ")</f>
        <v>8581RGSV2FQZ</v>
      </c>
      <c r="B9493" s="1" t="s">
        <v>18020</v>
      </c>
      <c r="C9493" s="9" t="s">
        <v>747</v>
      </c>
      <c r="D9493" s="14" t="s">
        <v>18021</v>
      </c>
      <c r="E9493" s="9" t="s">
        <v>11</v>
      </c>
    </row>
    <row r="9494" spans="1:5" ht="15" customHeight="1" outlineLevel="2" x14ac:dyDescent="0.25">
      <c r="A9494" s="3" t="str">
        <f>HYPERLINK("http://mystore1.ru/price_items/search?utf8=%E2%9C%93&amp;oem=8581RGSV3MQW","8581RGSV3MQW")</f>
        <v>8581RGSV3MQW</v>
      </c>
      <c r="B9494" s="1" t="s">
        <v>18022</v>
      </c>
      <c r="C9494" s="9" t="s">
        <v>747</v>
      </c>
      <c r="D9494" s="14" t="s">
        <v>18023</v>
      </c>
      <c r="E9494" s="9" t="s">
        <v>11</v>
      </c>
    </row>
    <row r="9495" spans="1:5" outlineLevel="1" x14ac:dyDescent="0.25">
      <c r="A9495" s="2"/>
      <c r="B9495" s="6" t="s">
        <v>18024</v>
      </c>
      <c r="C9495" s="8"/>
      <c r="D9495" s="8"/>
      <c r="E9495" s="8"/>
    </row>
    <row r="9496" spans="1:5" ht="15" customHeight="1" outlineLevel="2" x14ac:dyDescent="0.25">
      <c r="A9496" s="3" t="str">
        <f>HYPERLINK("http://mystore1.ru/price_items/search?utf8=%E2%9C%93&amp;oem=8510ACL","8510ACL")</f>
        <v>8510ACL</v>
      </c>
      <c r="B9496" s="1" t="s">
        <v>18025</v>
      </c>
      <c r="C9496" s="9" t="s">
        <v>18026</v>
      </c>
      <c r="D9496" s="14" t="s">
        <v>18027</v>
      </c>
      <c r="E9496" s="9" t="s">
        <v>8</v>
      </c>
    </row>
    <row r="9497" spans="1:5" ht="15" customHeight="1" outlineLevel="2" x14ac:dyDescent="0.25">
      <c r="A9497" s="3" t="str">
        <f>HYPERLINK("http://mystore1.ru/price_items/search?utf8=%E2%9C%93&amp;oem=8510ASRV","8510ASRV")</f>
        <v>8510ASRV</v>
      </c>
      <c r="B9497" s="1" t="s">
        <v>18028</v>
      </c>
      <c r="C9497" s="9" t="s">
        <v>25</v>
      </c>
      <c r="D9497" s="14" t="s">
        <v>18029</v>
      </c>
      <c r="E9497" s="9" t="s">
        <v>27</v>
      </c>
    </row>
    <row r="9498" spans="1:5" outlineLevel="1" x14ac:dyDescent="0.25">
      <c r="A9498" s="2"/>
      <c r="B9498" s="6" t="s">
        <v>18030</v>
      </c>
      <c r="C9498" s="8"/>
      <c r="D9498" s="8"/>
      <c r="E9498" s="8"/>
    </row>
    <row r="9499" spans="1:5" ht="15" customHeight="1" outlineLevel="2" x14ac:dyDescent="0.25">
      <c r="A9499" s="3" t="str">
        <f>HYPERLINK("http://mystore1.ru/price_items/search?utf8=%E2%9C%93&amp;oem=8538AGNBL","8538AGNBL")</f>
        <v>8538AGNBL</v>
      </c>
      <c r="B9499" s="1" t="s">
        <v>18031</v>
      </c>
      <c r="C9499" s="9" t="s">
        <v>11817</v>
      </c>
      <c r="D9499" s="14" t="s">
        <v>18032</v>
      </c>
      <c r="E9499" s="9" t="s">
        <v>8</v>
      </c>
    </row>
    <row r="9500" spans="1:5" ht="15" customHeight="1" outlineLevel="2" x14ac:dyDescent="0.25">
      <c r="A9500" s="3" t="str">
        <f>HYPERLINK("http://mystore1.ru/price_items/search?utf8=%E2%9C%93&amp;oem=8538AGNGN","8538AGNGN")</f>
        <v>8538AGNGN</v>
      </c>
      <c r="B9500" s="1" t="s">
        <v>18033</v>
      </c>
      <c r="C9500" s="9" t="s">
        <v>11817</v>
      </c>
      <c r="D9500" s="14" t="s">
        <v>18034</v>
      </c>
      <c r="E9500" s="9" t="s">
        <v>8</v>
      </c>
    </row>
    <row r="9501" spans="1:5" ht="15" customHeight="1" outlineLevel="2" x14ac:dyDescent="0.25">
      <c r="A9501" s="3" t="str">
        <f>HYPERLINK("http://mystore1.ru/price_items/search?utf8=%E2%9C%93&amp;oem=8538AKMC","8538AKMC")</f>
        <v>8538AKMC</v>
      </c>
      <c r="B9501" s="1" t="s">
        <v>18035</v>
      </c>
      <c r="C9501" s="9" t="s">
        <v>25</v>
      </c>
      <c r="D9501" s="14" t="s">
        <v>18036</v>
      </c>
      <c r="E9501" s="9" t="s">
        <v>27</v>
      </c>
    </row>
    <row r="9502" spans="1:5" outlineLevel="1" x14ac:dyDescent="0.25">
      <c r="A9502" s="2"/>
      <c r="B9502" s="6" t="s">
        <v>18037</v>
      </c>
      <c r="C9502" s="8"/>
      <c r="D9502" s="8"/>
      <c r="E9502" s="8"/>
    </row>
    <row r="9503" spans="1:5" ht="15" customHeight="1" outlineLevel="2" x14ac:dyDescent="0.25">
      <c r="A9503" s="3" t="str">
        <f>HYPERLINK("http://mystore1.ru/price_items/search?utf8=%E2%9C%93&amp;oem=8585AGSAW","8585AGSAW")</f>
        <v>8585AGSAW</v>
      </c>
      <c r="B9503" s="1" t="s">
        <v>18038</v>
      </c>
      <c r="C9503" s="9" t="s">
        <v>1607</v>
      </c>
      <c r="D9503" s="14" t="s">
        <v>18039</v>
      </c>
      <c r="E9503" s="9" t="s">
        <v>8</v>
      </c>
    </row>
    <row r="9504" spans="1:5" ht="15" customHeight="1" outlineLevel="2" x14ac:dyDescent="0.25">
      <c r="A9504" s="3" t="str">
        <f>HYPERLINK("http://mystore1.ru/price_items/search?utf8=%E2%9C%93&amp;oem=8538AKMC","8538AKMC")</f>
        <v>8538AKMC</v>
      </c>
      <c r="B9504" s="1" t="s">
        <v>18035</v>
      </c>
      <c r="C9504" s="9" t="s">
        <v>25</v>
      </c>
      <c r="D9504" s="14" t="s">
        <v>18040</v>
      </c>
      <c r="E9504" s="9" t="s">
        <v>27</v>
      </c>
    </row>
    <row r="9505" spans="1:5" outlineLevel="1" x14ac:dyDescent="0.25">
      <c r="A9505" s="2"/>
      <c r="B9505" s="6" t="s">
        <v>18041</v>
      </c>
      <c r="C9505" s="8"/>
      <c r="D9505" s="8"/>
      <c r="E9505" s="8"/>
    </row>
    <row r="9506" spans="1:5" ht="15" customHeight="1" outlineLevel="2" x14ac:dyDescent="0.25">
      <c r="A9506" s="3" t="str">
        <f>HYPERLINK("http://mystore1.ru/price_items/search?utf8=%E2%9C%93&amp;oem=8519ACL","8519ACL")</f>
        <v>8519ACL</v>
      </c>
      <c r="B9506" s="1" t="s">
        <v>18042</v>
      </c>
      <c r="C9506" s="9" t="s">
        <v>18043</v>
      </c>
      <c r="D9506" s="14" t="s">
        <v>18044</v>
      </c>
      <c r="E9506" s="9" t="s">
        <v>8</v>
      </c>
    </row>
    <row r="9507" spans="1:5" ht="15" customHeight="1" outlineLevel="2" x14ac:dyDescent="0.25">
      <c r="A9507" s="3" t="str">
        <f>HYPERLINK("http://mystore1.ru/price_items/search?utf8=%E2%9C%93&amp;oem=8519AGN","8519AGN")</f>
        <v>8519AGN</v>
      </c>
      <c r="B9507" s="1" t="s">
        <v>18045</v>
      </c>
      <c r="C9507" s="9" t="s">
        <v>18043</v>
      </c>
      <c r="D9507" s="14" t="s">
        <v>18046</v>
      </c>
      <c r="E9507" s="9" t="s">
        <v>8</v>
      </c>
    </row>
    <row r="9508" spans="1:5" ht="15" customHeight="1" outlineLevel="2" x14ac:dyDescent="0.25">
      <c r="A9508" s="3" t="str">
        <f>HYPERLINK("http://mystore1.ru/price_items/search?utf8=%E2%9C%93&amp;oem=8519AGNBL","8519AGNBL")</f>
        <v>8519AGNBL</v>
      </c>
      <c r="B9508" s="1" t="s">
        <v>18047</v>
      </c>
      <c r="C9508" s="9" t="s">
        <v>18043</v>
      </c>
      <c r="D9508" s="14" t="s">
        <v>18048</v>
      </c>
      <c r="E9508" s="9" t="s">
        <v>8</v>
      </c>
    </row>
    <row r="9509" spans="1:5" ht="15" customHeight="1" outlineLevel="2" x14ac:dyDescent="0.25">
      <c r="A9509" s="3" t="str">
        <f>HYPERLINK("http://mystore1.ru/price_items/search?utf8=%E2%9C%93&amp;oem=8519AGNGN","8519AGNGN")</f>
        <v>8519AGNGN</v>
      </c>
      <c r="B9509" s="1" t="s">
        <v>18049</v>
      </c>
      <c r="C9509" s="9" t="s">
        <v>18043</v>
      </c>
      <c r="D9509" s="14" t="s">
        <v>18050</v>
      </c>
      <c r="E9509" s="9" t="s">
        <v>8</v>
      </c>
    </row>
    <row r="9510" spans="1:5" ht="15" customHeight="1" outlineLevel="2" x14ac:dyDescent="0.25">
      <c r="A9510" s="3" t="str">
        <f>HYPERLINK("http://mystore1.ru/price_items/search?utf8=%E2%9C%93&amp;oem=8519ASRH","8519ASRH")</f>
        <v>8519ASRH</v>
      </c>
      <c r="B9510" s="1" t="s">
        <v>18051</v>
      </c>
      <c r="C9510" s="9" t="s">
        <v>25</v>
      </c>
      <c r="D9510" s="14" t="s">
        <v>18052</v>
      </c>
      <c r="E9510" s="9" t="s">
        <v>27</v>
      </c>
    </row>
    <row r="9511" spans="1:5" ht="15" customHeight="1" outlineLevel="2" x14ac:dyDescent="0.25">
      <c r="A9511" s="3" t="str">
        <f>HYPERLINK("http://mystore1.ru/price_items/search?utf8=%E2%9C%93&amp;oem=8519LGNH3FV","8519LGNH3FV")</f>
        <v>8519LGNH3FV</v>
      </c>
      <c r="B9511" s="1" t="s">
        <v>18053</v>
      </c>
      <c r="C9511" s="9" t="s">
        <v>18043</v>
      </c>
      <c r="D9511" s="14" t="s">
        <v>18054</v>
      </c>
      <c r="E9511" s="9" t="s">
        <v>11</v>
      </c>
    </row>
    <row r="9512" spans="1:5" outlineLevel="1" x14ac:dyDescent="0.25">
      <c r="A9512" s="2"/>
      <c r="B9512" s="6" t="s">
        <v>18055</v>
      </c>
      <c r="C9512" s="8"/>
      <c r="D9512" s="8"/>
      <c r="E9512" s="8"/>
    </row>
    <row r="9513" spans="1:5" ht="15" customHeight="1" outlineLevel="2" x14ac:dyDescent="0.25">
      <c r="A9513" s="3" t="str">
        <f>HYPERLINK("http://mystore1.ru/price_items/search?utf8=%E2%9C%93&amp;oem=8533ACL","8533ACL")</f>
        <v>8533ACL</v>
      </c>
      <c r="B9513" s="1" t="s">
        <v>18056</v>
      </c>
      <c r="C9513" s="9" t="s">
        <v>311</v>
      </c>
      <c r="D9513" s="14" t="s">
        <v>18057</v>
      </c>
      <c r="E9513" s="9" t="s">
        <v>8</v>
      </c>
    </row>
    <row r="9514" spans="1:5" ht="15" customHeight="1" outlineLevel="2" x14ac:dyDescent="0.25">
      <c r="A9514" s="3" t="str">
        <f>HYPERLINK("http://mystore1.ru/price_items/search?utf8=%E2%9C%93&amp;oem=8533AGN","8533AGN")</f>
        <v>8533AGN</v>
      </c>
      <c r="B9514" s="1" t="s">
        <v>18058</v>
      </c>
      <c r="C9514" s="9" t="s">
        <v>311</v>
      </c>
      <c r="D9514" s="14" t="s">
        <v>18059</v>
      </c>
      <c r="E9514" s="9" t="s">
        <v>8</v>
      </c>
    </row>
    <row r="9515" spans="1:5" ht="15" customHeight="1" outlineLevel="2" x14ac:dyDescent="0.25">
      <c r="A9515" s="3" t="str">
        <f>HYPERLINK("http://mystore1.ru/price_items/search?utf8=%E2%9C%93&amp;oem=8533AGNBL","8533AGNBL")</f>
        <v>8533AGNBL</v>
      </c>
      <c r="B9515" s="1" t="s">
        <v>18060</v>
      </c>
      <c r="C9515" s="9" t="s">
        <v>311</v>
      </c>
      <c r="D9515" s="14" t="s">
        <v>18061</v>
      </c>
      <c r="E9515" s="9" t="s">
        <v>8</v>
      </c>
    </row>
    <row r="9516" spans="1:5" ht="15" customHeight="1" outlineLevel="2" x14ac:dyDescent="0.25">
      <c r="A9516" s="3" t="str">
        <f>HYPERLINK("http://mystore1.ru/price_items/search?utf8=%E2%9C%93&amp;oem=8533AGNGN","8533AGNGN")</f>
        <v>8533AGNGN</v>
      </c>
      <c r="B9516" s="1" t="s">
        <v>18062</v>
      </c>
      <c r="C9516" s="9" t="s">
        <v>311</v>
      </c>
      <c r="D9516" s="14" t="s">
        <v>18063</v>
      </c>
      <c r="E9516" s="9" t="s">
        <v>8</v>
      </c>
    </row>
    <row r="9517" spans="1:5" ht="15" customHeight="1" outlineLevel="2" x14ac:dyDescent="0.25">
      <c r="A9517" s="3" t="str">
        <f>HYPERLINK("http://mystore1.ru/price_items/search?utf8=%E2%9C%93&amp;oem=8533ASRH1H","8533ASRH1H")</f>
        <v>8533ASRH1H</v>
      </c>
      <c r="B9517" s="1" t="s">
        <v>18064</v>
      </c>
      <c r="C9517" s="9" t="s">
        <v>25</v>
      </c>
      <c r="D9517" s="14" t="s">
        <v>18065</v>
      </c>
      <c r="E9517" s="9" t="s">
        <v>27</v>
      </c>
    </row>
    <row r="9518" spans="1:5" ht="15" customHeight="1" outlineLevel="2" x14ac:dyDescent="0.25">
      <c r="A9518" s="3" t="str">
        <f>HYPERLINK("http://mystore1.ru/price_items/search?utf8=%E2%9C%93&amp;oem=8533BCLH","8533BCLH")</f>
        <v>8533BCLH</v>
      </c>
      <c r="B9518" s="1" t="s">
        <v>18066</v>
      </c>
      <c r="C9518" s="9" t="s">
        <v>311</v>
      </c>
      <c r="D9518" s="14" t="s">
        <v>18067</v>
      </c>
      <c r="E9518" s="9" t="s">
        <v>30</v>
      </c>
    </row>
    <row r="9519" spans="1:5" ht="15" customHeight="1" outlineLevel="2" x14ac:dyDescent="0.25">
      <c r="A9519" s="3" t="str">
        <f>HYPERLINK("http://mystore1.ru/price_items/search?utf8=%E2%9C%93&amp;oem=8533BCLH1H","8533BCLH1H")</f>
        <v>8533BCLH1H</v>
      </c>
      <c r="B9519" s="1" t="s">
        <v>18068</v>
      </c>
      <c r="C9519" s="9" t="s">
        <v>311</v>
      </c>
      <c r="D9519" s="14" t="s">
        <v>18069</v>
      </c>
      <c r="E9519" s="9" t="s">
        <v>30</v>
      </c>
    </row>
    <row r="9520" spans="1:5" ht="15" customHeight="1" outlineLevel="2" x14ac:dyDescent="0.25">
      <c r="A9520" s="3" t="str">
        <f>HYPERLINK("http://mystore1.ru/price_items/search?utf8=%E2%9C%93&amp;oem=8533BCLS","8533BCLS")</f>
        <v>8533BCLS</v>
      </c>
      <c r="B9520" s="1" t="s">
        <v>18070</v>
      </c>
      <c r="C9520" s="9" t="s">
        <v>311</v>
      </c>
      <c r="D9520" s="14" t="s">
        <v>18071</v>
      </c>
      <c r="E9520" s="9" t="s">
        <v>30</v>
      </c>
    </row>
    <row r="9521" spans="1:5" ht="15" customHeight="1" outlineLevel="2" x14ac:dyDescent="0.25">
      <c r="A9521" s="3" t="str">
        <f>HYPERLINK("http://mystore1.ru/price_items/search?utf8=%E2%9C%93&amp;oem=8533BGNH","8533BGNH")</f>
        <v>8533BGNH</v>
      </c>
      <c r="B9521" s="1" t="s">
        <v>18072</v>
      </c>
      <c r="C9521" s="9" t="s">
        <v>311</v>
      </c>
      <c r="D9521" s="14" t="s">
        <v>18073</v>
      </c>
      <c r="E9521" s="9" t="s">
        <v>30</v>
      </c>
    </row>
    <row r="9522" spans="1:5" ht="15" customHeight="1" outlineLevel="2" x14ac:dyDescent="0.25">
      <c r="A9522" s="3" t="str">
        <f>HYPERLINK("http://mystore1.ru/price_items/search?utf8=%E2%9C%93&amp;oem=8533BGNH1H","8533BGNH1H")</f>
        <v>8533BGNH1H</v>
      </c>
      <c r="B9522" s="1" t="s">
        <v>18074</v>
      </c>
      <c r="C9522" s="9" t="s">
        <v>311</v>
      </c>
      <c r="D9522" s="14" t="s">
        <v>18075</v>
      </c>
      <c r="E9522" s="9" t="s">
        <v>30</v>
      </c>
    </row>
    <row r="9523" spans="1:5" ht="15" customHeight="1" outlineLevel="2" x14ac:dyDescent="0.25">
      <c r="A9523" s="3" t="str">
        <f>HYPERLINK("http://mystore1.ru/price_items/search?utf8=%E2%9C%93&amp;oem=8533BGNS","8533BGNS")</f>
        <v>8533BGNS</v>
      </c>
      <c r="B9523" s="1" t="s">
        <v>18076</v>
      </c>
      <c r="C9523" s="9" t="s">
        <v>311</v>
      </c>
      <c r="D9523" s="14" t="s">
        <v>18077</v>
      </c>
      <c r="E9523" s="9" t="s">
        <v>30</v>
      </c>
    </row>
    <row r="9524" spans="1:5" ht="15" customHeight="1" outlineLevel="2" x14ac:dyDescent="0.25">
      <c r="A9524" s="3" t="str">
        <f>HYPERLINK("http://mystore1.ru/price_items/search?utf8=%E2%9C%93&amp;oem=8533BSRH","8533BSRH")</f>
        <v>8533BSRH</v>
      </c>
      <c r="B9524" s="1" t="s">
        <v>18078</v>
      </c>
      <c r="C9524" s="9" t="s">
        <v>25</v>
      </c>
      <c r="D9524" s="14" t="s">
        <v>18079</v>
      </c>
      <c r="E9524" s="9" t="s">
        <v>27</v>
      </c>
    </row>
    <row r="9525" spans="1:5" ht="15" customHeight="1" outlineLevel="2" x14ac:dyDescent="0.25">
      <c r="A9525" s="3" t="str">
        <f>HYPERLINK("http://mystore1.ru/price_items/search?utf8=%E2%9C%93&amp;oem=8533LCLH3FD","8533LCLH3FD")</f>
        <v>8533LCLH3FD</v>
      </c>
      <c r="B9525" s="1" t="s">
        <v>18080</v>
      </c>
      <c r="C9525" s="9" t="s">
        <v>311</v>
      </c>
      <c r="D9525" s="14" t="s">
        <v>18081</v>
      </c>
      <c r="E9525" s="9" t="s">
        <v>11</v>
      </c>
    </row>
    <row r="9526" spans="1:5" ht="15" customHeight="1" outlineLevel="2" x14ac:dyDescent="0.25">
      <c r="A9526" s="3" t="str">
        <f>HYPERLINK("http://mystore1.ru/price_items/search?utf8=%E2%9C%93&amp;oem=8533LCLH3FD1J","8533LCLH3FD1J")</f>
        <v>8533LCLH3FD1J</v>
      </c>
      <c r="B9526" s="1" t="s">
        <v>18082</v>
      </c>
      <c r="C9526" s="9" t="s">
        <v>311</v>
      </c>
      <c r="D9526" s="14" t="s">
        <v>18081</v>
      </c>
      <c r="E9526" s="9" t="s">
        <v>11</v>
      </c>
    </row>
    <row r="9527" spans="1:5" ht="15" customHeight="1" outlineLevel="2" x14ac:dyDescent="0.25">
      <c r="A9527" s="3" t="str">
        <f>HYPERLINK("http://mystore1.ru/price_items/search?utf8=%E2%9C%93&amp;oem=8533LCLH3RQ","8533LCLH3RQ")</f>
        <v>8533LCLH3RQ</v>
      </c>
      <c r="B9527" s="1" t="s">
        <v>18083</v>
      </c>
      <c r="C9527" s="9" t="s">
        <v>311</v>
      </c>
      <c r="D9527" s="14" t="s">
        <v>18084</v>
      </c>
      <c r="E9527" s="9" t="s">
        <v>11</v>
      </c>
    </row>
    <row r="9528" spans="1:5" ht="15" customHeight="1" outlineLevel="2" x14ac:dyDescent="0.25">
      <c r="A9528" s="3" t="str">
        <f>HYPERLINK("http://mystore1.ru/price_items/search?utf8=%E2%9C%93&amp;oem=8533LCLH5FD","8533LCLH5FD")</f>
        <v>8533LCLH5FD</v>
      </c>
      <c r="B9528" s="1" t="s">
        <v>18085</v>
      </c>
      <c r="C9528" s="9" t="s">
        <v>311</v>
      </c>
      <c r="D9528" s="14" t="s">
        <v>18086</v>
      </c>
      <c r="E9528" s="9" t="s">
        <v>11</v>
      </c>
    </row>
    <row r="9529" spans="1:5" ht="15" customHeight="1" outlineLevel="2" x14ac:dyDescent="0.25">
      <c r="A9529" s="3" t="str">
        <f>HYPERLINK("http://mystore1.ru/price_items/search?utf8=%E2%9C%93&amp;oem=8533LCLH5FD1J","8533LCLH5FD1J")</f>
        <v>8533LCLH5FD1J</v>
      </c>
      <c r="B9529" s="1" t="s">
        <v>18087</v>
      </c>
      <c r="C9529" s="9" t="s">
        <v>311</v>
      </c>
      <c r="D9529" s="14" t="s">
        <v>18086</v>
      </c>
      <c r="E9529" s="9" t="s">
        <v>11</v>
      </c>
    </row>
    <row r="9530" spans="1:5" ht="15" customHeight="1" outlineLevel="2" x14ac:dyDescent="0.25">
      <c r="A9530" s="3" t="str">
        <f>HYPERLINK("http://mystore1.ru/price_items/search?utf8=%E2%9C%93&amp;oem=8533LCLH5RD","8533LCLH5RD")</f>
        <v>8533LCLH5RD</v>
      </c>
      <c r="B9530" s="1" t="s">
        <v>18088</v>
      </c>
      <c r="C9530" s="9" t="s">
        <v>311</v>
      </c>
      <c r="D9530" s="14" t="s">
        <v>18089</v>
      </c>
      <c r="E9530" s="9" t="s">
        <v>11</v>
      </c>
    </row>
    <row r="9531" spans="1:5" ht="15" customHeight="1" outlineLevel="2" x14ac:dyDescent="0.25">
      <c r="A9531" s="3" t="str">
        <f>HYPERLINK("http://mystore1.ru/price_items/search?utf8=%E2%9C%93&amp;oem=8533LCLH5RV","8533LCLH5RV")</f>
        <v>8533LCLH5RV</v>
      </c>
      <c r="B9531" s="1" t="s">
        <v>18090</v>
      </c>
      <c r="C9531" s="9" t="s">
        <v>311</v>
      </c>
      <c r="D9531" s="14" t="s">
        <v>18091</v>
      </c>
      <c r="E9531" s="9" t="s">
        <v>11</v>
      </c>
    </row>
    <row r="9532" spans="1:5" ht="15" customHeight="1" outlineLevel="2" x14ac:dyDescent="0.25">
      <c r="A9532" s="3" t="str">
        <f>HYPERLINK("http://mystore1.ru/price_items/search?utf8=%E2%9C%93&amp;oem=8533LGNH3FD","8533LGNH3FD")</f>
        <v>8533LGNH3FD</v>
      </c>
      <c r="B9532" s="1" t="s">
        <v>18092</v>
      </c>
      <c r="C9532" s="9" t="s">
        <v>311</v>
      </c>
      <c r="D9532" s="14" t="s">
        <v>18093</v>
      </c>
      <c r="E9532" s="9" t="s">
        <v>11</v>
      </c>
    </row>
    <row r="9533" spans="1:5" ht="15" customHeight="1" outlineLevel="2" x14ac:dyDescent="0.25">
      <c r="A9533" s="3" t="str">
        <f>HYPERLINK("http://mystore1.ru/price_items/search?utf8=%E2%9C%93&amp;oem=8533LGNH3FD1J","8533LGNH3FD1J")</f>
        <v>8533LGNH3FD1J</v>
      </c>
      <c r="B9533" s="1" t="s">
        <v>18094</v>
      </c>
      <c r="C9533" s="9" t="s">
        <v>311</v>
      </c>
      <c r="D9533" s="14" t="s">
        <v>18093</v>
      </c>
      <c r="E9533" s="9" t="s">
        <v>11</v>
      </c>
    </row>
    <row r="9534" spans="1:5" ht="15" customHeight="1" outlineLevel="2" x14ac:dyDescent="0.25">
      <c r="A9534" s="3" t="str">
        <f>HYPERLINK("http://mystore1.ru/price_items/search?utf8=%E2%9C%93&amp;oem=8533LGNH3RQ","8533LGNH3RQ")</f>
        <v>8533LGNH3RQ</v>
      </c>
      <c r="B9534" s="1" t="s">
        <v>18095</v>
      </c>
      <c r="C9534" s="9" t="s">
        <v>311</v>
      </c>
      <c r="D9534" s="14" t="s">
        <v>18096</v>
      </c>
      <c r="E9534" s="9" t="s">
        <v>11</v>
      </c>
    </row>
    <row r="9535" spans="1:5" ht="15" customHeight="1" outlineLevel="2" x14ac:dyDescent="0.25">
      <c r="A9535" s="3" t="str">
        <f>HYPERLINK("http://mystore1.ru/price_items/search?utf8=%E2%9C%93&amp;oem=8533LGNH5FD1J","8533LGNH5FD1J")</f>
        <v>8533LGNH5FD1J</v>
      </c>
      <c r="B9535" s="1" t="s">
        <v>18097</v>
      </c>
      <c r="C9535" s="9" t="s">
        <v>311</v>
      </c>
      <c r="D9535" s="14" t="s">
        <v>18098</v>
      </c>
      <c r="E9535" s="9" t="s">
        <v>11</v>
      </c>
    </row>
    <row r="9536" spans="1:5" ht="15" customHeight="1" outlineLevel="2" x14ac:dyDescent="0.25">
      <c r="A9536" s="3" t="str">
        <f>HYPERLINK("http://mystore1.ru/price_items/search?utf8=%E2%9C%93&amp;oem=8533LGNH5RD","8533LGNH5RD")</f>
        <v>8533LGNH5RD</v>
      </c>
      <c r="B9536" s="1" t="s">
        <v>18099</v>
      </c>
      <c r="C9536" s="9" t="s">
        <v>311</v>
      </c>
      <c r="D9536" s="14" t="s">
        <v>18100</v>
      </c>
      <c r="E9536" s="9" t="s">
        <v>11</v>
      </c>
    </row>
    <row r="9537" spans="1:5" ht="15" customHeight="1" outlineLevel="2" x14ac:dyDescent="0.25">
      <c r="A9537" s="3" t="str">
        <f>HYPERLINK("http://mystore1.ru/price_items/search?utf8=%E2%9C%93&amp;oem=8533LGNH5RV","8533LGNH5RV")</f>
        <v>8533LGNH5RV</v>
      </c>
      <c r="B9537" s="1" t="s">
        <v>18101</v>
      </c>
      <c r="C9537" s="9" t="s">
        <v>311</v>
      </c>
      <c r="D9537" s="14" t="s">
        <v>18102</v>
      </c>
      <c r="E9537" s="9" t="s">
        <v>11</v>
      </c>
    </row>
    <row r="9538" spans="1:5" ht="15" customHeight="1" outlineLevel="2" x14ac:dyDescent="0.25">
      <c r="A9538" s="3" t="str">
        <f>HYPERLINK("http://mystore1.ru/price_items/search?utf8=%E2%9C%93&amp;oem=8533RCLH3FD","8533RCLH3FD")</f>
        <v>8533RCLH3FD</v>
      </c>
      <c r="B9538" s="1" t="s">
        <v>18103</v>
      </c>
      <c r="C9538" s="9" t="s">
        <v>311</v>
      </c>
      <c r="D9538" s="14" t="s">
        <v>18104</v>
      </c>
      <c r="E9538" s="9" t="s">
        <v>11</v>
      </c>
    </row>
    <row r="9539" spans="1:5" ht="15" customHeight="1" outlineLevel="2" x14ac:dyDescent="0.25">
      <c r="A9539" s="3" t="str">
        <f>HYPERLINK("http://mystore1.ru/price_items/search?utf8=%E2%9C%93&amp;oem=8533RCLH3FD1J","8533RCLH3FD1J")</f>
        <v>8533RCLH3FD1J</v>
      </c>
      <c r="B9539" s="1" t="s">
        <v>18105</v>
      </c>
      <c r="C9539" s="9" t="s">
        <v>311</v>
      </c>
      <c r="D9539" s="14" t="s">
        <v>18104</v>
      </c>
      <c r="E9539" s="9" t="s">
        <v>11</v>
      </c>
    </row>
    <row r="9540" spans="1:5" ht="15" customHeight="1" outlineLevel="2" x14ac:dyDescent="0.25">
      <c r="A9540" s="3" t="str">
        <f>HYPERLINK("http://mystore1.ru/price_items/search?utf8=%E2%9C%93&amp;oem=8533RCLH3RQ","8533RCLH3RQ")</f>
        <v>8533RCLH3RQ</v>
      </c>
      <c r="B9540" s="1" t="s">
        <v>18106</v>
      </c>
      <c r="C9540" s="9" t="s">
        <v>311</v>
      </c>
      <c r="D9540" s="14" t="s">
        <v>18107</v>
      </c>
      <c r="E9540" s="9" t="s">
        <v>11</v>
      </c>
    </row>
    <row r="9541" spans="1:5" ht="15" customHeight="1" outlineLevel="2" x14ac:dyDescent="0.25">
      <c r="A9541" s="3" t="str">
        <f>HYPERLINK("http://mystore1.ru/price_items/search?utf8=%E2%9C%93&amp;oem=8533RCLH5FD","8533RCLH5FD")</f>
        <v>8533RCLH5FD</v>
      </c>
      <c r="B9541" s="1" t="s">
        <v>18108</v>
      </c>
      <c r="C9541" s="9" t="s">
        <v>311</v>
      </c>
      <c r="D9541" s="14" t="s">
        <v>18109</v>
      </c>
      <c r="E9541" s="9" t="s">
        <v>11</v>
      </c>
    </row>
    <row r="9542" spans="1:5" ht="15" customHeight="1" outlineLevel="2" x14ac:dyDescent="0.25">
      <c r="A9542" s="3" t="str">
        <f>HYPERLINK("http://mystore1.ru/price_items/search?utf8=%E2%9C%93&amp;oem=8533RCLH5FD1J","8533RCLH5FD1J")</f>
        <v>8533RCLH5FD1J</v>
      </c>
      <c r="B9542" s="1" t="s">
        <v>18110</v>
      </c>
      <c r="C9542" s="9" t="s">
        <v>311</v>
      </c>
      <c r="D9542" s="14" t="s">
        <v>18109</v>
      </c>
      <c r="E9542" s="9" t="s">
        <v>11</v>
      </c>
    </row>
    <row r="9543" spans="1:5" ht="15" customHeight="1" outlineLevel="2" x14ac:dyDescent="0.25">
      <c r="A9543" s="3" t="str">
        <f>HYPERLINK("http://mystore1.ru/price_items/search?utf8=%E2%9C%93&amp;oem=8533RCLH5RD","8533RCLH5RD")</f>
        <v>8533RCLH5RD</v>
      </c>
      <c r="B9543" s="1" t="s">
        <v>18111</v>
      </c>
      <c r="C9543" s="9" t="s">
        <v>311</v>
      </c>
      <c r="D9543" s="14" t="s">
        <v>18112</v>
      </c>
      <c r="E9543" s="9" t="s">
        <v>11</v>
      </c>
    </row>
    <row r="9544" spans="1:5" ht="15" customHeight="1" outlineLevel="2" x14ac:dyDescent="0.25">
      <c r="A9544" s="3" t="str">
        <f>HYPERLINK("http://mystore1.ru/price_items/search?utf8=%E2%9C%93&amp;oem=8533RCLH5RV","8533RCLH5RV")</f>
        <v>8533RCLH5RV</v>
      </c>
      <c r="B9544" s="1" t="s">
        <v>18113</v>
      </c>
      <c r="C9544" s="9" t="s">
        <v>311</v>
      </c>
      <c r="D9544" s="14" t="s">
        <v>18114</v>
      </c>
      <c r="E9544" s="9" t="s">
        <v>11</v>
      </c>
    </row>
    <row r="9545" spans="1:5" ht="15" customHeight="1" outlineLevel="2" x14ac:dyDescent="0.25">
      <c r="A9545" s="3" t="str">
        <f>HYPERLINK("http://mystore1.ru/price_items/search?utf8=%E2%9C%93&amp;oem=8533RGNH3FD","8533RGNH3FD")</f>
        <v>8533RGNH3FD</v>
      </c>
      <c r="B9545" s="1" t="s">
        <v>18115</v>
      </c>
      <c r="C9545" s="9" t="s">
        <v>311</v>
      </c>
      <c r="D9545" s="14" t="s">
        <v>18116</v>
      </c>
      <c r="E9545" s="9" t="s">
        <v>11</v>
      </c>
    </row>
    <row r="9546" spans="1:5" ht="15" customHeight="1" outlineLevel="2" x14ac:dyDescent="0.25">
      <c r="A9546" s="3" t="str">
        <f>HYPERLINK("http://mystore1.ru/price_items/search?utf8=%E2%9C%93&amp;oem=8533RGNH3FD1J","8533RGNH3FD1J")</f>
        <v>8533RGNH3FD1J</v>
      </c>
      <c r="B9546" s="1" t="s">
        <v>18117</v>
      </c>
      <c r="C9546" s="9" t="s">
        <v>311</v>
      </c>
      <c r="D9546" s="14" t="s">
        <v>18116</v>
      </c>
      <c r="E9546" s="9" t="s">
        <v>11</v>
      </c>
    </row>
    <row r="9547" spans="1:5" ht="15" customHeight="1" outlineLevel="2" x14ac:dyDescent="0.25">
      <c r="A9547" s="3" t="str">
        <f>HYPERLINK("http://mystore1.ru/price_items/search?utf8=%E2%9C%93&amp;oem=8533RGNH3RQ","8533RGNH3RQ")</f>
        <v>8533RGNH3RQ</v>
      </c>
      <c r="B9547" s="1" t="s">
        <v>18118</v>
      </c>
      <c r="C9547" s="9" t="s">
        <v>311</v>
      </c>
      <c r="D9547" s="14" t="s">
        <v>18119</v>
      </c>
      <c r="E9547" s="9" t="s">
        <v>11</v>
      </c>
    </row>
    <row r="9548" spans="1:5" ht="15" customHeight="1" outlineLevel="2" x14ac:dyDescent="0.25">
      <c r="A9548" s="3" t="str">
        <f>HYPERLINK("http://mystore1.ru/price_items/search?utf8=%E2%9C%93&amp;oem=8533RGNH5FD","8533RGNH5FD")</f>
        <v>8533RGNH5FD</v>
      </c>
      <c r="B9548" s="1" t="s">
        <v>18120</v>
      </c>
      <c r="C9548" s="9" t="s">
        <v>311</v>
      </c>
      <c r="D9548" s="14" t="s">
        <v>18121</v>
      </c>
      <c r="E9548" s="9" t="s">
        <v>11</v>
      </c>
    </row>
    <row r="9549" spans="1:5" ht="15" customHeight="1" outlineLevel="2" x14ac:dyDescent="0.25">
      <c r="A9549" s="3" t="str">
        <f>HYPERLINK("http://mystore1.ru/price_items/search?utf8=%E2%9C%93&amp;oem=8533RGNH5FD1J","8533RGNH5FD1J")</f>
        <v>8533RGNH5FD1J</v>
      </c>
      <c r="B9549" s="1" t="s">
        <v>18122</v>
      </c>
      <c r="C9549" s="9" t="s">
        <v>311</v>
      </c>
      <c r="D9549" s="14" t="s">
        <v>18121</v>
      </c>
      <c r="E9549" s="9" t="s">
        <v>11</v>
      </c>
    </row>
    <row r="9550" spans="1:5" ht="15" customHeight="1" outlineLevel="2" x14ac:dyDescent="0.25">
      <c r="A9550" s="3" t="str">
        <f>HYPERLINK("http://mystore1.ru/price_items/search?utf8=%E2%9C%93&amp;oem=8533RGNH5RD","8533RGNH5RD")</f>
        <v>8533RGNH5RD</v>
      </c>
      <c r="B9550" s="1" t="s">
        <v>18123</v>
      </c>
      <c r="C9550" s="9" t="s">
        <v>311</v>
      </c>
      <c r="D9550" s="14" t="s">
        <v>18124</v>
      </c>
      <c r="E9550" s="9" t="s">
        <v>11</v>
      </c>
    </row>
    <row r="9551" spans="1:5" ht="15" customHeight="1" outlineLevel="2" x14ac:dyDescent="0.25">
      <c r="A9551" s="3" t="str">
        <f>HYPERLINK("http://mystore1.ru/price_items/search?utf8=%E2%9C%93&amp;oem=8533RGNH5RV","8533RGNH5RV")</f>
        <v>8533RGNH5RV</v>
      </c>
      <c r="B9551" s="1" t="s">
        <v>18125</v>
      </c>
      <c r="C9551" s="9" t="s">
        <v>311</v>
      </c>
      <c r="D9551" s="14" t="s">
        <v>18126</v>
      </c>
      <c r="E9551" s="9" t="s">
        <v>11</v>
      </c>
    </row>
    <row r="9552" spans="1:5" outlineLevel="1" x14ac:dyDescent="0.25">
      <c r="A9552" s="2"/>
      <c r="B9552" s="6" t="s">
        <v>18127</v>
      </c>
      <c r="C9552" s="8"/>
      <c r="D9552" s="8"/>
      <c r="E9552" s="8"/>
    </row>
    <row r="9553" spans="1:5" ht="15" customHeight="1" outlineLevel="2" x14ac:dyDescent="0.25">
      <c r="A9553" s="3" t="str">
        <f>HYPERLINK("http://mystore1.ru/price_items/search?utf8=%E2%9C%93&amp;oem=8543AGNGNZ1C","8543AGNGNZ1C")</f>
        <v>8543AGNGNZ1C</v>
      </c>
      <c r="B9553" s="1" t="s">
        <v>18128</v>
      </c>
      <c r="C9553" s="9" t="s">
        <v>18129</v>
      </c>
      <c r="D9553" s="14" t="s">
        <v>18130</v>
      </c>
      <c r="E9553" s="9" t="s">
        <v>8</v>
      </c>
    </row>
    <row r="9554" spans="1:5" ht="15" customHeight="1" outlineLevel="2" x14ac:dyDescent="0.25">
      <c r="A9554" s="3" t="str">
        <f>HYPERLINK("http://mystore1.ru/price_items/search?utf8=%E2%9C%93&amp;oem=8543AKMTS","8543AKMTS")</f>
        <v>8543AKMTS</v>
      </c>
      <c r="B9554" s="1" t="s">
        <v>18131</v>
      </c>
      <c r="C9554" s="9" t="s">
        <v>25</v>
      </c>
      <c r="D9554" s="14" t="s">
        <v>18132</v>
      </c>
      <c r="E9554" s="9" t="s">
        <v>27</v>
      </c>
    </row>
    <row r="9555" spans="1:5" ht="15" customHeight="1" outlineLevel="2" x14ac:dyDescent="0.25">
      <c r="A9555" s="3" t="str">
        <f>HYPERLINK("http://mystore1.ru/price_items/search?utf8=%E2%9C%93&amp;oem=8543LGNT2FD","8543LGNT2FD")</f>
        <v>8543LGNT2FD</v>
      </c>
      <c r="B9555" s="1" t="s">
        <v>18133</v>
      </c>
      <c r="C9555" s="9" t="s">
        <v>25</v>
      </c>
      <c r="D9555" s="14" t="s">
        <v>18134</v>
      </c>
      <c r="E9555" s="9" t="s">
        <v>11</v>
      </c>
    </row>
    <row r="9556" spans="1:5" outlineLevel="1" x14ac:dyDescent="0.25">
      <c r="A9556" s="2"/>
      <c r="B9556" s="6" t="s">
        <v>18135</v>
      </c>
      <c r="C9556" s="8"/>
      <c r="D9556" s="8"/>
      <c r="E9556" s="8"/>
    </row>
    <row r="9557" spans="1:5" ht="15" customHeight="1" outlineLevel="2" x14ac:dyDescent="0.25">
      <c r="A9557" s="3" t="str">
        <f>HYPERLINK("http://mystore1.ru/price_items/search?utf8=%E2%9C%93&amp;oem=8541ACLZ","8541ACLZ")</f>
        <v>8541ACLZ</v>
      </c>
      <c r="B9557" s="1" t="s">
        <v>18136</v>
      </c>
      <c r="C9557" s="9" t="s">
        <v>335</v>
      </c>
      <c r="D9557" s="14" t="s">
        <v>18137</v>
      </c>
      <c r="E9557" s="9" t="s">
        <v>8</v>
      </c>
    </row>
    <row r="9558" spans="1:5" ht="15" customHeight="1" outlineLevel="2" x14ac:dyDescent="0.25">
      <c r="A9558" s="3" t="str">
        <f>HYPERLINK("http://mystore1.ru/price_items/search?utf8=%E2%9C%93&amp;oem=8541ACLZ1C","8541ACLZ1C")</f>
        <v>8541ACLZ1C</v>
      </c>
      <c r="B9558" s="1" t="s">
        <v>18138</v>
      </c>
      <c r="C9558" s="9" t="s">
        <v>15996</v>
      </c>
      <c r="D9558" s="14" t="s">
        <v>18139</v>
      </c>
      <c r="E9558" s="9" t="s">
        <v>8</v>
      </c>
    </row>
    <row r="9559" spans="1:5" ht="15" customHeight="1" outlineLevel="2" x14ac:dyDescent="0.25">
      <c r="A9559" s="3" t="str">
        <f>HYPERLINK("http://mystore1.ru/price_items/search?utf8=%E2%9C%93&amp;oem=8541AGNBLZ","8541AGNBLZ")</f>
        <v>8541AGNBLZ</v>
      </c>
      <c r="B9559" s="1" t="s">
        <v>18140</v>
      </c>
      <c r="C9559" s="9" t="s">
        <v>15996</v>
      </c>
      <c r="D9559" s="14" t="s">
        <v>18141</v>
      </c>
      <c r="E9559" s="9" t="s">
        <v>8</v>
      </c>
    </row>
    <row r="9560" spans="1:5" ht="15" customHeight="1" outlineLevel="2" x14ac:dyDescent="0.25">
      <c r="A9560" s="3" t="str">
        <f>HYPERLINK("http://mystore1.ru/price_items/search?utf8=%E2%9C%93&amp;oem=8541AGNBLZ1C","8541AGNBLZ1C")</f>
        <v>8541AGNBLZ1C</v>
      </c>
      <c r="B9560" s="1" t="s">
        <v>18142</v>
      </c>
      <c r="C9560" s="9" t="s">
        <v>15996</v>
      </c>
      <c r="D9560" s="14" t="s">
        <v>18143</v>
      </c>
      <c r="E9560" s="9" t="s">
        <v>8</v>
      </c>
    </row>
    <row r="9561" spans="1:5" ht="15" customHeight="1" outlineLevel="2" x14ac:dyDescent="0.25">
      <c r="A9561" s="3" t="str">
        <f>HYPERLINK("http://mystore1.ru/price_items/search?utf8=%E2%9C%93&amp;oem=8541AGNGNZ","8541AGNGNZ")</f>
        <v>8541AGNGNZ</v>
      </c>
      <c r="B9561" s="1" t="s">
        <v>18144</v>
      </c>
      <c r="C9561" s="9" t="s">
        <v>15996</v>
      </c>
      <c r="D9561" s="14" t="s">
        <v>18145</v>
      </c>
      <c r="E9561" s="9" t="s">
        <v>8</v>
      </c>
    </row>
    <row r="9562" spans="1:5" ht="15" customHeight="1" outlineLevel="2" x14ac:dyDescent="0.25">
      <c r="A9562" s="3" t="str">
        <f>HYPERLINK("http://mystore1.ru/price_items/search?utf8=%E2%9C%93&amp;oem=8541AGNGNZ1C","8541AGNGNZ1C")</f>
        <v>8541AGNGNZ1C</v>
      </c>
      <c r="B9562" s="1" t="s">
        <v>18146</v>
      </c>
      <c r="C9562" s="9" t="s">
        <v>15996</v>
      </c>
      <c r="D9562" s="14" t="s">
        <v>18147</v>
      </c>
      <c r="E9562" s="9" t="s">
        <v>8</v>
      </c>
    </row>
    <row r="9563" spans="1:5" ht="15" customHeight="1" outlineLevel="2" x14ac:dyDescent="0.25">
      <c r="A9563" s="3" t="str">
        <f>HYPERLINK("http://mystore1.ru/price_items/search?utf8=%E2%9C%93&amp;oem=8541AGNZ","8541AGNZ")</f>
        <v>8541AGNZ</v>
      </c>
      <c r="B9563" s="1" t="s">
        <v>18148</v>
      </c>
      <c r="C9563" s="9" t="s">
        <v>15996</v>
      </c>
      <c r="D9563" s="14" t="s">
        <v>18149</v>
      </c>
      <c r="E9563" s="9" t="s">
        <v>8</v>
      </c>
    </row>
    <row r="9564" spans="1:5" ht="15" customHeight="1" outlineLevel="2" x14ac:dyDescent="0.25">
      <c r="A9564" s="3" t="str">
        <f>HYPERLINK("http://mystore1.ru/price_items/search?utf8=%E2%9C%93&amp;oem=8541AGNZ1C","8541AGNZ1C")</f>
        <v>8541AGNZ1C</v>
      </c>
      <c r="B9564" s="1" t="s">
        <v>18150</v>
      </c>
      <c r="C9564" s="9" t="s">
        <v>15996</v>
      </c>
      <c r="D9564" s="14" t="s">
        <v>18151</v>
      </c>
      <c r="E9564" s="9" t="s">
        <v>8</v>
      </c>
    </row>
    <row r="9565" spans="1:5" ht="15" customHeight="1" outlineLevel="2" x14ac:dyDescent="0.25">
      <c r="A9565" s="3" t="str">
        <f>HYPERLINK("http://mystore1.ru/price_items/search?utf8=%E2%9C%93&amp;oem=8541AKCH","8541AKCH")</f>
        <v>8541AKCH</v>
      </c>
      <c r="B9565" s="1" t="s">
        <v>18152</v>
      </c>
      <c r="C9565" s="9" t="s">
        <v>25</v>
      </c>
      <c r="D9565" s="14" t="s">
        <v>18153</v>
      </c>
      <c r="E9565" s="9" t="s">
        <v>27</v>
      </c>
    </row>
    <row r="9566" spans="1:5" ht="15" customHeight="1" outlineLevel="2" x14ac:dyDescent="0.25">
      <c r="A9566" s="3" t="str">
        <f>HYPERLINK("http://mystore1.ru/price_items/search?utf8=%E2%9C%93&amp;oem=8541ASMHT","8541ASMHT")</f>
        <v>8541ASMHT</v>
      </c>
      <c r="B9566" s="1" t="s">
        <v>18154</v>
      </c>
      <c r="C9566" s="9" t="s">
        <v>25</v>
      </c>
      <c r="D9566" s="14" t="s">
        <v>18155</v>
      </c>
      <c r="E9566" s="9" t="s">
        <v>27</v>
      </c>
    </row>
    <row r="9567" spans="1:5" ht="15" customHeight="1" outlineLevel="2" x14ac:dyDescent="0.25">
      <c r="A9567" s="3" t="str">
        <f>HYPERLINK("http://mystore1.ru/price_items/search?utf8=%E2%9C%93&amp;oem=8541BCLHZ","8541BCLHZ")</f>
        <v>8541BCLHZ</v>
      </c>
      <c r="B9567" s="1" t="s">
        <v>18156</v>
      </c>
      <c r="C9567" s="9" t="s">
        <v>335</v>
      </c>
      <c r="D9567" s="14" t="s">
        <v>18157</v>
      </c>
      <c r="E9567" s="9" t="s">
        <v>30</v>
      </c>
    </row>
    <row r="9568" spans="1:5" ht="15" customHeight="1" outlineLevel="2" x14ac:dyDescent="0.25">
      <c r="A9568" s="3" t="str">
        <f>HYPERLINK("http://mystore1.ru/price_items/search?utf8=%E2%9C%93&amp;oem=8541BGNEBZ","8541BGNEBZ")</f>
        <v>8541BGNEBZ</v>
      </c>
      <c r="B9568" s="1" t="s">
        <v>18158</v>
      </c>
      <c r="C9568" s="9" t="s">
        <v>15996</v>
      </c>
      <c r="D9568" s="14" t="s">
        <v>18159</v>
      </c>
      <c r="E9568" s="9" t="s">
        <v>30</v>
      </c>
    </row>
    <row r="9569" spans="1:5" ht="15" customHeight="1" outlineLevel="2" x14ac:dyDescent="0.25">
      <c r="A9569" s="3" t="str">
        <f>HYPERLINK("http://mystore1.ru/price_items/search?utf8=%E2%9C%93&amp;oem=8541BGNEZ","8541BGNEZ")</f>
        <v>8541BGNEZ</v>
      </c>
      <c r="B9569" s="1" t="s">
        <v>18160</v>
      </c>
      <c r="C9569" s="9" t="s">
        <v>15996</v>
      </c>
      <c r="D9569" s="14" t="s">
        <v>18161</v>
      </c>
      <c r="E9569" s="9" t="s">
        <v>30</v>
      </c>
    </row>
    <row r="9570" spans="1:5" ht="15" customHeight="1" outlineLevel="2" x14ac:dyDescent="0.25">
      <c r="A9570" s="3" t="str">
        <f>HYPERLINK("http://mystore1.ru/price_items/search?utf8=%E2%9C%93&amp;oem=8541BGNHBZ","8541BGNHBZ")</f>
        <v>8541BGNHBZ</v>
      </c>
      <c r="B9570" s="1" t="s">
        <v>18162</v>
      </c>
      <c r="C9570" s="9" t="s">
        <v>18163</v>
      </c>
      <c r="D9570" s="14" t="s">
        <v>18164</v>
      </c>
      <c r="E9570" s="9" t="s">
        <v>30</v>
      </c>
    </row>
    <row r="9571" spans="1:5" ht="15" customHeight="1" outlineLevel="2" x14ac:dyDescent="0.25">
      <c r="A9571" s="3" t="str">
        <f>HYPERLINK("http://mystore1.ru/price_items/search?utf8=%E2%9C%93&amp;oem=8541BGNHBZ1H","8541BGNHBZ1H")</f>
        <v>8541BGNHBZ1H</v>
      </c>
      <c r="B9571" s="1" t="s">
        <v>18165</v>
      </c>
      <c r="C9571" s="9" t="s">
        <v>18163</v>
      </c>
      <c r="D9571" s="14" t="s">
        <v>18166</v>
      </c>
      <c r="E9571" s="9" t="s">
        <v>30</v>
      </c>
    </row>
    <row r="9572" spans="1:5" ht="15" customHeight="1" outlineLevel="2" x14ac:dyDescent="0.25">
      <c r="A9572" s="3" t="str">
        <f>HYPERLINK("http://mystore1.ru/price_items/search?utf8=%E2%9C%93&amp;oem=8541BGNHZ","8541BGNHZ")</f>
        <v>8541BGNHZ</v>
      </c>
      <c r="B9572" s="1" t="s">
        <v>18167</v>
      </c>
      <c r="C9572" s="9" t="s">
        <v>335</v>
      </c>
      <c r="D9572" s="14" t="s">
        <v>18168</v>
      </c>
      <c r="E9572" s="9" t="s">
        <v>30</v>
      </c>
    </row>
    <row r="9573" spans="1:5" ht="15" customHeight="1" outlineLevel="2" x14ac:dyDescent="0.25">
      <c r="A9573" s="3" t="str">
        <f>HYPERLINK("http://mystore1.ru/price_items/search?utf8=%E2%9C%93&amp;oem=8541BGNHZ1H","8541BGNHZ1H")</f>
        <v>8541BGNHZ1H</v>
      </c>
      <c r="B9573" s="1" t="s">
        <v>18169</v>
      </c>
      <c r="C9573" s="9" t="s">
        <v>335</v>
      </c>
      <c r="D9573" s="14" t="s">
        <v>18170</v>
      </c>
      <c r="E9573" s="9" t="s">
        <v>30</v>
      </c>
    </row>
    <row r="9574" spans="1:5" ht="15" customHeight="1" outlineLevel="2" x14ac:dyDescent="0.25">
      <c r="A9574" s="3" t="str">
        <f>HYPERLINK("http://mystore1.ru/price_items/search?utf8=%E2%9C%93&amp;oem=8541LCLE5RD","8541LCLE5RD")</f>
        <v>8541LCLE5RD</v>
      </c>
      <c r="B9574" s="1" t="s">
        <v>18171</v>
      </c>
      <c r="C9574" s="9" t="s">
        <v>15996</v>
      </c>
      <c r="D9574" s="14" t="s">
        <v>18172</v>
      </c>
      <c r="E9574" s="9" t="s">
        <v>11</v>
      </c>
    </row>
    <row r="9575" spans="1:5" ht="15" customHeight="1" outlineLevel="2" x14ac:dyDescent="0.25">
      <c r="A9575" s="3" t="str">
        <f>HYPERLINK("http://mystore1.ru/price_items/search?utf8=%E2%9C%93&amp;oem=8541LCLH3FD","8541LCLH3FD")</f>
        <v>8541LCLH3FD</v>
      </c>
      <c r="B9575" s="1" t="s">
        <v>18173</v>
      </c>
      <c r="C9575" s="9" t="s">
        <v>335</v>
      </c>
      <c r="D9575" s="14" t="s">
        <v>18174</v>
      </c>
      <c r="E9575" s="9" t="s">
        <v>11</v>
      </c>
    </row>
    <row r="9576" spans="1:5" ht="15" customHeight="1" outlineLevel="2" x14ac:dyDescent="0.25">
      <c r="A9576" s="3" t="str">
        <f>HYPERLINK("http://mystore1.ru/price_items/search?utf8=%E2%9C%93&amp;oem=8541LCLH3RQZ","8541LCLH3RQZ")</f>
        <v>8541LCLH3RQZ</v>
      </c>
      <c r="B9576" s="1" t="s">
        <v>18175</v>
      </c>
      <c r="C9576" s="9" t="s">
        <v>335</v>
      </c>
      <c r="D9576" s="14" t="s">
        <v>18176</v>
      </c>
      <c r="E9576" s="9" t="s">
        <v>11</v>
      </c>
    </row>
    <row r="9577" spans="1:5" ht="15" customHeight="1" outlineLevel="2" x14ac:dyDescent="0.25">
      <c r="A9577" s="3" t="str">
        <f>HYPERLINK("http://mystore1.ru/price_items/search?utf8=%E2%9C%93&amp;oem=8541LCLH5FD","8541LCLH5FD")</f>
        <v>8541LCLH5FD</v>
      </c>
      <c r="B9577" s="1" t="s">
        <v>18177</v>
      </c>
      <c r="C9577" s="9" t="s">
        <v>335</v>
      </c>
      <c r="D9577" s="14" t="s">
        <v>18178</v>
      </c>
      <c r="E9577" s="9" t="s">
        <v>11</v>
      </c>
    </row>
    <row r="9578" spans="1:5" ht="15" customHeight="1" outlineLevel="2" x14ac:dyDescent="0.25">
      <c r="A9578" s="3" t="str">
        <f>HYPERLINK("http://mystore1.ru/price_items/search?utf8=%E2%9C%93&amp;oem=8541LCLH5RD","8541LCLH5RD")</f>
        <v>8541LCLH5RD</v>
      </c>
      <c r="B9578" s="1" t="s">
        <v>18179</v>
      </c>
      <c r="C9578" s="9" t="s">
        <v>335</v>
      </c>
      <c r="D9578" s="14" t="s">
        <v>18180</v>
      </c>
      <c r="E9578" s="9" t="s">
        <v>11</v>
      </c>
    </row>
    <row r="9579" spans="1:5" ht="15" customHeight="1" outlineLevel="2" x14ac:dyDescent="0.25">
      <c r="A9579" s="3" t="str">
        <f>HYPERLINK("http://mystore1.ru/price_items/search?utf8=%E2%9C%93&amp;oem=8541LCLH5RV","8541LCLH5RV")</f>
        <v>8541LCLH5RV</v>
      </c>
      <c r="B9579" s="1" t="s">
        <v>18181</v>
      </c>
      <c r="C9579" s="9" t="s">
        <v>335</v>
      </c>
      <c r="D9579" s="14" t="s">
        <v>18182</v>
      </c>
      <c r="E9579" s="9" t="s">
        <v>11</v>
      </c>
    </row>
    <row r="9580" spans="1:5" ht="15" customHeight="1" outlineLevel="2" x14ac:dyDescent="0.25">
      <c r="A9580" s="3" t="str">
        <f>HYPERLINK("http://mystore1.ru/price_items/search?utf8=%E2%9C%93&amp;oem=8541LGNE5RD","8541LGNE5RD")</f>
        <v>8541LGNE5RD</v>
      </c>
      <c r="B9580" s="1" t="s">
        <v>18183</v>
      </c>
      <c r="C9580" s="9" t="s">
        <v>15996</v>
      </c>
      <c r="D9580" s="14" t="s">
        <v>18184</v>
      </c>
      <c r="E9580" s="9" t="s">
        <v>11</v>
      </c>
    </row>
    <row r="9581" spans="1:5" ht="15" customHeight="1" outlineLevel="2" x14ac:dyDescent="0.25">
      <c r="A9581" s="3" t="str">
        <f>HYPERLINK("http://mystore1.ru/price_items/search?utf8=%E2%9C%93&amp;oem=8541LGNE5RQZ","8541LGNE5RQZ")</f>
        <v>8541LGNE5RQZ</v>
      </c>
      <c r="B9581" s="1" t="s">
        <v>18185</v>
      </c>
      <c r="C9581" s="9" t="s">
        <v>15996</v>
      </c>
      <c r="D9581" s="14" t="s">
        <v>18186</v>
      </c>
      <c r="E9581" s="9" t="s">
        <v>11</v>
      </c>
    </row>
    <row r="9582" spans="1:5" ht="15" customHeight="1" outlineLevel="2" x14ac:dyDescent="0.25">
      <c r="A9582" s="3" t="str">
        <f>HYPERLINK("http://mystore1.ru/price_items/search?utf8=%E2%9C%93&amp;oem=8541LGNE5RV","8541LGNE5RV")</f>
        <v>8541LGNE5RV</v>
      </c>
      <c r="B9582" s="1" t="s">
        <v>18187</v>
      </c>
      <c r="C9582" s="9" t="s">
        <v>15996</v>
      </c>
      <c r="D9582" s="14" t="s">
        <v>18188</v>
      </c>
      <c r="E9582" s="9" t="s">
        <v>11</v>
      </c>
    </row>
    <row r="9583" spans="1:5" ht="15" customHeight="1" outlineLevel="2" x14ac:dyDescent="0.25">
      <c r="A9583" s="3" t="str">
        <f>HYPERLINK("http://mystore1.ru/price_items/search?utf8=%E2%9C%93&amp;oem=8541LGNH3FD","8541LGNH3FD")</f>
        <v>8541LGNH3FD</v>
      </c>
      <c r="B9583" s="1" t="s">
        <v>18189</v>
      </c>
      <c r="C9583" s="9" t="s">
        <v>335</v>
      </c>
      <c r="D9583" s="14" t="s">
        <v>18190</v>
      </c>
      <c r="E9583" s="9" t="s">
        <v>11</v>
      </c>
    </row>
    <row r="9584" spans="1:5" ht="15" customHeight="1" outlineLevel="2" x14ac:dyDescent="0.25">
      <c r="A9584" s="3" t="str">
        <f>HYPERLINK("http://mystore1.ru/price_items/search?utf8=%E2%9C%93&amp;oem=8541LGNH3RQZ","8541LGNH3RQZ")</f>
        <v>8541LGNH3RQZ</v>
      </c>
      <c r="B9584" s="1" t="s">
        <v>18191</v>
      </c>
      <c r="C9584" s="9" t="s">
        <v>335</v>
      </c>
      <c r="D9584" s="14" t="s">
        <v>18192</v>
      </c>
      <c r="E9584" s="9" t="s">
        <v>11</v>
      </c>
    </row>
    <row r="9585" spans="1:5" ht="15" customHeight="1" outlineLevel="2" x14ac:dyDescent="0.25">
      <c r="A9585" s="3" t="str">
        <f>HYPERLINK("http://mystore1.ru/price_items/search?utf8=%E2%9C%93&amp;oem=8541LGNH5FD","8541LGNH5FD")</f>
        <v>8541LGNH5FD</v>
      </c>
      <c r="B9585" s="1" t="s">
        <v>18193</v>
      </c>
      <c r="C9585" s="9" t="s">
        <v>335</v>
      </c>
      <c r="D9585" s="14" t="s">
        <v>18194</v>
      </c>
      <c r="E9585" s="9" t="s">
        <v>11</v>
      </c>
    </row>
    <row r="9586" spans="1:5" ht="15" customHeight="1" outlineLevel="2" x14ac:dyDescent="0.25">
      <c r="A9586" s="3" t="str">
        <f>HYPERLINK("http://mystore1.ru/price_items/search?utf8=%E2%9C%93&amp;oem=8541LGNH5RD","8541LGNH5RD")</f>
        <v>8541LGNH5RD</v>
      </c>
      <c r="B9586" s="1" t="s">
        <v>18195</v>
      </c>
      <c r="C9586" s="9" t="s">
        <v>335</v>
      </c>
      <c r="D9586" s="14" t="s">
        <v>18196</v>
      </c>
      <c r="E9586" s="9" t="s">
        <v>11</v>
      </c>
    </row>
    <row r="9587" spans="1:5" ht="15" customHeight="1" outlineLevel="2" x14ac:dyDescent="0.25">
      <c r="A9587" s="3" t="str">
        <f>HYPERLINK("http://mystore1.ru/price_items/search?utf8=%E2%9C%93&amp;oem=8541LGNH5RV","8541LGNH5RV")</f>
        <v>8541LGNH5RV</v>
      </c>
      <c r="B9587" s="1" t="s">
        <v>18197</v>
      </c>
      <c r="C9587" s="9" t="s">
        <v>335</v>
      </c>
      <c r="D9587" s="14" t="s">
        <v>18198</v>
      </c>
      <c r="E9587" s="9" t="s">
        <v>11</v>
      </c>
    </row>
    <row r="9588" spans="1:5" ht="15" customHeight="1" outlineLevel="2" x14ac:dyDescent="0.25">
      <c r="A9588" s="3" t="str">
        <f>HYPERLINK("http://mystore1.ru/price_items/search?utf8=%E2%9C%93&amp;oem=8541RCLE5RD","8541RCLE5RD")</f>
        <v>8541RCLE5RD</v>
      </c>
      <c r="B9588" s="1" t="s">
        <v>18199</v>
      </c>
      <c r="C9588" s="9" t="s">
        <v>15996</v>
      </c>
      <c r="D9588" s="14" t="s">
        <v>18200</v>
      </c>
      <c r="E9588" s="9" t="s">
        <v>11</v>
      </c>
    </row>
    <row r="9589" spans="1:5" ht="15" customHeight="1" outlineLevel="2" x14ac:dyDescent="0.25">
      <c r="A9589" s="3" t="str">
        <f>HYPERLINK("http://mystore1.ru/price_items/search?utf8=%E2%9C%93&amp;oem=8541RCLH3FD","8541RCLH3FD")</f>
        <v>8541RCLH3FD</v>
      </c>
      <c r="B9589" s="1" t="s">
        <v>18201</v>
      </c>
      <c r="C9589" s="9" t="s">
        <v>335</v>
      </c>
      <c r="D9589" s="14" t="s">
        <v>18202</v>
      </c>
      <c r="E9589" s="9" t="s">
        <v>11</v>
      </c>
    </row>
    <row r="9590" spans="1:5" ht="15" customHeight="1" outlineLevel="2" x14ac:dyDescent="0.25">
      <c r="A9590" s="3" t="str">
        <f>HYPERLINK("http://mystore1.ru/price_items/search?utf8=%E2%9C%93&amp;oem=8541RCLH3RQZ","8541RCLH3RQZ")</f>
        <v>8541RCLH3RQZ</v>
      </c>
      <c r="B9590" s="1" t="s">
        <v>18203</v>
      </c>
      <c r="C9590" s="9" t="s">
        <v>335</v>
      </c>
      <c r="D9590" s="14" t="s">
        <v>18204</v>
      </c>
      <c r="E9590" s="9" t="s">
        <v>11</v>
      </c>
    </row>
    <row r="9591" spans="1:5" ht="15" customHeight="1" outlineLevel="2" x14ac:dyDescent="0.25">
      <c r="A9591" s="3" t="str">
        <f>HYPERLINK("http://mystore1.ru/price_items/search?utf8=%E2%9C%93&amp;oem=8541RCLH5FD","8541RCLH5FD")</f>
        <v>8541RCLH5FD</v>
      </c>
      <c r="B9591" s="1" t="s">
        <v>18205</v>
      </c>
      <c r="C9591" s="9" t="s">
        <v>335</v>
      </c>
      <c r="D9591" s="14" t="s">
        <v>18206</v>
      </c>
      <c r="E9591" s="9" t="s">
        <v>11</v>
      </c>
    </row>
    <row r="9592" spans="1:5" ht="15" customHeight="1" outlineLevel="2" x14ac:dyDescent="0.25">
      <c r="A9592" s="3" t="str">
        <f>HYPERLINK("http://mystore1.ru/price_items/search?utf8=%E2%9C%93&amp;oem=8541RCLH5RD","8541RCLH5RD")</f>
        <v>8541RCLH5RD</v>
      </c>
      <c r="B9592" s="1" t="s">
        <v>18207</v>
      </c>
      <c r="C9592" s="9" t="s">
        <v>335</v>
      </c>
      <c r="D9592" s="14" t="s">
        <v>18208</v>
      </c>
      <c r="E9592" s="9" t="s">
        <v>11</v>
      </c>
    </row>
    <row r="9593" spans="1:5" ht="15" customHeight="1" outlineLevel="2" x14ac:dyDescent="0.25">
      <c r="A9593" s="3" t="str">
        <f>HYPERLINK("http://mystore1.ru/price_items/search?utf8=%E2%9C%93&amp;oem=8541RCLH5RV","8541RCLH5RV")</f>
        <v>8541RCLH5RV</v>
      </c>
      <c r="B9593" s="1" t="s">
        <v>18209</v>
      </c>
      <c r="C9593" s="9" t="s">
        <v>335</v>
      </c>
      <c r="D9593" s="14" t="s">
        <v>18210</v>
      </c>
      <c r="E9593" s="9" t="s">
        <v>11</v>
      </c>
    </row>
    <row r="9594" spans="1:5" ht="15" customHeight="1" outlineLevel="2" x14ac:dyDescent="0.25">
      <c r="A9594" s="3" t="str">
        <f>HYPERLINK("http://mystore1.ru/price_items/search?utf8=%E2%9C%93&amp;oem=8541RGNE5RD","8541RGNE5RD")</f>
        <v>8541RGNE5RD</v>
      </c>
      <c r="B9594" s="1" t="s">
        <v>18211</v>
      </c>
      <c r="C9594" s="9" t="s">
        <v>15996</v>
      </c>
      <c r="D9594" s="14" t="s">
        <v>18212</v>
      </c>
      <c r="E9594" s="9" t="s">
        <v>11</v>
      </c>
    </row>
    <row r="9595" spans="1:5" ht="15" customHeight="1" outlineLevel="2" x14ac:dyDescent="0.25">
      <c r="A9595" s="3" t="str">
        <f>HYPERLINK("http://mystore1.ru/price_items/search?utf8=%E2%9C%93&amp;oem=8541RGNE5RQZ","8541RGNE5RQZ")</f>
        <v>8541RGNE5RQZ</v>
      </c>
      <c r="B9595" s="1" t="s">
        <v>18213</v>
      </c>
      <c r="C9595" s="9" t="s">
        <v>15996</v>
      </c>
      <c r="D9595" s="14" t="s">
        <v>18214</v>
      </c>
      <c r="E9595" s="9" t="s">
        <v>11</v>
      </c>
    </row>
    <row r="9596" spans="1:5" ht="15" customHeight="1" outlineLevel="2" x14ac:dyDescent="0.25">
      <c r="A9596" s="3" t="str">
        <f>HYPERLINK("http://mystore1.ru/price_items/search?utf8=%E2%9C%93&amp;oem=8541RGNE5RV","8541RGNE5RV")</f>
        <v>8541RGNE5RV</v>
      </c>
      <c r="B9596" s="1" t="s">
        <v>18215</v>
      </c>
      <c r="C9596" s="9" t="s">
        <v>15996</v>
      </c>
      <c r="D9596" s="14" t="s">
        <v>18216</v>
      </c>
      <c r="E9596" s="9" t="s">
        <v>11</v>
      </c>
    </row>
    <row r="9597" spans="1:5" ht="15" customHeight="1" outlineLevel="2" x14ac:dyDescent="0.25">
      <c r="A9597" s="3" t="str">
        <f>HYPERLINK("http://mystore1.ru/price_items/search?utf8=%E2%9C%93&amp;oem=8541RGNH3FD","8541RGNH3FD")</f>
        <v>8541RGNH3FD</v>
      </c>
      <c r="B9597" s="1" t="s">
        <v>18217</v>
      </c>
      <c r="C9597" s="9" t="s">
        <v>335</v>
      </c>
      <c r="D9597" s="14" t="s">
        <v>18218</v>
      </c>
      <c r="E9597" s="9" t="s">
        <v>11</v>
      </c>
    </row>
    <row r="9598" spans="1:5" ht="15" customHeight="1" outlineLevel="2" x14ac:dyDescent="0.25">
      <c r="A9598" s="3" t="str">
        <f>HYPERLINK("http://mystore1.ru/price_items/search?utf8=%E2%9C%93&amp;oem=8541RGNH3RQZ","8541RGNH3RQZ")</f>
        <v>8541RGNH3RQZ</v>
      </c>
      <c r="B9598" s="1" t="s">
        <v>18219</v>
      </c>
      <c r="C9598" s="9" t="s">
        <v>335</v>
      </c>
      <c r="D9598" s="14" t="s">
        <v>18220</v>
      </c>
      <c r="E9598" s="9" t="s">
        <v>11</v>
      </c>
    </row>
    <row r="9599" spans="1:5" ht="15" customHeight="1" outlineLevel="2" x14ac:dyDescent="0.25">
      <c r="A9599" s="3" t="str">
        <f>HYPERLINK("http://mystore1.ru/price_items/search?utf8=%E2%9C%93&amp;oem=8541RGNH5FD","8541RGNH5FD")</f>
        <v>8541RGNH5FD</v>
      </c>
      <c r="B9599" s="1" t="s">
        <v>18221</v>
      </c>
      <c r="C9599" s="9" t="s">
        <v>335</v>
      </c>
      <c r="D9599" s="14" t="s">
        <v>18222</v>
      </c>
      <c r="E9599" s="9" t="s">
        <v>11</v>
      </c>
    </row>
    <row r="9600" spans="1:5" ht="15" customHeight="1" outlineLevel="2" x14ac:dyDescent="0.25">
      <c r="A9600" s="3" t="str">
        <f>HYPERLINK("http://mystore1.ru/price_items/search?utf8=%E2%9C%93&amp;oem=8541RGNH5RD","8541RGNH5RD")</f>
        <v>8541RGNH5RD</v>
      </c>
      <c r="B9600" s="1" t="s">
        <v>18223</v>
      </c>
      <c r="C9600" s="9" t="s">
        <v>335</v>
      </c>
      <c r="D9600" s="14" t="s">
        <v>18224</v>
      </c>
      <c r="E9600" s="9" t="s">
        <v>11</v>
      </c>
    </row>
    <row r="9601" spans="1:5" ht="15" customHeight="1" outlineLevel="2" x14ac:dyDescent="0.25">
      <c r="A9601" s="3" t="str">
        <f>HYPERLINK("http://mystore1.ru/price_items/search?utf8=%E2%9C%93&amp;oem=8541RGNH5RV","8541RGNH5RV")</f>
        <v>8541RGNH5RV</v>
      </c>
      <c r="B9601" s="1" t="s">
        <v>18225</v>
      </c>
      <c r="C9601" s="9" t="s">
        <v>335</v>
      </c>
      <c r="D9601" s="14" t="s">
        <v>18226</v>
      </c>
      <c r="E9601" s="9" t="s">
        <v>11</v>
      </c>
    </row>
    <row r="9602" spans="1:5" outlineLevel="1" x14ac:dyDescent="0.25">
      <c r="A9602" s="2"/>
      <c r="B9602" s="6" t="s">
        <v>18227</v>
      </c>
      <c r="C9602" s="7"/>
      <c r="D9602" s="8"/>
      <c r="E9602" s="8"/>
    </row>
    <row r="9603" spans="1:5" ht="15" customHeight="1" outlineLevel="2" x14ac:dyDescent="0.25">
      <c r="A9603" s="3" t="str">
        <f>HYPERLINK("http://mystore1.ru/price_items/search?utf8=%E2%9C%93&amp;oem=8558AGNBLVZ","8558AGNBLVZ")</f>
        <v>8558AGNBLVZ</v>
      </c>
      <c r="B9603" s="1" t="s">
        <v>18228</v>
      </c>
      <c r="C9603" s="9" t="s">
        <v>1171</v>
      </c>
      <c r="D9603" s="14" t="s">
        <v>18229</v>
      </c>
      <c r="E9603" s="9" t="s">
        <v>8</v>
      </c>
    </row>
    <row r="9604" spans="1:5" ht="15" customHeight="1" outlineLevel="2" x14ac:dyDescent="0.25">
      <c r="A9604" s="3" t="str">
        <f>HYPERLINK("http://mystore1.ru/price_items/search?utf8=%E2%9C%93&amp;oem=8558AGNGNVZ","8558AGNGNVZ")</f>
        <v>8558AGNGNVZ</v>
      </c>
      <c r="B9604" s="1" t="s">
        <v>18230</v>
      </c>
      <c r="C9604" s="9" t="s">
        <v>1171</v>
      </c>
      <c r="D9604" s="14" t="s">
        <v>18231</v>
      </c>
      <c r="E9604" s="9" t="s">
        <v>8</v>
      </c>
    </row>
    <row r="9605" spans="1:5" ht="15" customHeight="1" outlineLevel="2" x14ac:dyDescent="0.25">
      <c r="A9605" s="3" t="str">
        <f>HYPERLINK("http://mystore1.ru/price_items/search?utf8=%E2%9C%93&amp;oem=8558AGNGYMVZ","8558AGNGYMVZ")</f>
        <v>8558AGNGYMVZ</v>
      </c>
      <c r="B9605" s="1" t="s">
        <v>18232</v>
      </c>
      <c r="C9605" s="9" t="s">
        <v>1171</v>
      </c>
      <c r="D9605" s="14" t="s">
        <v>18233</v>
      </c>
      <c r="E9605" s="9" t="s">
        <v>8</v>
      </c>
    </row>
    <row r="9606" spans="1:5" ht="15" customHeight="1" outlineLevel="2" x14ac:dyDescent="0.25">
      <c r="A9606" s="3" t="str">
        <f>HYPERLINK("http://mystore1.ru/price_items/search?utf8=%E2%9C%93&amp;oem=8558AGNGYMZ","8558AGNGYMZ")</f>
        <v>8558AGNGYMZ</v>
      </c>
      <c r="B9606" s="1" t="s">
        <v>18234</v>
      </c>
      <c r="C9606" s="9" t="s">
        <v>1171</v>
      </c>
      <c r="D9606" s="14" t="s">
        <v>18235</v>
      </c>
      <c r="E9606" s="9" t="s">
        <v>8</v>
      </c>
    </row>
    <row r="9607" spans="1:5" ht="15" customHeight="1" outlineLevel="2" x14ac:dyDescent="0.25">
      <c r="A9607" s="3" t="str">
        <f>HYPERLINK("http://mystore1.ru/price_items/search?utf8=%E2%9C%93&amp;oem=8558AGNGYVZ","8558AGNGYVZ")</f>
        <v>8558AGNGYVZ</v>
      </c>
      <c r="B9607" s="1" t="s">
        <v>18236</v>
      </c>
      <c r="C9607" s="9" t="s">
        <v>1171</v>
      </c>
      <c r="D9607" s="14" t="s">
        <v>18237</v>
      </c>
      <c r="E9607" s="9" t="s">
        <v>8</v>
      </c>
    </row>
    <row r="9608" spans="1:5" ht="15" customHeight="1" outlineLevel="2" x14ac:dyDescent="0.25">
      <c r="A9608" s="3" t="str">
        <f>HYPERLINK("http://mystore1.ru/price_items/search?utf8=%E2%9C%93&amp;oem=8558AGNGYZ","8558AGNGYZ")</f>
        <v>8558AGNGYZ</v>
      </c>
      <c r="B9608" s="1" t="s">
        <v>18238</v>
      </c>
      <c r="C9608" s="9" t="s">
        <v>1171</v>
      </c>
      <c r="D9608" s="14" t="s">
        <v>18239</v>
      </c>
      <c r="E9608" s="9" t="s">
        <v>8</v>
      </c>
    </row>
    <row r="9609" spans="1:5" ht="15" customHeight="1" outlineLevel="2" x14ac:dyDescent="0.25">
      <c r="A9609" s="3" t="str">
        <f>HYPERLINK("http://mystore1.ru/price_items/search?utf8=%E2%9C%93&amp;oem=8558AGNMVZ","8558AGNMVZ")</f>
        <v>8558AGNMVZ</v>
      </c>
      <c r="B9609" s="1" t="s">
        <v>18240</v>
      </c>
      <c r="C9609" s="9" t="s">
        <v>1171</v>
      </c>
      <c r="D9609" s="14" t="s">
        <v>18241</v>
      </c>
      <c r="E9609" s="9" t="s">
        <v>8</v>
      </c>
    </row>
    <row r="9610" spans="1:5" ht="15" customHeight="1" outlineLevel="2" x14ac:dyDescent="0.25">
      <c r="A9610" s="3" t="str">
        <f>HYPERLINK("http://mystore1.ru/price_items/search?utf8=%E2%9C%93&amp;oem=8558AGNMZ","8558AGNMZ")</f>
        <v>8558AGNMZ</v>
      </c>
      <c r="B9610" s="1" t="s">
        <v>18242</v>
      </c>
      <c r="C9610" s="9" t="s">
        <v>1171</v>
      </c>
      <c r="D9610" s="14" t="s">
        <v>18243</v>
      </c>
      <c r="E9610" s="9" t="s">
        <v>8</v>
      </c>
    </row>
    <row r="9611" spans="1:5" ht="15" customHeight="1" outlineLevel="2" x14ac:dyDescent="0.25">
      <c r="A9611" s="3" t="str">
        <f>HYPERLINK("http://mystore1.ru/price_items/search?utf8=%E2%9C%93&amp;oem=8558AGNVZ","8558AGNVZ")</f>
        <v>8558AGNVZ</v>
      </c>
      <c r="B9611" s="1" t="s">
        <v>18244</v>
      </c>
      <c r="C9611" s="9" t="s">
        <v>1171</v>
      </c>
      <c r="D9611" s="14" t="s">
        <v>18245</v>
      </c>
      <c r="E9611" s="9" t="s">
        <v>8</v>
      </c>
    </row>
    <row r="9612" spans="1:5" ht="15" customHeight="1" outlineLevel="2" x14ac:dyDescent="0.25">
      <c r="A9612" s="3" t="str">
        <f>HYPERLINK("http://mystore1.ru/price_items/search?utf8=%E2%9C%93&amp;oem=8558AGNZ","8558AGNZ")</f>
        <v>8558AGNZ</v>
      </c>
      <c r="B9612" s="1" t="s">
        <v>18246</v>
      </c>
      <c r="C9612" s="9" t="s">
        <v>1171</v>
      </c>
      <c r="D9612" s="14" t="s">
        <v>18247</v>
      </c>
      <c r="E9612" s="9" t="s">
        <v>8</v>
      </c>
    </row>
    <row r="9613" spans="1:5" ht="15" customHeight="1" outlineLevel="2" x14ac:dyDescent="0.25">
      <c r="A9613" s="3" t="str">
        <f>HYPERLINK("http://mystore1.ru/price_items/search?utf8=%E2%9C%93&amp;oem=8558BGNEZ","8558BGNEZ")</f>
        <v>8558BGNEZ</v>
      </c>
      <c r="B9613" s="1" t="s">
        <v>18248</v>
      </c>
      <c r="C9613" s="9" t="s">
        <v>1171</v>
      </c>
      <c r="D9613" s="14" t="s">
        <v>18249</v>
      </c>
      <c r="E9613" s="9" t="s">
        <v>30</v>
      </c>
    </row>
    <row r="9614" spans="1:5" ht="15" customHeight="1" outlineLevel="2" x14ac:dyDescent="0.25">
      <c r="A9614" s="3" t="str">
        <f>HYPERLINK("http://mystore1.ru/price_items/search?utf8=%E2%9C%93&amp;oem=8558BGNHBZ","8558BGNHBZ")</f>
        <v>8558BGNHBZ</v>
      </c>
      <c r="B9614" s="1" t="s">
        <v>18250</v>
      </c>
      <c r="C9614" s="9" t="s">
        <v>1171</v>
      </c>
      <c r="D9614" s="14" t="s">
        <v>18251</v>
      </c>
      <c r="E9614" s="9" t="s">
        <v>30</v>
      </c>
    </row>
    <row r="9615" spans="1:5" ht="15" customHeight="1" outlineLevel="2" x14ac:dyDescent="0.25">
      <c r="A9615" s="3" t="str">
        <f>HYPERLINK("http://mystore1.ru/price_items/search?utf8=%E2%9C%93&amp;oem=8558BGNSBZ","8558BGNSBZ")</f>
        <v>8558BGNSBZ</v>
      </c>
      <c r="B9615" s="1" t="s">
        <v>18252</v>
      </c>
      <c r="C9615" s="9" t="s">
        <v>1171</v>
      </c>
      <c r="D9615" s="14" t="s">
        <v>18253</v>
      </c>
      <c r="E9615" s="9" t="s">
        <v>30</v>
      </c>
    </row>
    <row r="9616" spans="1:5" ht="15" customHeight="1" outlineLevel="2" x14ac:dyDescent="0.25">
      <c r="A9616" s="3" t="str">
        <f>HYPERLINK("http://mystore1.ru/price_items/search?utf8=%E2%9C%93&amp;oem=8558LBSE5RDW","8558LBSE5RDW")</f>
        <v>8558LBSE5RDW</v>
      </c>
      <c r="B9616" s="1" t="s">
        <v>18254</v>
      </c>
      <c r="C9616" s="9" t="s">
        <v>1171</v>
      </c>
      <c r="D9616" s="14" t="s">
        <v>18255</v>
      </c>
      <c r="E9616" s="9" t="s">
        <v>11</v>
      </c>
    </row>
    <row r="9617" spans="1:5" ht="15" customHeight="1" outlineLevel="2" x14ac:dyDescent="0.25">
      <c r="A9617" s="3" t="str">
        <f>HYPERLINK("http://mystore1.ru/price_items/search?utf8=%E2%9C%93&amp;oem=8558LBSH3FD","8558LBSH3FD")</f>
        <v>8558LBSH3FD</v>
      </c>
      <c r="B9617" s="1" t="s">
        <v>18256</v>
      </c>
      <c r="C9617" s="9" t="s">
        <v>1171</v>
      </c>
      <c r="D9617" s="14" t="s">
        <v>18257</v>
      </c>
      <c r="E9617" s="9" t="s">
        <v>11</v>
      </c>
    </row>
    <row r="9618" spans="1:5" ht="15" customHeight="1" outlineLevel="2" x14ac:dyDescent="0.25">
      <c r="A9618" s="3" t="str">
        <f>HYPERLINK("http://mystore1.ru/price_items/search?utf8=%E2%9C%93&amp;oem=8558LBSH5RDW1J","8558LBSH5RDW1J")</f>
        <v>8558LBSH5RDW1J</v>
      </c>
      <c r="B9618" s="1" t="s">
        <v>18258</v>
      </c>
      <c r="C9618" s="9" t="s">
        <v>1171</v>
      </c>
      <c r="D9618" s="14" t="s">
        <v>18259</v>
      </c>
      <c r="E9618" s="9" t="s">
        <v>11</v>
      </c>
    </row>
    <row r="9619" spans="1:5" ht="15" customHeight="1" outlineLevel="2" x14ac:dyDescent="0.25">
      <c r="A9619" s="3" t="str">
        <f>HYPERLINK("http://mystore1.ru/price_items/search?utf8=%E2%9C%93&amp;oem=8558LGNE5RDW","8558LGNE5RDW")</f>
        <v>8558LGNE5RDW</v>
      </c>
      <c r="B9619" s="1" t="s">
        <v>18260</v>
      </c>
      <c r="C9619" s="9" t="s">
        <v>1171</v>
      </c>
      <c r="D9619" s="14" t="s">
        <v>18261</v>
      </c>
      <c r="E9619" s="9" t="s">
        <v>11</v>
      </c>
    </row>
    <row r="9620" spans="1:5" ht="15" customHeight="1" outlineLevel="2" x14ac:dyDescent="0.25">
      <c r="A9620" s="3" t="str">
        <f>HYPERLINK("http://mystore1.ru/price_items/search?utf8=%E2%9C%93&amp;oem=8558LGNH3FD","8558LGNH3FD")</f>
        <v>8558LGNH3FD</v>
      </c>
      <c r="B9620" s="1" t="s">
        <v>18262</v>
      </c>
      <c r="C9620" s="9" t="s">
        <v>1171</v>
      </c>
      <c r="D9620" s="14" t="s">
        <v>18263</v>
      </c>
      <c r="E9620" s="9" t="s">
        <v>11</v>
      </c>
    </row>
    <row r="9621" spans="1:5" ht="15" customHeight="1" outlineLevel="2" x14ac:dyDescent="0.25">
      <c r="A9621" s="3" t="str">
        <f>HYPERLINK("http://mystore1.ru/price_items/search?utf8=%E2%9C%93&amp;oem=8558LGNH5FD","8558LGNH5FD")</f>
        <v>8558LGNH5FD</v>
      </c>
      <c r="B9621" s="1" t="s">
        <v>18264</v>
      </c>
      <c r="C9621" s="9" t="s">
        <v>1171</v>
      </c>
      <c r="D9621" s="14" t="s">
        <v>18263</v>
      </c>
      <c r="E9621" s="9" t="s">
        <v>11</v>
      </c>
    </row>
    <row r="9622" spans="1:5" ht="15" customHeight="1" outlineLevel="2" x14ac:dyDescent="0.25">
      <c r="A9622" s="3" t="str">
        <f>HYPERLINK("http://mystore1.ru/price_items/search?utf8=%E2%9C%93&amp;oem=8558LGNH5RDW1J","8558LGNH5RDW1J")</f>
        <v>8558LGNH5RDW1J</v>
      </c>
      <c r="B9622" s="1" t="s">
        <v>18265</v>
      </c>
      <c r="C9622" s="9" t="s">
        <v>1171</v>
      </c>
      <c r="D9622" s="14" t="s">
        <v>18266</v>
      </c>
      <c r="E9622" s="9" t="s">
        <v>11</v>
      </c>
    </row>
    <row r="9623" spans="1:5" ht="15" customHeight="1" outlineLevel="2" x14ac:dyDescent="0.25">
      <c r="A9623" s="3" t="str">
        <f>HYPERLINK("http://mystore1.ru/price_items/search?utf8=%E2%9C%93&amp;oem=8558LGNH5RV","8558LGNH5RV")</f>
        <v>8558LGNH5RV</v>
      </c>
      <c r="B9623" s="1" t="s">
        <v>18267</v>
      </c>
      <c r="C9623" s="9" t="s">
        <v>1171</v>
      </c>
      <c r="D9623" s="14" t="s">
        <v>18268</v>
      </c>
      <c r="E9623" s="9" t="s">
        <v>11</v>
      </c>
    </row>
    <row r="9624" spans="1:5" ht="15" customHeight="1" outlineLevel="2" x14ac:dyDescent="0.25">
      <c r="A9624" s="3" t="str">
        <f>HYPERLINK("http://mystore1.ru/price_items/search?utf8=%E2%9C%93&amp;oem=8558LGNS4RDW","8558LGNS4RDW")</f>
        <v>8558LGNS4RDW</v>
      </c>
      <c r="B9624" s="1" t="s">
        <v>18269</v>
      </c>
      <c r="C9624" s="9" t="s">
        <v>1171</v>
      </c>
      <c r="D9624" s="14" t="s">
        <v>18270</v>
      </c>
      <c r="E9624" s="9" t="s">
        <v>11</v>
      </c>
    </row>
    <row r="9625" spans="1:5" ht="15" customHeight="1" outlineLevel="2" x14ac:dyDescent="0.25">
      <c r="A9625" s="3" t="str">
        <f>HYPERLINK("http://mystore1.ru/price_items/search?utf8=%E2%9C%93&amp;oem=8558LGNS4RV","8558LGNS4RV")</f>
        <v>8558LGNS4RV</v>
      </c>
      <c r="B9625" s="1" t="s">
        <v>18271</v>
      </c>
      <c r="C9625" s="9" t="s">
        <v>1171</v>
      </c>
      <c r="D9625" s="14" t="s">
        <v>18272</v>
      </c>
      <c r="E9625" s="9" t="s">
        <v>11</v>
      </c>
    </row>
    <row r="9626" spans="1:5" ht="15" customHeight="1" outlineLevel="2" x14ac:dyDescent="0.25">
      <c r="A9626" s="3" t="str">
        <f>HYPERLINK("http://mystore1.ru/price_items/search?utf8=%E2%9C%93&amp;oem=8558LGPE5RDW","8558LGPE5RDW")</f>
        <v>8558LGPE5RDW</v>
      </c>
      <c r="B9626" s="1" t="s">
        <v>18273</v>
      </c>
      <c r="C9626" s="9" t="s">
        <v>1171</v>
      </c>
      <c r="D9626" s="14" t="s">
        <v>18274</v>
      </c>
      <c r="E9626" s="9" t="s">
        <v>11</v>
      </c>
    </row>
    <row r="9627" spans="1:5" ht="15" customHeight="1" outlineLevel="2" x14ac:dyDescent="0.25">
      <c r="A9627" s="3" t="str">
        <f>HYPERLINK("http://mystore1.ru/price_items/search?utf8=%E2%9C%93&amp;oem=8558RBSE5RDW","8558RBSE5RDW")</f>
        <v>8558RBSE5RDW</v>
      </c>
      <c r="B9627" s="1" t="s">
        <v>18275</v>
      </c>
      <c r="C9627" s="9" t="s">
        <v>1171</v>
      </c>
      <c r="D9627" s="14" t="s">
        <v>18276</v>
      </c>
      <c r="E9627" s="9" t="s">
        <v>11</v>
      </c>
    </row>
    <row r="9628" spans="1:5" ht="15" customHeight="1" outlineLevel="2" x14ac:dyDescent="0.25">
      <c r="A9628" s="3" t="str">
        <f>HYPERLINK("http://mystore1.ru/price_items/search?utf8=%E2%9C%93&amp;oem=8558RBSH3FD","8558RBSH3FD")</f>
        <v>8558RBSH3FD</v>
      </c>
      <c r="B9628" s="1" t="s">
        <v>18277</v>
      </c>
      <c r="C9628" s="9" t="s">
        <v>1171</v>
      </c>
      <c r="D9628" s="14" t="s">
        <v>18278</v>
      </c>
      <c r="E9628" s="9" t="s">
        <v>11</v>
      </c>
    </row>
    <row r="9629" spans="1:5" ht="15" customHeight="1" outlineLevel="2" x14ac:dyDescent="0.25">
      <c r="A9629" s="3" t="str">
        <f>HYPERLINK("http://mystore1.ru/price_items/search?utf8=%E2%9C%93&amp;oem=8558RBSH5RDW1J","8558RBSH5RDW1J")</f>
        <v>8558RBSH5RDW1J</v>
      </c>
      <c r="B9629" s="1" t="s">
        <v>18279</v>
      </c>
      <c r="C9629" s="9" t="s">
        <v>1171</v>
      </c>
      <c r="D9629" s="14" t="s">
        <v>18280</v>
      </c>
      <c r="E9629" s="9" t="s">
        <v>11</v>
      </c>
    </row>
    <row r="9630" spans="1:5" ht="15" customHeight="1" outlineLevel="2" x14ac:dyDescent="0.25">
      <c r="A9630" s="3" t="str">
        <f>HYPERLINK("http://mystore1.ru/price_items/search?utf8=%E2%9C%93&amp;oem=8558RCLH5RDW1J","8558RCLH5RDW1J")</f>
        <v>8558RCLH5RDW1J</v>
      </c>
      <c r="B9630" s="1" t="s">
        <v>18281</v>
      </c>
      <c r="C9630" s="9" t="s">
        <v>1171</v>
      </c>
      <c r="D9630" s="14" t="s">
        <v>18282</v>
      </c>
      <c r="E9630" s="9" t="s">
        <v>11</v>
      </c>
    </row>
    <row r="9631" spans="1:5" ht="15" customHeight="1" outlineLevel="2" x14ac:dyDescent="0.25">
      <c r="A9631" s="3" t="str">
        <f>HYPERLINK("http://mystore1.ru/price_items/search?utf8=%E2%9C%93&amp;oem=8558RGNE5RDW","8558RGNE5RDW")</f>
        <v>8558RGNE5RDW</v>
      </c>
      <c r="B9631" s="1" t="s">
        <v>18283</v>
      </c>
      <c r="C9631" s="9" t="s">
        <v>1171</v>
      </c>
      <c r="D9631" s="14" t="s">
        <v>18284</v>
      </c>
      <c r="E9631" s="9" t="s">
        <v>11</v>
      </c>
    </row>
    <row r="9632" spans="1:5" ht="15" customHeight="1" outlineLevel="2" x14ac:dyDescent="0.25">
      <c r="A9632" s="3" t="str">
        <f>HYPERLINK("http://mystore1.ru/price_items/search?utf8=%E2%9C%93&amp;oem=8558RGNH3FD","8558RGNH3FD")</f>
        <v>8558RGNH3FD</v>
      </c>
      <c r="B9632" s="1" t="s">
        <v>18285</v>
      </c>
      <c r="C9632" s="9" t="s">
        <v>1171</v>
      </c>
      <c r="D9632" s="14" t="s">
        <v>18286</v>
      </c>
      <c r="E9632" s="9" t="s">
        <v>11</v>
      </c>
    </row>
    <row r="9633" spans="1:5" ht="15" customHeight="1" outlineLevel="2" x14ac:dyDescent="0.25">
      <c r="A9633" s="3" t="str">
        <f>HYPERLINK("http://mystore1.ru/price_items/search?utf8=%E2%9C%93&amp;oem=8558RGNH5FD","8558RGNH5FD")</f>
        <v>8558RGNH5FD</v>
      </c>
      <c r="B9633" s="1" t="s">
        <v>18287</v>
      </c>
      <c r="C9633" s="9" t="s">
        <v>1171</v>
      </c>
      <c r="D9633" s="14" t="s">
        <v>18288</v>
      </c>
      <c r="E9633" s="9" t="s">
        <v>11</v>
      </c>
    </row>
    <row r="9634" spans="1:5" ht="15" customHeight="1" outlineLevel="2" x14ac:dyDescent="0.25">
      <c r="A9634" s="3" t="str">
        <f>HYPERLINK("http://mystore1.ru/price_items/search?utf8=%E2%9C%93&amp;oem=8558RGNH5RDW","8558RGNH5RDW")</f>
        <v>8558RGNH5RDW</v>
      </c>
      <c r="B9634" s="1" t="s">
        <v>18289</v>
      </c>
      <c r="C9634" s="9" t="s">
        <v>1171</v>
      </c>
      <c r="D9634" s="14" t="s">
        <v>18290</v>
      </c>
      <c r="E9634" s="9" t="s">
        <v>11</v>
      </c>
    </row>
    <row r="9635" spans="1:5" ht="15" customHeight="1" outlineLevel="2" x14ac:dyDescent="0.25">
      <c r="A9635" s="3" t="str">
        <f>HYPERLINK("http://mystore1.ru/price_items/search?utf8=%E2%9C%93&amp;oem=8558RGNH5RDW1J","8558RGNH5RDW1J")</f>
        <v>8558RGNH5RDW1J</v>
      </c>
      <c r="B9635" s="1" t="s">
        <v>18291</v>
      </c>
      <c r="C9635" s="9" t="s">
        <v>1171</v>
      </c>
      <c r="D9635" s="14" t="s">
        <v>18290</v>
      </c>
      <c r="E9635" s="9" t="s">
        <v>11</v>
      </c>
    </row>
    <row r="9636" spans="1:5" ht="15" customHeight="1" outlineLevel="2" x14ac:dyDescent="0.25">
      <c r="A9636" s="3" t="str">
        <f>HYPERLINK("http://mystore1.ru/price_items/search?utf8=%E2%9C%93&amp;oem=8558RGNH5RV","8558RGNH5RV")</f>
        <v>8558RGNH5RV</v>
      </c>
      <c r="B9636" s="1" t="s">
        <v>18292</v>
      </c>
      <c r="C9636" s="9" t="s">
        <v>1171</v>
      </c>
      <c r="D9636" s="14" t="s">
        <v>18293</v>
      </c>
      <c r="E9636" s="9" t="s">
        <v>11</v>
      </c>
    </row>
    <row r="9637" spans="1:5" ht="15" customHeight="1" outlineLevel="2" x14ac:dyDescent="0.25">
      <c r="A9637" s="3" t="str">
        <f>HYPERLINK("http://mystore1.ru/price_items/search?utf8=%E2%9C%93&amp;oem=8558RGNS4RDW","8558RGNS4RDW")</f>
        <v>8558RGNS4RDW</v>
      </c>
      <c r="B9637" s="1" t="s">
        <v>18294</v>
      </c>
      <c r="C9637" s="9" t="s">
        <v>1171</v>
      </c>
      <c r="D9637" s="14" t="s">
        <v>18295</v>
      </c>
      <c r="E9637" s="9" t="s">
        <v>11</v>
      </c>
    </row>
    <row r="9638" spans="1:5" ht="15" customHeight="1" outlineLevel="2" x14ac:dyDescent="0.25">
      <c r="A9638" s="3" t="str">
        <f>HYPERLINK("http://mystore1.ru/price_items/search?utf8=%E2%9C%93&amp;oem=8558RGNS4RV","8558RGNS4RV")</f>
        <v>8558RGNS4RV</v>
      </c>
      <c r="B9638" s="1" t="s">
        <v>18296</v>
      </c>
      <c r="C9638" s="9" t="s">
        <v>1171</v>
      </c>
      <c r="D9638" s="14" t="s">
        <v>18297</v>
      </c>
      <c r="E9638" s="9" t="s">
        <v>11</v>
      </c>
    </row>
    <row r="9639" spans="1:5" ht="15" customHeight="1" outlineLevel="2" x14ac:dyDescent="0.25">
      <c r="A9639" s="3" t="str">
        <f>HYPERLINK("http://mystore1.ru/price_items/search?utf8=%E2%9C%93&amp;oem=8558RGPE5RDW","8558RGPE5RDW")</f>
        <v>8558RGPE5RDW</v>
      </c>
      <c r="B9639" s="1" t="s">
        <v>18298</v>
      </c>
      <c r="C9639" s="9" t="s">
        <v>1171</v>
      </c>
      <c r="D9639" s="14" t="s">
        <v>18299</v>
      </c>
      <c r="E9639" s="9" t="s">
        <v>11</v>
      </c>
    </row>
    <row r="9640" spans="1:5" outlineLevel="1" x14ac:dyDescent="0.25">
      <c r="A9640" s="2"/>
      <c r="B9640" s="6" t="s">
        <v>18300</v>
      </c>
      <c r="C9640" s="8"/>
      <c r="D9640" s="8"/>
      <c r="E9640" s="8"/>
    </row>
    <row r="9641" spans="1:5" ht="15" customHeight="1" outlineLevel="2" x14ac:dyDescent="0.25">
      <c r="A9641" s="3" t="str">
        <f>HYPERLINK("http://mystore1.ru/price_items/search?utf8=%E2%9C%93&amp;oem=8568ABSMVZ1P","8568ABSMVZ1P")</f>
        <v>8568ABSMVZ1P</v>
      </c>
      <c r="B9641" s="1" t="s">
        <v>18301</v>
      </c>
      <c r="C9641" s="9" t="s">
        <v>1362</v>
      </c>
      <c r="D9641" s="14" t="s">
        <v>18302</v>
      </c>
      <c r="E9641" s="9" t="s">
        <v>8</v>
      </c>
    </row>
    <row r="9642" spans="1:5" ht="15" customHeight="1" outlineLevel="2" x14ac:dyDescent="0.25">
      <c r="A9642" s="3" t="str">
        <f>HYPERLINK("http://mystore1.ru/price_items/search?utf8=%E2%9C%93&amp;oem=8568ABSVZ","8568ABSVZ")</f>
        <v>8568ABSVZ</v>
      </c>
      <c r="B9642" s="1" t="s">
        <v>18303</v>
      </c>
      <c r="C9642" s="9" t="s">
        <v>7232</v>
      </c>
      <c r="D9642" s="14" t="s">
        <v>18304</v>
      </c>
      <c r="E9642" s="9" t="s">
        <v>8</v>
      </c>
    </row>
    <row r="9643" spans="1:5" ht="15" customHeight="1" outlineLevel="2" x14ac:dyDescent="0.25">
      <c r="A9643" s="3" t="str">
        <f>HYPERLINK("http://mystore1.ru/price_items/search?utf8=%E2%9C%93&amp;oem=8568ABSVZ1H","8568ABSVZ1H")</f>
        <v>8568ABSVZ1H</v>
      </c>
      <c r="B9643" s="1" t="s">
        <v>18305</v>
      </c>
      <c r="C9643" s="9" t="s">
        <v>7232</v>
      </c>
      <c r="D9643" s="14" t="s">
        <v>18304</v>
      </c>
      <c r="E9643" s="9" t="s">
        <v>8</v>
      </c>
    </row>
    <row r="9644" spans="1:5" ht="15" customHeight="1" outlineLevel="2" x14ac:dyDescent="0.25">
      <c r="A9644" s="3" t="str">
        <f>HYPERLINK("http://mystore1.ru/price_items/search?utf8=%E2%9C%93&amp;oem=8568AGSGYMVZ1P","8568AGSGYMVZ1P")</f>
        <v>8568AGSGYMVZ1P</v>
      </c>
      <c r="B9644" s="1" t="s">
        <v>18306</v>
      </c>
      <c r="C9644" s="9" t="s">
        <v>1362</v>
      </c>
      <c r="D9644" s="14" t="s">
        <v>18307</v>
      </c>
      <c r="E9644" s="9" t="s">
        <v>8</v>
      </c>
    </row>
    <row r="9645" spans="1:5" ht="15" customHeight="1" outlineLevel="2" x14ac:dyDescent="0.25">
      <c r="A9645" s="3" t="str">
        <f>HYPERLINK("http://mystore1.ru/price_items/search?utf8=%E2%9C%93&amp;oem=8568AGSGYVZ","8568AGSGYVZ")</f>
        <v>8568AGSGYVZ</v>
      </c>
      <c r="B9645" s="1" t="s">
        <v>18308</v>
      </c>
      <c r="C9645" s="9" t="s">
        <v>1362</v>
      </c>
      <c r="D9645" s="14" t="s">
        <v>18309</v>
      </c>
      <c r="E9645" s="9" t="s">
        <v>8</v>
      </c>
    </row>
    <row r="9646" spans="1:5" ht="15" customHeight="1" outlineLevel="2" x14ac:dyDescent="0.25">
      <c r="A9646" s="3" t="str">
        <f>HYPERLINK("http://mystore1.ru/price_items/search?utf8=%E2%9C%93&amp;oem=8568AGSMVZ1P","8568AGSMVZ1P")</f>
        <v>8568AGSMVZ1P</v>
      </c>
      <c r="B9646" s="1" t="s">
        <v>18310</v>
      </c>
      <c r="C9646" s="9" t="s">
        <v>1362</v>
      </c>
      <c r="D9646" s="14" t="s">
        <v>18311</v>
      </c>
      <c r="E9646" s="9" t="s">
        <v>8</v>
      </c>
    </row>
    <row r="9647" spans="1:5" ht="15" customHeight="1" outlineLevel="2" x14ac:dyDescent="0.25">
      <c r="A9647" s="3" t="str">
        <f>HYPERLINK("http://mystore1.ru/price_items/search?utf8=%E2%9C%93&amp;oem=8568AGSVZ","8568AGSVZ")</f>
        <v>8568AGSVZ</v>
      </c>
      <c r="B9647" s="1" t="s">
        <v>18312</v>
      </c>
      <c r="C9647" s="9" t="s">
        <v>1362</v>
      </c>
      <c r="D9647" s="14" t="s">
        <v>18313</v>
      </c>
      <c r="E9647" s="9" t="s">
        <v>8</v>
      </c>
    </row>
    <row r="9648" spans="1:5" ht="15" customHeight="1" outlineLevel="2" x14ac:dyDescent="0.25">
      <c r="A9648" s="3" t="str">
        <f>HYPERLINK("http://mystore1.ru/price_items/search?utf8=%E2%9C%93&amp;oem=8568AGSVZ1H","8568AGSVZ1H")</f>
        <v>8568AGSVZ1H</v>
      </c>
      <c r="B9648" s="1" t="s">
        <v>18314</v>
      </c>
      <c r="C9648" s="9" t="s">
        <v>1596</v>
      </c>
      <c r="D9648" s="14" t="s">
        <v>18315</v>
      </c>
      <c r="E9648" s="9" t="s">
        <v>8</v>
      </c>
    </row>
    <row r="9649" spans="1:5" ht="15" customHeight="1" outlineLevel="2" x14ac:dyDescent="0.25">
      <c r="A9649" s="3" t="str">
        <f>HYPERLINK("http://mystore1.ru/price_items/search?utf8=%E2%9C%93&amp;oem=8568BGSHAW","8568BGSHAW")</f>
        <v>8568BGSHAW</v>
      </c>
      <c r="B9649" s="1" t="s">
        <v>18316</v>
      </c>
      <c r="C9649" s="9" t="s">
        <v>1362</v>
      </c>
      <c r="D9649" s="14" t="s">
        <v>18317</v>
      </c>
      <c r="E9649" s="9" t="s">
        <v>30</v>
      </c>
    </row>
    <row r="9650" spans="1:5" ht="15" customHeight="1" outlineLevel="2" x14ac:dyDescent="0.25">
      <c r="A9650" s="3" t="str">
        <f>HYPERLINK("http://mystore1.ru/price_items/search?utf8=%E2%9C%93&amp;oem=8568BGSHW","8568BGSHW")</f>
        <v>8568BGSHW</v>
      </c>
      <c r="B9650" s="1" t="s">
        <v>18318</v>
      </c>
      <c r="C9650" s="9" t="s">
        <v>1362</v>
      </c>
      <c r="D9650" s="14" t="s">
        <v>18319</v>
      </c>
      <c r="E9650" s="9" t="s">
        <v>30</v>
      </c>
    </row>
    <row r="9651" spans="1:5" ht="15" customHeight="1" outlineLevel="2" x14ac:dyDescent="0.25">
      <c r="A9651" s="3" t="str">
        <f>HYPERLINK("http://mystore1.ru/price_items/search?utf8=%E2%9C%93&amp;oem=8568LGSH3FD","8568LGSH3FD")</f>
        <v>8568LGSH3FD</v>
      </c>
      <c r="B9651" s="1" t="s">
        <v>18320</v>
      </c>
      <c r="C9651" s="9" t="s">
        <v>1362</v>
      </c>
      <c r="D9651" s="14" t="s">
        <v>18321</v>
      </c>
      <c r="E9651" s="9" t="s">
        <v>11</v>
      </c>
    </row>
    <row r="9652" spans="1:5" ht="15" customHeight="1" outlineLevel="2" x14ac:dyDescent="0.25">
      <c r="A9652" s="3" t="str">
        <f>HYPERLINK("http://mystore1.ru/price_items/search?utf8=%E2%9C%93&amp;oem=8568LGSH5FD","8568LGSH5FD")</f>
        <v>8568LGSH5FD</v>
      </c>
      <c r="B9652" s="1" t="s">
        <v>18322</v>
      </c>
      <c r="C9652" s="9" t="s">
        <v>1362</v>
      </c>
      <c r="D9652" s="14" t="s">
        <v>18321</v>
      </c>
      <c r="E9652" s="9" t="s">
        <v>11</v>
      </c>
    </row>
    <row r="9653" spans="1:5" ht="15" customHeight="1" outlineLevel="2" x14ac:dyDescent="0.25">
      <c r="A9653" s="3" t="str">
        <f>HYPERLINK("http://mystore1.ru/price_items/search?utf8=%E2%9C%93&amp;oem=8568LGSH5RDW","8568LGSH5RDW")</f>
        <v>8568LGSH5RDW</v>
      </c>
      <c r="B9653" s="1" t="s">
        <v>18323</v>
      </c>
      <c r="C9653" s="9" t="s">
        <v>1362</v>
      </c>
      <c r="D9653" s="14" t="s">
        <v>18324</v>
      </c>
      <c r="E9653" s="9" t="s">
        <v>11</v>
      </c>
    </row>
    <row r="9654" spans="1:5" ht="15" customHeight="1" outlineLevel="2" x14ac:dyDescent="0.25">
      <c r="A9654" s="3" t="str">
        <f>HYPERLINK("http://mystore1.ru/price_items/search?utf8=%E2%9C%93&amp;oem=8568LGSH5RV","8568LGSH5RV")</f>
        <v>8568LGSH5RV</v>
      </c>
      <c r="B9654" s="1" t="s">
        <v>18325</v>
      </c>
      <c r="C9654" s="9" t="s">
        <v>1362</v>
      </c>
      <c r="D9654" s="14" t="s">
        <v>18326</v>
      </c>
      <c r="E9654" s="9" t="s">
        <v>11</v>
      </c>
    </row>
    <row r="9655" spans="1:5" ht="15" customHeight="1" outlineLevel="2" x14ac:dyDescent="0.25">
      <c r="A9655" s="3" t="str">
        <f>HYPERLINK("http://mystore1.ru/price_items/search?utf8=%E2%9C%93&amp;oem=8568RGSH3FD","8568RGSH3FD")</f>
        <v>8568RGSH3FD</v>
      </c>
      <c r="B9655" s="1" t="s">
        <v>18327</v>
      </c>
      <c r="C9655" s="9" t="s">
        <v>1362</v>
      </c>
      <c r="D9655" s="14" t="s">
        <v>18328</v>
      </c>
      <c r="E9655" s="9" t="s">
        <v>11</v>
      </c>
    </row>
    <row r="9656" spans="1:5" ht="15" customHeight="1" outlineLevel="2" x14ac:dyDescent="0.25">
      <c r="A9656" s="3" t="str">
        <f>HYPERLINK("http://mystore1.ru/price_items/search?utf8=%E2%9C%93&amp;oem=8568RGSH3RQZ","8568RGSH3RQZ")</f>
        <v>8568RGSH3RQZ</v>
      </c>
      <c r="B9656" s="1" t="s">
        <v>18329</v>
      </c>
      <c r="C9656" s="9" t="s">
        <v>1362</v>
      </c>
      <c r="D9656" s="14" t="s">
        <v>18330</v>
      </c>
      <c r="E9656" s="9" t="s">
        <v>11</v>
      </c>
    </row>
    <row r="9657" spans="1:5" ht="15" customHeight="1" outlineLevel="2" x14ac:dyDescent="0.25">
      <c r="A9657" s="3" t="str">
        <f>HYPERLINK("http://mystore1.ru/price_items/search?utf8=%E2%9C%93&amp;oem=8568RGSH5FD","8568RGSH5FD")</f>
        <v>8568RGSH5FD</v>
      </c>
      <c r="B9657" s="1" t="s">
        <v>18331</v>
      </c>
      <c r="C9657" s="9" t="s">
        <v>1362</v>
      </c>
      <c r="D9657" s="14" t="s">
        <v>18328</v>
      </c>
      <c r="E9657" s="9" t="s">
        <v>11</v>
      </c>
    </row>
    <row r="9658" spans="1:5" ht="15" customHeight="1" outlineLevel="2" x14ac:dyDescent="0.25">
      <c r="A9658" s="3" t="str">
        <f>HYPERLINK("http://mystore1.ru/price_items/search?utf8=%E2%9C%93&amp;oem=8568RGSH5RDW","8568RGSH5RDW")</f>
        <v>8568RGSH5RDW</v>
      </c>
      <c r="B9658" s="1" t="s">
        <v>18332</v>
      </c>
      <c r="C9658" s="9" t="s">
        <v>1362</v>
      </c>
      <c r="D9658" s="14" t="s">
        <v>18333</v>
      </c>
      <c r="E9658" s="9" t="s">
        <v>11</v>
      </c>
    </row>
    <row r="9659" spans="1:5" ht="15" customHeight="1" outlineLevel="2" x14ac:dyDescent="0.25">
      <c r="A9659" s="3" t="str">
        <f>HYPERLINK("http://mystore1.ru/price_items/search?utf8=%E2%9C%93&amp;oem=8568RGSH5RV","8568RGSH5RV")</f>
        <v>8568RGSH5RV</v>
      </c>
      <c r="B9659" s="1" t="s">
        <v>18334</v>
      </c>
      <c r="C9659" s="9" t="s">
        <v>1362</v>
      </c>
      <c r="D9659" s="14" t="s">
        <v>18335</v>
      </c>
      <c r="E9659" s="9" t="s">
        <v>11</v>
      </c>
    </row>
    <row r="9660" spans="1:5" outlineLevel="1" x14ac:dyDescent="0.25">
      <c r="A9660" s="2"/>
      <c r="B9660" s="6" t="s">
        <v>18336</v>
      </c>
      <c r="C9660" s="8"/>
      <c r="D9660" s="8"/>
      <c r="E9660" s="8"/>
    </row>
    <row r="9661" spans="1:5" ht="15" customHeight="1" outlineLevel="2" x14ac:dyDescent="0.25">
      <c r="A9661" s="3" t="str">
        <f>HYPERLINK("http://mystore1.ru/price_items/search?utf8=%E2%9C%93&amp;oem=8583AGSGYVZ","8583AGSGYVZ")</f>
        <v>8583AGSGYVZ</v>
      </c>
      <c r="B9661" s="1" t="s">
        <v>18337</v>
      </c>
      <c r="C9661" s="9" t="s">
        <v>1042</v>
      </c>
      <c r="D9661" s="14" t="s">
        <v>18338</v>
      </c>
      <c r="E9661" s="9" t="s">
        <v>8</v>
      </c>
    </row>
    <row r="9662" spans="1:5" ht="15" customHeight="1" outlineLevel="2" x14ac:dyDescent="0.25">
      <c r="A9662" s="3" t="str">
        <f>HYPERLINK("http://mystore1.ru/price_items/search?utf8=%E2%9C%93&amp;oem=8583AGSMVZ","8583AGSMVZ")</f>
        <v>8583AGSMVZ</v>
      </c>
      <c r="B9662" s="1" t="s">
        <v>18339</v>
      </c>
      <c r="C9662" s="9" t="s">
        <v>1042</v>
      </c>
      <c r="D9662" s="14" t="s">
        <v>18340</v>
      </c>
      <c r="E9662" s="9" t="s">
        <v>8</v>
      </c>
    </row>
    <row r="9663" spans="1:5" ht="15" customHeight="1" outlineLevel="2" x14ac:dyDescent="0.25">
      <c r="A9663" s="3" t="str">
        <f>HYPERLINK("http://mystore1.ru/price_items/search?utf8=%E2%9C%93&amp;oem=8583AGSVZ","8583AGSVZ")</f>
        <v>8583AGSVZ</v>
      </c>
      <c r="B9663" s="1" t="s">
        <v>18341</v>
      </c>
      <c r="C9663" s="9" t="s">
        <v>1042</v>
      </c>
      <c r="D9663" s="14" t="s">
        <v>18342</v>
      </c>
      <c r="E9663" s="9" t="s">
        <v>8</v>
      </c>
    </row>
    <row r="9664" spans="1:5" ht="15" customHeight="1" outlineLevel="2" x14ac:dyDescent="0.25">
      <c r="A9664" s="3" t="str">
        <f>HYPERLINK("http://mystore1.ru/price_items/search?utf8=%E2%9C%93&amp;oem=8583AGSVZ1H","8583AGSVZ1H")</f>
        <v>8583AGSVZ1H</v>
      </c>
      <c r="B9664" s="1" t="s">
        <v>18343</v>
      </c>
      <c r="C9664" s="9" t="s">
        <v>1042</v>
      </c>
      <c r="D9664" s="14" t="s">
        <v>18344</v>
      </c>
      <c r="E9664" s="9" t="s">
        <v>8</v>
      </c>
    </row>
    <row r="9665" spans="1:5" ht="15" customHeight="1" outlineLevel="2" x14ac:dyDescent="0.25">
      <c r="A9665" s="3" t="str">
        <f>HYPERLINK("http://mystore1.ru/price_items/search?utf8=%E2%9C%93&amp;oem=8583BGDVAW","8583BGDVAW")</f>
        <v>8583BGDVAW</v>
      </c>
      <c r="B9665" s="1" t="s">
        <v>18345</v>
      </c>
      <c r="C9665" s="9" t="s">
        <v>1042</v>
      </c>
      <c r="D9665" s="14" t="s">
        <v>18346</v>
      </c>
      <c r="E9665" s="9" t="s">
        <v>30</v>
      </c>
    </row>
    <row r="9666" spans="1:5" ht="15" customHeight="1" outlineLevel="2" x14ac:dyDescent="0.25">
      <c r="A9666" s="3" t="str">
        <f>HYPERLINK("http://mystore1.ru/price_items/search?utf8=%E2%9C%93&amp;oem=8583BGDVAW1F","8583BGDVAW1F")</f>
        <v>8583BGDVAW1F</v>
      </c>
      <c r="B9666" s="1" t="s">
        <v>18347</v>
      </c>
      <c r="C9666" s="9" t="s">
        <v>1042</v>
      </c>
      <c r="D9666" s="14" t="s">
        <v>18348</v>
      </c>
      <c r="E9666" s="9" t="s">
        <v>30</v>
      </c>
    </row>
    <row r="9667" spans="1:5" ht="15" customHeight="1" outlineLevel="2" x14ac:dyDescent="0.25">
      <c r="A9667" s="3" t="str">
        <f>HYPERLINK("http://mystore1.ru/price_items/search?utf8=%E2%9C%93&amp;oem=8583BGSVAW","8583BGSVAW")</f>
        <v>8583BGSVAW</v>
      </c>
      <c r="B9667" s="1" t="s">
        <v>18349</v>
      </c>
      <c r="C9667" s="9" t="s">
        <v>1042</v>
      </c>
      <c r="D9667" s="14" t="s">
        <v>18350</v>
      </c>
      <c r="E9667" s="9" t="s">
        <v>30</v>
      </c>
    </row>
    <row r="9668" spans="1:5" ht="15" customHeight="1" outlineLevel="2" x14ac:dyDescent="0.25">
      <c r="A9668" s="3" t="str">
        <f>HYPERLINK("http://mystore1.ru/price_items/search?utf8=%E2%9C%93&amp;oem=8583BGSVAW1F","8583BGSVAW1F")</f>
        <v>8583BGSVAW1F</v>
      </c>
      <c r="B9668" s="1" t="s">
        <v>18351</v>
      </c>
      <c r="C9668" s="9" t="s">
        <v>1042</v>
      </c>
      <c r="D9668" s="14" t="s">
        <v>18352</v>
      </c>
      <c r="E9668" s="9" t="s">
        <v>30</v>
      </c>
    </row>
    <row r="9669" spans="1:5" ht="15" customHeight="1" outlineLevel="2" x14ac:dyDescent="0.25">
      <c r="A9669" s="3" t="str">
        <f>HYPERLINK("http://mystore1.ru/price_items/search?utf8=%E2%9C%93&amp;oem=8583LGSV5FD","8583LGSV5FD")</f>
        <v>8583LGSV5FD</v>
      </c>
      <c r="B9669" s="1" t="s">
        <v>18353</v>
      </c>
      <c r="C9669" s="9" t="s">
        <v>1042</v>
      </c>
      <c r="D9669" s="14" t="s">
        <v>18354</v>
      </c>
      <c r="E9669" s="9" t="s">
        <v>11</v>
      </c>
    </row>
    <row r="9670" spans="1:5" ht="15" customHeight="1" outlineLevel="2" x14ac:dyDescent="0.25">
      <c r="A9670" s="3" t="str">
        <f>HYPERLINK("http://mystore1.ru/price_items/search?utf8=%E2%9C%93&amp;oem=8583LGSV5FQZ","8583LGSV5FQZ")</f>
        <v>8583LGSV5FQZ</v>
      </c>
      <c r="B9670" s="1" t="s">
        <v>18355</v>
      </c>
      <c r="C9670" s="9" t="s">
        <v>1042</v>
      </c>
      <c r="D9670" s="14" t="s">
        <v>18356</v>
      </c>
      <c r="E9670" s="9" t="s">
        <v>11</v>
      </c>
    </row>
    <row r="9671" spans="1:5" ht="15" customHeight="1" outlineLevel="2" x14ac:dyDescent="0.25">
      <c r="A9671" s="3" t="str">
        <f>HYPERLINK("http://mystore1.ru/price_items/search?utf8=%E2%9C%93&amp;oem=8583LGSV5RDW","8583LGSV5RDW")</f>
        <v>8583LGSV5RDW</v>
      </c>
      <c r="B9671" s="1" t="s">
        <v>18357</v>
      </c>
      <c r="C9671" s="9" t="s">
        <v>1042</v>
      </c>
      <c r="D9671" s="14" t="s">
        <v>18358</v>
      </c>
      <c r="E9671" s="9" t="s">
        <v>11</v>
      </c>
    </row>
    <row r="9672" spans="1:5" ht="15" customHeight="1" outlineLevel="2" x14ac:dyDescent="0.25">
      <c r="A9672" s="3" t="str">
        <f>HYPERLINK("http://mystore1.ru/price_items/search?utf8=%E2%9C%93&amp;oem=8583RGSV5FD","8583RGSV5FD")</f>
        <v>8583RGSV5FD</v>
      </c>
      <c r="B9672" s="1" t="s">
        <v>18359</v>
      </c>
      <c r="C9672" s="9" t="s">
        <v>1042</v>
      </c>
      <c r="D9672" s="14" t="s">
        <v>18360</v>
      </c>
      <c r="E9672" s="9" t="s">
        <v>11</v>
      </c>
    </row>
    <row r="9673" spans="1:5" ht="15" customHeight="1" outlineLevel="2" x14ac:dyDescent="0.25">
      <c r="A9673" s="3" t="str">
        <f>HYPERLINK("http://mystore1.ru/price_items/search?utf8=%E2%9C%93&amp;oem=8583RGSV5FQZ","8583RGSV5FQZ")</f>
        <v>8583RGSV5FQZ</v>
      </c>
      <c r="B9673" s="1" t="s">
        <v>18361</v>
      </c>
      <c r="C9673" s="9" t="s">
        <v>1042</v>
      </c>
      <c r="D9673" s="14" t="s">
        <v>18362</v>
      </c>
      <c r="E9673" s="9" t="s">
        <v>11</v>
      </c>
    </row>
    <row r="9674" spans="1:5" ht="15" customHeight="1" outlineLevel="2" x14ac:dyDescent="0.25">
      <c r="A9674" s="3" t="str">
        <f>HYPERLINK("http://mystore1.ru/price_items/search?utf8=%E2%9C%93&amp;oem=8583RGSV5RDW","8583RGSV5RDW")</f>
        <v>8583RGSV5RDW</v>
      </c>
      <c r="B9674" s="1" t="s">
        <v>18363</v>
      </c>
      <c r="C9674" s="9" t="s">
        <v>1042</v>
      </c>
      <c r="D9674" s="14" t="s">
        <v>18364</v>
      </c>
      <c r="E9674" s="9" t="s">
        <v>11</v>
      </c>
    </row>
    <row r="9675" spans="1:5" outlineLevel="1" x14ac:dyDescent="0.25">
      <c r="A9675" s="2"/>
      <c r="B9675" s="6" t="s">
        <v>18365</v>
      </c>
      <c r="C9675" s="8"/>
      <c r="D9675" s="8"/>
      <c r="E9675" s="8"/>
    </row>
    <row r="9676" spans="1:5" ht="15" customHeight="1" outlineLevel="2" x14ac:dyDescent="0.25">
      <c r="A9676" s="3" t="str">
        <f>HYPERLINK("http://mystore1.ru/price_items/search?utf8=%E2%9C%93&amp;oem=8600AGAVZ","8600AGAVZ")</f>
        <v>8600AGAVZ</v>
      </c>
      <c r="B9676" s="1" t="s">
        <v>18366</v>
      </c>
      <c r="C9676" s="9" t="s">
        <v>642</v>
      </c>
      <c r="D9676" s="14" t="s">
        <v>18367</v>
      </c>
      <c r="E9676" s="9" t="s">
        <v>8</v>
      </c>
    </row>
    <row r="9677" spans="1:5" ht="15" customHeight="1" outlineLevel="2" x14ac:dyDescent="0.25">
      <c r="A9677" s="3" t="str">
        <f>HYPERLINK("http://mystore1.ru/price_items/search?utf8=%E2%9C%93&amp;oem=8600AGAMVZ1P","8600AGAMVZ1P")</f>
        <v>8600AGAMVZ1P</v>
      </c>
      <c r="B9677" s="1" t="s">
        <v>18368</v>
      </c>
      <c r="C9677" s="9" t="s">
        <v>642</v>
      </c>
      <c r="D9677" s="14" t="s">
        <v>18369</v>
      </c>
      <c r="E9677" s="9" t="s">
        <v>8</v>
      </c>
    </row>
    <row r="9678" spans="1:5" ht="15" customHeight="1" outlineLevel="2" x14ac:dyDescent="0.25">
      <c r="A9678" s="3" t="str">
        <f>HYPERLINK("http://mystore1.ru/price_items/search?utf8=%E2%9C%93&amp;oem=8600BGSHI","8600BGSHI")</f>
        <v>8600BGSHI</v>
      </c>
      <c r="B9678" s="1" t="s">
        <v>18370</v>
      </c>
      <c r="C9678" s="9" t="s">
        <v>642</v>
      </c>
      <c r="D9678" s="14" t="s">
        <v>18371</v>
      </c>
      <c r="E9678" s="9" t="s">
        <v>30</v>
      </c>
    </row>
    <row r="9679" spans="1:5" ht="15" customHeight="1" outlineLevel="2" x14ac:dyDescent="0.25">
      <c r="A9679" s="3" t="str">
        <f>HYPERLINK("http://mystore1.ru/price_items/search?utf8=%E2%9C%93&amp;oem=8600BGSHAI2F","8600BGSHAI2F")</f>
        <v>8600BGSHAI2F</v>
      </c>
      <c r="B9679" s="1" t="s">
        <v>18372</v>
      </c>
      <c r="C9679" s="9" t="s">
        <v>642</v>
      </c>
      <c r="D9679" s="14" t="s">
        <v>18373</v>
      </c>
      <c r="E9679" s="9" t="s">
        <v>30</v>
      </c>
    </row>
    <row r="9680" spans="1:5" ht="15" customHeight="1" outlineLevel="2" x14ac:dyDescent="0.25">
      <c r="A9680" s="3" t="str">
        <f>HYPERLINK("http://mystore1.ru/price_items/search?utf8=%E2%9C%93&amp;oem=8600BGSHAI1F","8600BGSHAI1F")</f>
        <v>8600BGSHAI1F</v>
      </c>
      <c r="B9680" s="1" t="s">
        <v>18374</v>
      </c>
      <c r="C9680" s="9" t="s">
        <v>642</v>
      </c>
      <c r="D9680" s="14" t="s">
        <v>18375</v>
      </c>
      <c r="E9680" s="9" t="s">
        <v>30</v>
      </c>
    </row>
    <row r="9681" spans="1:5" ht="15" customHeight="1" outlineLevel="2" x14ac:dyDescent="0.25">
      <c r="A9681" s="3" t="str">
        <f>HYPERLINK("http://mystore1.ru/price_items/search?utf8=%E2%9C%93&amp;oem=8600BGSHAI","8600BGSHAI")</f>
        <v>8600BGSHAI</v>
      </c>
      <c r="B9681" s="1" t="s">
        <v>18376</v>
      </c>
      <c r="C9681" s="9" t="s">
        <v>642</v>
      </c>
      <c r="D9681" s="14" t="s">
        <v>18377</v>
      </c>
      <c r="E9681" s="9" t="s">
        <v>30</v>
      </c>
    </row>
    <row r="9682" spans="1:5" ht="15" customHeight="1" outlineLevel="2" x14ac:dyDescent="0.25">
      <c r="A9682" s="3" t="str">
        <f>HYPERLINK("http://mystore1.ru/price_items/search?utf8=%E2%9C%93&amp;oem=8600BGPHAI2F","8600BGPHAI2F")</f>
        <v>8600BGPHAI2F</v>
      </c>
      <c r="B9682" s="1" t="s">
        <v>18378</v>
      </c>
      <c r="C9682" s="9" t="s">
        <v>642</v>
      </c>
      <c r="D9682" s="14" t="s">
        <v>18379</v>
      </c>
      <c r="E9682" s="9" t="s">
        <v>30</v>
      </c>
    </row>
    <row r="9683" spans="1:5" ht="15" customHeight="1" outlineLevel="2" x14ac:dyDescent="0.25">
      <c r="A9683" s="3" t="str">
        <f>HYPERLINK("http://mystore1.ru/price_items/search?utf8=%E2%9C%93&amp;oem=8600BGPHAI1F","8600BGPHAI1F")</f>
        <v>8600BGPHAI1F</v>
      </c>
      <c r="B9683" s="1" t="s">
        <v>18380</v>
      </c>
      <c r="C9683" s="9" t="s">
        <v>642</v>
      </c>
      <c r="D9683" s="14" t="s">
        <v>18381</v>
      </c>
      <c r="E9683" s="9" t="s">
        <v>30</v>
      </c>
    </row>
    <row r="9684" spans="1:5" outlineLevel="1" x14ac:dyDescent="0.25">
      <c r="A9684" s="2"/>
      <c r="B9684" s="6" t="s">
        <v>18382</v>
      </c>
      <c r="C9684" s="8"/>
      <c r="D9684" s="8"/>
      <c r="E9684" s="8"/>
    </row>
    <row r="9685" spans="1:5" ht="15" customHeight="1" outlineLevel="2" x14ac:dyDescent="0.25">
      <c r="A9685" s="3" t="str">
        <f>HYPERLINK("http://mystore1.ru/price_items/search?utf8=%E2%9C%93&amp;oem=8586AGSMVZ1P","8586AGSMVZ1P")</f>
        <v>8586AGSMVZ1P</v>
      </c>
      <c r="B9685" s="1" t="s">
        <v>18383</v>
      </c>
      <c r="C9685" s="9" t="s">
        <v>140</v>
      </c>
      <c r="D9685" s="14" t="s">
        <v>18384</v>
      </c>
      <c r="E9685" s="9" t="s">
        <v>8</v>
      </c>
    </row>
    <row r="9686" spans="1:5" ht="15" customHeight="1" outlineLevel="2" x14ac:dyDescent="0.25">
      <c r="A9686" s="3" t="str">
        <f>HYPERLINK("http://mystore1.ru/price_items/search?utf8=%E2%9C%93&amp;oem=8586AGSVZ","8586AGSVZ")</f>
        <v>8586AGSVZ</v>
      </c>
      <c r="B9686" s="1" t="s">
        <v>18385</v>
      </c>
      <c r="C9686" s="9" t="s">
        <v>140</v>
      </c>
      <c r="D9686" s="14" t="s">
        <v>18386</v>
      </c>
      <c r="E9686" s="9" t="s">
        <v>8</v>
      </c>
    </row>
    <row r="9687" spans="1:5" ht="15" customHeight="1" outlineLevel="2" x14ac:dyDescent="0.25">
      <c r="A9687" s="3" t="str">
        <f>HYPERLINK("http://mystore1.ru/price_items/search?utf8=%E2%9C%93&amp;oem=8586AGSVZ1H","8586AGSVZ1H")</f>
        <v>8586AGSVZ1H</v>
      </c>
      <c r="B9687" s="1" t="s">
        <v>18387</v>
      </c>
      <c r="C9687" s="9" t="s">
        <v>140</v>
      </c>
      <c r="D9687" s="14" t="s">
        <v>18388</v>
      </c>
      <c r="E9687" s="9" t="s">
        <v>8</v>
      </c>
    </row>
    <row r="9688" spans="1:5" ht="15" customHeight="1" outlineLevel="2" x14ac:dyDescent="0.25">
      <c r="A9688" s="3" t="str">
        <f>HYPERLINK("http://mystore1.ru/price_items/search?utf8=%E2%9C%93&amp;oem=8586BGPSABZ","8586BGPSABZ")</f>
        <v>8586BGPSABZ</v>
      </c>
      <c r="B9688" s="1" t="s">
        <v>18389</v>
      </c>
      <c r="C9688" s="9" t="s">
        <v>140</v>
      </c>
      <c r="D9688" s="14" t="s">
        <v>18390</v>
      </c>
      <c r="E9688" s="9" t="s">
        <v>30</v>
      </c>
    </row>
    <row r="9689" spans="1:5" ht="15" customHeight="1" outlineLevel="2" x14ac:dyDescent="0.25">
      <c r="A9689" s="3" t="str">
        <f>HYPERLINK("http://mystore1.ru/price_items/search?utf8=%E2%9C%93&amp;oem=8586LGSS4FD","8586LGSS4FD")</f>
        <v>8586LGSS4FD</v>
      </c>
      <c r="B9689" s="1" t="s">
        <v>18391</v>
      </c>
      <c r="C9689" s="9" t="s">
        <v>140</v>
      </c>
      <c r="D9689" s="14" t="s">
        <v>18392</v>
      </c>
      <c r="E9689" s="9" t="s">
        <v>11</v>
      </c>
    </row>
    <row r="9690" spans="1:5" ht="15" customHeight="1" outlineLevel="2" x14ac:dyDescent="0.25">
      <c r="A9690" s="3" t="str">
        <f>HYPERLINK("http://mystore1.ru/price_items/search?utf8=%E2%9C%93&amp;oem=8586LGSS4RDW","8586LGSS4RDW")</f>
        <v>8586LGSS4RDW</v>
      </c>
      <c r="B9690" s="1" t="s">
        <v>18393</v>
      </c>
      <c r="C9690" s="9" t="s">
        <v>140</v>
      </c>
      <c r="D9690" s="14" t="s">
        <v>18394</v>
      </c>
      <c r="E9690" s="9" t="s">
        <v>11</v>
      </c>
    </row>
    <row r="9691" spans="1:5" ht="15" customHeight="1" outlineLevel="2" x14ac:dyDescent="0.25">
      <c r="A9691" s="3" t="str">
        <f>HYPERLINK("http://mystore1.ru/price_items/search?utf8=%E2%9C%93&amp;oem=8586LGSS4RV","8586LGSS4RV")</f>
        <v>8586LGSS4RV</v>
      </c>
      <c r="B9691" s="1" t="s">
        <v>18395</v>
      </c>
      <c r="C9691" s="9" t="s">
        <v>140</v>
      </c>
      <c r="D9691" s="14" t="s">
        <v>18396</v>
      </c>
      <c r="E9691" s="9" t="s">
        <v>11</v>
      </c>
    </row>
    <row r="9692" spans="1:5" ht="15" customHeight="1" outlineLevel="2" x14ac:dyDescent="0.25">
      <c r="A9692" s="3" t="str">
        <f>HYPERLINK("http://mystore1.ru/price_items/search?utf8=%E2%9C%93&amp;oem=8586RGSS4FD","8586RGSS4FD")</f>
        <v>8586RGSS4FD</v>
      </c>
      <c r="B9692" s="1" t="s">
        <v>18397</v>
      </c>
      <c r="C9692" s="9" t="s">
        <v>140</v>
      </c>
      <c r="D9692" s="14" t="s">
        <v>18398</v>
      </c>
      <c r="E9692" s="9" t="s">
        <v>11</v>
      </c>
    </row>
    <row r="9693" spans="1:5" ht="15" customHeight="1" outlineLevel="2" x14ac:dyDescent="0.25">
      <c r="A9693" s="3" t="str">
        <f>HYPERLINK("http://mystore1.ru/price_items/search?utf8=%E2%9C%93&amp;oem=8586RGSS4RDW","8586RGSS4RDW")</f>
        <v>8586RGSS4RDW</v>
      </c>
      <c r="B9693" s="1" t="s">
        <v>18399</v>
      </c>
      <c r="C9693" s="9" t="s">
        <v>140</v>
      </c>
      <c r="D9693" s="14" t="s">
        <v>18400</v>
      </c>
      <c r="E9693" s="9" t="s">
        <v>11</v>
      </c>
    </row>
    <row r="9694" spans="1:5" ht="15" customHeight="1" outlineLevel="2" x14ac:dyDescent="0.25">
      <c r="A9694" s="3" t="str">
        <f>HYPERLINK("http://mystore1.ru/price_items/search?utf8=%E2%9C%93&amp;oem=8586RGSS4RV","8586RGSS4RV")</f>
        <v>8586RGSS4RV</v>
      </c>
      <c r="B9694" s="1" t="s">
        <v>18401</v>
      </c>
      <c r="C9694" s="9" t="s">
        <v>140</v>
      </c>
      <c r="D9694" s="14" t="s">
        <v>18402</v>
      </c>
      <c r="E9694" s="9" t="s">
        <v>11</v>
      </c>
    </row>
    <row r="9695" spans="1:5" outlineLevel="1" x14ac:dyDescent="0.25">
      <c r="A9695" s="2"/>
      <c r="B9695" s="6" t="s">
        <v>18403</v>
      </c>
      <c r="C9695" s="8"/>
      <c r="D9695" s="8"/>
      <c r="E9695" s="8"/>
    </row>
    <row r="9696" spans="1:5" ht="15" customHeight="1" outlineLevel="2" x14ac:dyDescent="0.25">
      <c r="A9696" s="3" t="str">
        <f>HYPERLINK("http://mystore1.ru/price_items/search?utf8=%E2%9C%93&amp;oem=8612AGAMVZ1B","8612AGAMVZ1B")</f>
        <v>8612AGAMVZ1B</v>
      </c>
      <c r="B9696" s="1" t="s">
        <v>18404</v>
      </c>
      <c r="C9696" s="9" t="s">
        <v>1738</v>
      </c>
      <c r="D9696" s="14" t="s">
        <v>18405</v>
      </c>
      <c r="E9696" s="9" t="s">
        <v>8</v>
      </c>
    </row>
    <row r="9697" spans="1:5" ht="15" customHeight="1" outlineLevel="2" x14ac:dyDescent="0.25">
      <c r="A9697" s="3" t="str">
        <f>HYPERLINK("http://mystore1.ru/price_items/search?utf8=%E2%9C%93&amp;oem=8612AGAVZ","8612AGAVZ")</f>
        <v>8612AGAVZ</v>
      </c>
      <c r="B9697" s="1" t="s">
        <v>18406</v>
      </c>
      <c r="C9697" s="9" t="s">
        <v>1738</v>
      </c>
      <c r="D9697" s="14" t="s">
        <v>18407</v>
      </c>
      <c r="E9697" s="9" t="s">
        <v>8</v>
      </c>
    </row>
    <row r="9698" spans="1:5" outlineLevel="1" x14ac:dyDescent="0.25">
      <c r="A9698" s="2"/>
      <c r="B9698" s="6" t="s">
        <v>18408</v>
      </c>
      <c r="C9698" s="8"/>
      <c r="D9698" s="8"/>
      <c r="E9698" s="8"/>
    </row>
    <row r="9699" spans="1:5" ht="15" customHeight="1" outlineLevel="2" x14ac:dyDescent="0.25">
      <c r="A9699" s="3" t="str">
        <f>HYPERLINK("http://mystore1.ru/price_items/search?utf8=%E2%9C%93&amp;oem=8522ACL","8522ACL")</f>
        <v>8522ACL</v>
      </c>
      <c r="B9699" s="1" t="s">
        <v>18409</v>
      </c>
      <c r="C9699" s="9" t="s">
        <v>18410</v>
      </c>
      <c r="D9699" s="14" t="s">
        <v>18411</v>
      </c>
      <c r="E9699" s="9" t="s">
        <v>8</v>
      </c>
    </row>
    <row r="9700" spans="1:5" ht="15" customHeight="1" outlineLevel="2" x14ac:dyDescent="0.25">
      <c r="A9700" s="3" t="str">
        <f>HYPERLINK("http://mystore1.ru/price_items/search?utf8=%E2%9C%93&amp;oem=8522AGN","8522AGN")</f>
        <v>8522AGN</v>
      </c>
      <c r="B9700" s="1" t="s">
        <v>18412</v>
      </c>
      <c r="C9700" s="9" t="s">
        <v>18410</v>
      </c>
      <c r="D9700" s="14" t="s">
        <v>18413</v>
      </c>
      <c r="E9700" s="9" t="s">
        <v>8</v>
      </c>
    </row>
    <row r="9701" spans="1:5" ht="15" customHeight="1" outlineLevel="2" x14ac:dyDescent="0.25">
      <c r="A9701" s="3" t="str">
        <f>HYPERLINK("http://mystore1.ru/price_items/search?utf8=%E2%9C%93&amp;oem=8522AGNGN","8522AGNGN")</f>
        <v>8522AGNGN</v>
      </c>
      <c r="B9701" s="1" t="s">
        <v>18414</v>
      </c>
      <c r="C9701" s="9" t="s">
        <v>18410</v>
      </c>
      <c r="D9701" s="14" t="s">
        <v>18415</v>
      </c>
      <c r="E9701" s="9" t="s">
        <v>8</v>
      </c>
    </row>
    <row r="9702" spans="1:5" ht="15" customHeight="1" outlineLevel="2" x14ac:dyDescent="0.25">
      <c r="A9702" s="3" t="str">
        <f>HYPERLINK("http://mystore1.ru/price_items/search?utf8=%E2%9C%93&amp;oem=8522ASRV","8522ASRV")</f>
        <v>8522ASRV</v>
      </c>
      <c r="B9702" s="1" t="s">
        <v>18416</v>
      </c>
      <c r="C9702" s="9" t="s">
        <v>25</v>
      </c>
      <c r="D9702" s="14" t="s">
        <v>18417</v>
      </c>
      <c r="E9702" s="9" t="s">
        <v>27</v>
      </c>
    </row>
    <row r="9703" spans="1:5" ht="15" customHeight="1" outlineLevel="2" x14ac:dyDescent="0.25">
      <c r="A9703" s="3" t="str">
        <f>HYPERLINK("http://mystore1.ru/price_items/search?utf8=%E2%9C%93&amp;oem=8522FCLV2FD","8522FCLV2FD")</f>
        <v>8522FCLV2FD</v>
      </c>
      <c r="B9703" s="1" t="s">
        <v>18418</v>
      </c>
      <c r="C9703" s="9" t="s">
        <v>18410</v>
      </c>
      <c r="D9703" s="14" t="s">
        <v>18419</v>
      </c>
      <c r="E9703" s="9" t="s">
        <v>11</v>
      </c>
    </row>
    <row r="9704" spans="1:5" outlineLevel="1" x14ac:dyDescent="0.25">
      <c r="A9704" s="2"/>
      <c r="B9704" s="6" t="s">
        <v>18420</v>
      </c>
      <c r="C9704" s="8"/>
      <c r="D9704" s="8"/>
      <c r="E9704" s="8"/>
    </row>
    <row r="9705" spans="1:5" ht="15" customHeight="1" outlineLevel="2" x14ac:dyDescent="0.25">
      <c r="A9705" s="3" t="str">
        <f>HYPERLINK("http://mystore1.ru/price_items/search?utf8=%E2%9C%93&amp;oem=8552ACL","8552ACL")</f>
        <v>8552ACL</v>
      </c>
      <c r="B9705" s="1" t="s">
        <v>18421</v>
      </c>
      <c r="C9705" s="9" t="s">
        <v>10537</v>
      </c>
      <c r="D9705" s="14" t="s">
        <v>18422</v>
      </c>
      <c r="E9705" s="9" t="s">
        <v>8</v>
      </c>
    </row>
    <row r="9706" spans="1:5" ht="15" customHeight="1" outlineLevel="2" x14ac:dyDescent="0.25">
      <c r="A9706" s="3" t="str">
        <f>HYPERLINK("http://mystore1.ru/price_items/search?utf8=%E2%9C%93&amp;oem=8552AGN","8552AGN")</f>
        <v>8552AGN</v>
      </c>
      <c r="B9706" s="1" t="s">
        <v>18423</v>
      </c>
      <c r="C9706" s="9" t="s">
        <v>10537</v>
      </c>
      <c r="D9706" s="14" t="s">
        <v>18424</v>
      </c>
      <c r="E9706" s="9" t="s">
        <v>8</v>
      </c>
    </row>
    <row r="9707" spans="1:5" ht="15" customHeight="1" outlineLevel="2" x14ac:dyDescent="0.25">
      <c r="A9707" s="3" t="str">
        <f>HYPERLINK("http://mystore1.ru/price_items/search?utf8=%E2%9C%93&amp;oem=8552AGNGN","8552AGNGN")</f>
        <v>8552AGNGN</v>
      </c>
      <c r="B9707" s="1" t="s">
        <v>18425</v>
      </c>
      <c r="C9707" s="9" t="s">
        <v>10537</v>
      </c>
      <c r="D9707" s="14" t="s">
        <v>18426</v>
      </c>
      <c r="E9707" s="9" t="s">
        <v>8</v>
      </c>
    </row>
    <row r="9708" spans="1:5" ht="15" customHeight="1" outlineLevel="2" x14ac:dyDescent="0.25">
      <c r="A9708" s="3" t="str">
        <f>HYPERLINK("http://mystore1.ru/price_items/search?utf8=%E2%9C%93&amp;oem=5427ASMV","5427ASMV")</f>
        <v>5427ASMV</v>
      </c>
      <c r="B9708" s="1" t="s">
        <v>10010</v>
      </c>
      <c r="C9708" s="9" t="s">
        <v>25</v>
      </c>
      <c r="D9708" s="14" t="s">
        <v>18427</v>
      </c>
      <c r="E9708" s="9" t="s">
        <v>27</v>
      </c>
    </row>
    <row r="9709" spans="1:5" ht="15" customHeight="1" outlineLevel="2" x14ac:dyDescent="0.25">
      <c r="A9709" s="3" t="str">
        <f>HYPERLINK("http://mystore1.ru/price_items/search?utf8=%E2%9C%93&amp;oem=8552LCLV2FD","8552LCLV2FD")</f>
        <v>8552LCLV2FD</v>
      </c>
      <c r="B9709" s="1" t="s">
        <v>18428</v>
      </c>
      <c r="C9709" s="9" t="s">
        <v>10537</v>
      </c>
      <c r="D9709" s="14" t="s">
        <v>18429</v>
      </c>
      <c r="E9709" s="9" t="s">
        <v>11</v>
      </c>
    </row>
    <row r="9710" spans="1:5" ht="15" customHeight="1" outlineLevel="2" x14ac:dyDescent="0.25">
      <c r="A9710" s="3" t="str">
        <f>HYPERLINK("http://mystore1.ru/price_items/search?utf8=%E2%9C%93&amp;oem=8552LCLV2FV","8552LCLV2FV")</f>
        <v>8552LCLV2FV</v>
      </c>
      <c r="B9710" s="1" t="s">
        <v>18430</v>
      </c>
      <c r="C9710" s="9" t="s">
        <v>10537</v>
      </c>
      <c r="D9710" s="14" t="s">
        <v>18431</v>
      </c>
      <c r="E9710" s="9" t="s">
        <v>11</v>
      </c>
    </row>
    <row r="9711" spans="1:5" ht="15" customHeight="1" outlineLevel="2" x14ac:dyDescent="0.25">
      <c r="A9711" s="3" t="str">
        <f>HYPERLINK("http://mystore1.ru/price_items/search?utf8=%E2%9C%93&amp;oem=8552RCLV2FD","8552RCLV2FD")</f>
        <v>8552RCLV2FD</v>
      </c>
      <c r="B9711" s="1" t="s">
        <v>18432</v>
      </c>
      <c r="C9711" s="9" t="s">
        <v>10537</v>
      </c>
      <c r="D9711" s="14" t="s">
        <v>18433</v>
      </c>
      <c r="E9711" s="9" t="s">
        <v>11</v>
      </c>
    </row>
    <row r="9712" spans="1:5" ht="15" customHeight="1" outlineLevel="2" x14ac:dyDescent="0.25">
      <c r="A9712" s="3" t="str">
        <f>HYPERLINK("http://mystore1.ru/price_items/search?utf8=%E2%9C%93&amp;oem=8552RCLV2FV","8552RCLV2FV")</f>
        <v>8552RCLV2FV</v>
      </c>
      <c r="B9712" s="1" t="s">
        <v>18434</v>
      </c>
      <c r="C9712" s="9" t="s">
        <v>10537</v>
      </c>
      <c r="D9712" s="14" t="s">
        <v>18435</v>
      </c>
      <c r="E9712" s="9" t="s">
        <v>11</v>
      </c>
    </row>
    <row r="9713" spans="1:5" outlineLevel="1" x14ac:dyDescent="0.25">
      <c r="A9713" s="2"/>
      <c r="B9713" s="6" t="s">
        <v>18436</v>
      </c>
      <c r="C9713" s="8"/>
      <c r="D9713" s="8"/>
      <c r="E9713" s="8"/>
    </row>
    <row r="9714" spans="1:5" ht="15" customHeight="1" outlineLevel="2" x14ac:dyDescent="0.25">
      <c r="A9714" s="3" t="str">
        <f>HYPERLINK("http://mystore1.ru/price_items/search?utf8=%E2%9C%93&amp;oem=8553ACL","8553ACL")</f>
        <v>8553ACL</v>
      </c>
      <c r="B9714" s="1" t="s">
        <v>18437</v>
      </c>
      <c r="C9714" s="9" t="s">
        <v>10537</v>
      </c>
      <c r="D9714" s="14" t="s">
        <v>18438</v>
      </c>
      <c r="E9714" s="9" t="s">
        <v>8</v>
      </c>
    </row>
    <row r="9715" spans="1:5" ht="15" customHeight="1" outlineLevel="2" x14ac:dyDescent="0.25">
      <c r="A9715" s="3" t="str">
        <f>HYPERLINK("http://mystore1.ru/price_items/search?utf8=%E2%9C%93&amp;oem=8553AGN","8553AGN")</f>
        <v>8553AGN</v>
      </c>
      <c r="B9715" s="1" t="s">
        <v>18439</v>
      </c>
      <c r="C9715" s="9" t="s">
        <v>10537</v>
      </c>
      <c r="D9715" s="14" t="s">
        <v>18440</v>
      </c>
      <c r="E9715" s="9" t="s">
        <v>8</v>
      </c>
    </row>
    <row r="9716" spans="1:5" ht="15" customHeight="1" outlineLevel="2" x14ac:dyDescent="0.25">
      <c r="A9716" s="3" t="str">
        <f>HYPERLINK("http://mystore1.ru/price_items/search?utf8=%E2%9C%93&amp;oem=8553AGNGN","8553AGNGN")</f>
        <v>8553AGNGN</v>
      </c>
      <c r="B9716" s="1" t="s">
        <v>18441</v>
      </c>
      <c r="C9716" s="9" t="s">
        <v>10537</v>
      </c>
      <c r="D9716" s="14" t="s">
        <v>18442</v>
      </c>
      <c r="E9716" s="9" t="s">
        <v>8</v>
      </c>
    </row>
    <row r="9717" spans="1:5" ht="15" customHeight="1" outlineLevel="2" x14ac:dyDescent="0.25">
      <c r="A9717" s="3" t="str">
        <f>HYPERLINK("http://mystore1.ru/price_items/search?utf8=%E2%9C%93&amp;oem=5426ASMV","5426ASMV")</f>
        <v>5426ASMV</v>
      </c>
      <c r="B9717" s="1" t="s">
        <v>10053</v>
      </c>
      <c r="C9717" s="9" t="s">
        <v>25</v>
      </c>
      <c r="D9717" s="14" t="s">
        <v>18443</v>
      </c>
      <c r="E9717" s="9" t="s">
        <v>27</v>
      </c>
    </row>
    <row r="9718" spans="1:5" outlineLevel="1" x14ac:dyDescent="0.25">
      <c r="A9718" s="2"/>
      <c r="B9718" s="6" t="s">
        <v>18444</v>
      </c>
      <c r="C9718" s="8"/>
      <c r="D9718" s="8"/>
      <c r="E9718" s="8"/>
    </row>
    <row r="9719" spans="1:5" ht="15" customHeight="1" outlineLevel="2" x14ac:dyDescent="0.25">
      <c r="A9719" s="3" t="str">
        <f>HYPERLINK("http://mystore1.ru/price_items/search?utf8=%E2%9C%93&amp;oem=8590AGS","8590AGS")</f>
        <v>8590AGS</v>
      </c>
      <c r="B9719" s="1" t="s">
        <v>18445</v>
      </c>
      <c r="C9719" s="9" t="s">
        <v>687</v>
      </c>
      <c r="D9719" s="14" t="s">
        <v>18446</v>
      </c>
      <c r="E9719" s="9" t="s">
        <v>8</v>
      </c>
    </row>
    <row r="9720" spans="1:5" ht="15" customHeight="1" outlineLevel="2" x14ac:dyDescent="0.25">
      <c r="A9720" s="3" t="str">
        <f>HYPERLINK("http://mystore1.ru/price_items/search?utf8=%E2%9C%93&amp;oem=8590AGSBL","8590AGSBL")</f>
        <v>8590AGSBL</v>
      </c>
      <c r="B9720" s="1" t="s">
        <v>18447</v>
      </c>
      <c r="C9720" s="9" t="s">
        <v>687</v>
      </c>
      <c r="D9720" s="14" t="s">
        <v>18448</v>
      </c>
      <c r="E9720" s="9" t="s">
        <v>8</v>
      </c>
    </row>
    <row r="9721" spans="1:5" ht="15" customHeight="1" outlineLevel="2" x14ac:dyDescent="0.25">
      <c r="A9721" s="3" t="str">
        <f>HYPERLINK("http://mystore1.ru/price_items/search?utf8=%E2%9C%93&amp;oem=8590AGSBLHM1B","8590AGSBLHM1B")</f>
        <v>8590AGSBLHM1B</v>
      </c>
      <c r="B9721" s="1" t="s">
        <v>18449</v>
      </c>
      <c r="C9721" s="9" t="s">
        <v>687</v>
      </c>
      <c r="D9721" s="14" t="s">
        <v>18450</v>
      </c>
      <c r="E9721" s="9" t="s">
        <v>8</v>
      </c>
    </row>
    <row r="9722" spans="1:5" ht="15" customHeight="1" outlineLevel="2" x14ac:dyDescent="0.25">
      <c r="A9722" s="3" t="str">
        <f>HYPERLINK("http://mystore1.ru/price_items/search?utf8=%E2%9C%93&amp;oem=8590AGSBLM1B","8590AGSBLM1B")</f>
        <v>8590AGSBLM1B</v>
      </c>
      <c r="B9722" s="1" t="s">
        <v>18451</v>
      </c>
      <c r="C9722" s="9" t="s">
        <v>687</v>
      </c>
      <c r="D9722" s="14" t="s">
        <v>18452</v>
      </c>
      <c r="E9722" s="9" t="s">
        <v>8</v>
      </c>
    </row>
    <row r="9723" spans="1:5" ht="15" customHeight="1" outlineLevel="2" x14ac:dyDescent="0.25">
      <c r="A9723" s="3" t="str">
        <f>HYPERLINK("http://mystore1.ru/price_items/search?utf8=%E2%9C%93&amp;oem=8590LCLV3FD","8590LCLV3FD")</f>
        <v>8590LCLV3FD</v>
      </c>
      <c r="B9723" s="1" t="s">
        <v>18453</v>
      </c>
      <c r="C9723" s="9" t="s">
        <v>687</v>
      </c>
      <c r="D9723" s="14" t="s">
        <v>18454</v>
      </c>
      <c r="E9723" s="9" t="s">
        <v>11</v>
      </c>
    </row>
    <row r="9724" spans="1:5" ht="15" customHeight="1" outlineLevel="2" x14ac:dyDescent="0.25">
      <c r="A9724" s="3" t="str">
        <f>HYPERLINK("http://mystore1.ru/price_items/search?utf8=%E2%9C%93&amp;oem=8590RCLV3FD","8590RCLV3FD")</f>
        <v>8590RCLV3FD</v>
      </c>
      <c r="B9724" s="1" t="s">
        <v>18455</v>
      </c>
      <c r="C9724" s="9" t="s">
        <v>687</v>
      </c>
      <c r="D9724" s="14" t="s">
        <v>18456</v>
      </c>
      <c r="E9724" s="9" t="s">
        <v>11</v>
      </c>
    </row>
    <row r="9725" spans="1:5" outlineLevel="1" x14ac:dyDescent="0.25">
      <c r="A9725" s="2"/>
      <c r="B9725" s="6" t="s">
        <v>18457</v>
      </c>
      <c r="C9725" s="8"/>
      <c r="D9725" s="8"/>
      <c r="E9725" s="8"/>
    </row>
    <row r="9726" spans="1:5" ht="15" customHeight="1" outlineLevel="2" x14ac:dyDescent="0.25">
      <c r="A9726" s="3" t="str">
        <f>HYPERLINK("http://mystore1.ru/price_items/search?utf8=%E2%9C%93&amp;oem=8560AGNVZ1A","8560AGNVZ1A")</f>
        <v>8560AGNVZ1A</v>
      </c>
      <c r="B9726" s="1" t="s">
        <v>18458</v>
      </c>
      <c r="C9726" s="9" t="s">
        <v>564</v>
      </c>
      <c r="D9726" s="14" t="s">
        <v>18459</v>
      </c>
      <c r="E9726" s="9" t="s">
        <v>8</v>
      </c>
    </row>
    <row r="9727" spans="1:5" ht="15" customHeight="1" outlineLevel="2" x14ac:dyDescent="0.25">
      <c r="A9727" s="3" t="str">
        <f>HYPERLINK("http://mystore1.ru/price_items/search?utf8=%E2%9C%93&amp;oem=8560AGNZ","8560AGNZ")</f>
        <v>8560AGNZ</v>
      </c>
      <c r="B9727" s="1" t="s">
        <v>18460</v>
      </c>
      <c r="C9727" s="9" t="s">
        <v>564</v>
      </c>
      <c r="D9727" s="14" t="s">
        <v>18461</v>
      </c>
      <c r="E9727" s="9" t="s">
        <v>8</v>
      </c>
    </row>
    <row r="9728" spans="1:5" ht="15" customHeight="1" outlineLevel="2" x14ac:dyDescent="0.25">
      <c r="A9728" s="3" t="str">
        <f>HYPERLINK("http://mystore1.ru/price_items/search?utf8=%E2%9C%93&amp;oem=8560BGNHZ","8560BGNHZ")</f>
        <v>8560BGNHZ</v>
      </c>
      <c r="B9728" s="1" t="s">
        <v>18462</v>
      </c>
      <c r="C9728" s="9" t="s">
        <v>564</v>
      </c>
      <c r="D9728" s="14" t="s">
        <v>18463</v>
      </c>
      <c r="E9728" s="9" t="s">
        <v>30</v>
      </c>
    </row>
    <row r="9729" spans="1:5" ht="15" customHeight="1" outlineLevel="2" x14ac:dyDescent="0.25">
      <c r="A9729" s="3" t="str">
        <f>HYPERLINK("http://mystore1.ru/price_items/search?utf8=%E2%9C%93&amp;oem=8560LGNH3FD","8560LGNH3FD")</f>
        <v>8560LGNH3FD</v>
      </c>
      <c r="B9729" s="1" t="s">
        <v>18464</v>
      </c>
      <c r="C9729" s="9" t="s">
        <v>564</v>
      </c>
      <c r="D9729" s="14" t="s">
        <v>18465</v>
      </c>
      <c r="E9729" s="9" t="s">
        <v>11</v>
      </c>
    </row>
    <row r="9730" spans="1:5" ht="15" customHeight="1" outlineLevel="2" x14ac:dyDescent="0.25">
      <c r="A9730" s="3" t="str">
        <f>HYPERLINK("http://mystore1.ru/price_items/search?utf8=%E2%9C%93&amp;oem=8560RGNH3FD","8560RGNH3FD")</f>
        <v>8560RGNH3FD</v>
      </c>
      <c r="B9730" s="1" t="s">
        <v>18466</v>
      </c>
      <c r="C9730" s="9" t="s">
        <v>564</v>
      </c>
      <c r="D9730" s="14" t="s">
        <v>18467</v>
      </c>
      <c r="E9730" s="9" t="s">
        <v>11</v>
      </c>
    </row>
    <row r="9731" spans="1:5" outlineLevel="1" x14ac:dyDescent="0.25">
      <c r="A9731" s="2"/>
      <c r="B9731" s="6" t="s">
        <v>18468</v>
      </c>
      <c r="C9731" s="8"/>
      <c r="D9731" s="8"/>
      <c r="E9731" s="8"/>
    </row>
    <row r="9732" spans="1:5" ht="15" customHeight="1" outlineLevel="2" x14ac:dyDescent="0.25">
      <c r="A9732" s="3" t="str">
        <f>HYPERLINK("http://mystore1.ru/price_items/search?utf8=%E2%9C%93&amp;oem=8579LGSV4RQD","8579LGSV4RQD")</f>
        <v>8579LGSV4RQD</v>
      </c>
      <c r="B9732" s="1" t="s">
        <v>18469</v>
      </c>
      <c r="C9732" s="9" t="s">
        <v>1408</v>
      </c>
      <c r="D9732" s="14" t="s">
        <v>18470</v>
      </c>
      <c r="E9732" s="9" t="s">
        <v>11</v>
      </c>
    </row>
    <row r="9733" spans="1:5" ht="15" customHeight="1" outlineLevel="2" x14ac:dyDescent="0.25">
      <c r="A9733" s="3" t="str">
        <f>HYPERLINK("http://mystore1.ru/price_items/search?utf8=%E2%9C%93&amp;oem=8579RGSV4RQD","8579RGSV4RQD")</f>
        <v>8579RGSV4RQD</v>
      </c>
      <c r="B9733" s="1" t="s">
        <v>18471</v>
      </c>
      <c r="C9733" s="9" t="s">
        <v>1408</v>
      </c>
      <c r="D9733" s="14" t="s">
        <v>18472</v>
      </c>
      <c r="E9733" s="9" t="s">
        <v>11</v>
      </c>
    </row>
    <row r="9734" spans="1:5" outlineLevel="1" x14ac:dyDescent="0.25">
      <c r="A9734" s="2"/>
      <c r="B9734" s="6" t="s">
        <v>18473</v>
      </c>
      <c r="C9734" s="8"/>
      <c r="D9734" s="8"/>
      <c r="E9734" s="8"/>
    </row>
    <row r="9735" spans="1:5" ht="15" customHeight="1" outlineLevel="2" x14ac:dyDescent="0.25">
      <c r="A9735" s="3" t="str">
        <f>HYPERLINK("http://mystore1.ru/price_items/search?utf8=%E2%9C%93&amp;oem=8529ACL","8529ACL")</f>
        <v>8529ACL</v>
      </c>
      <c r="B9735" s="1" t="s">
        <v>18474</v>
      </c>
      <c r="C9735" s="9" t="s">
        <v>11929</v>
      </c>
      <c r="D9735" s="14" t="s">
        <v>18475</v>
      </c>
      <c r="E9735" s="9" t="s">
        <v>8</v>
      </c>
    </row>
    <row r="9736" spans="1:5" ht="15" customHeight="1" outlineLevel="2" x14ac:dyDescent="0.25">
      <c r="A9736" s="3" t="str">
        <f>HYPERLINK("http://mystore1.ru/price_items/search?utf8=%E2%9C%93&amp;oem=8529AGN","8529AGN")</f>
        <v>8529AGN</v>
      </c>
      <c r="B9736" s="1" t="s">
        <v>18476</v>
      </c>
      <c r="C9736" s="9" t="s">
        <v>11929</v>
      </c>
      <c r="D9736" s="14" t="s">
        <v>18477</v>
      </c>
      <c r="E9736" s="9" t="s">
        <v>8</v>
      </c>
    </row>
    <row r="9737" spans="1:5" ht="15" customHeight="1" outlineLevel="2" x14ac:dyDescent="0.25">
      <c r="A9737" s="3" t="str">
        <f>HYPERLINK("http://mystore1.ru/price_items/search?utf8=%E2%9C%93&amp;oem=8529AGNBL","8529AGNBL")</f>
        <v>8529AGNBL</v>
      </c>
      <c r="B9737" s="1" t="s">
        <v>18478</v>
      </c>
      <c r="C9737" s="9" t="s">
        <v>11929</v>
      </c>
      <c r="D9737" s="14" t="s">
        <v>18479</v>
      </c>
      <c r="E9737" s="9" t="s">
        <v>8</v>
      </c>
    </row>
    <row r="9738" spans="1:5" ht="15" customHeight="1" outlineLevel="2" x14ac:dyDescent="0.25">
      <c r="A9738" s="3" t="str">
        <f>HYPERLINK("http://mystore1.ru/price_items/search?utf8=%E2%9C%93&amp;oem=8529AGNGN","8529AGNGN")</f>
        <v>8529AGNGN</v>
      </c>
      <c r="B9738" s="1" t="s">
        <v>18480</v>
      </c>
      <c r="C9738" s="9" t="s">
        <v>11929</v>
      </c>
      <c r="D9738" s="14" t="s">
        <v>18481</v>
      </c>
      <c r="E9738" s="9" t="s">
        <v>8</v>
      </c>
    </row>
    <row r="9739" spans="1:5" ht="15" customHeight="1" outlineLevel="2" x14ac:dyDescent="0.25">
      <c r="A9739" s="3" t="str">
        <f>HYPERLINK("http://mystore1.ru/price_items/search?utf8=%E2%9C%93&amp;oem=8529ASRH","8529ASRH")</f>
        <v>8529ASRH</v>
      </c>
      <c r="B9739" s="1" t="s">
        <v>18482</v>
      </c>
      <c r="C9739" s="9" t="s">
        <v>25</v>
      </c>
      <c r="D9739" s="14" t="s">
        <v>18483</v>
      </c>
      <c r="E9739" s="9" t="s">
        <v>27</v>
      </c>
    </row>
    <row r="9740" spans="1:5" ht="15" customHeight="1" outlineLevel="2" x14ac:dyDescent="0.25">
      <c r="A9740" s="3" t="str">
        <f>HYPERLINK("http://mystore1.ru/price_items/search?utf8=%E2%9C%93&amp;oem=8529BCLE","8529BCLE")</f>
        <v>8529BCLE</v>
      </c>
      <c r="B9740" s="1" t="s">
        <v>18484</v>
      </c>
      <c r="C9740" s="9" t="s">
        <v>11929</v>
      </c>
      <c r="D9740" s="14" t="s">
        <v>18485</v>
      </c>
      <c r="E9740" s="9" t="s">
        <v>30</v>
      </c>
    </row>
    <row r="9741" spans="1:5" outlineLevel="1" x14ac:dyDescent="0.25">
      <c r="A9741" s="2"/>
      <c r="B9741" s="6" t="s">
        <v>18486</v>
      </c>
      <c r="C9741" s="8"/>
      <c r="D9741" s="8"/>
      <c r="E9741" s="8"/>
    </row>
    <row r="9742" spans="1:5" ht="15" customHeight="1" outlineLevel="2" x14ac:dyDescent="0.25">
      <c r="A9742" s="3" t="str">
        <f>HYPERLINK("http://mystore1.ru/price_items/search?utf8=%E2%9C%93&amp;oem=8535ACLZ","8535ACLZ")</f>
        <v>8535ACLZ</v>
      </c>
      <c r="B9742" s="1" t="s">
        <v>18487</v>
      </c>
      <c r="C9742" s="9" t="s">
        <v>4207</v>
      </c>
      <c r="D9742" s="14" t="s">
        <v>18488</v>
      </c>
      <c r="E9742" s="9" t="s">
        <v>8</v>
      </c>
    </row>
    <row r="9743" spans="1:5" ht="15" customHeight="1" outlineLevel="2" x14ac:dyDescent="0.25">
      <c r="A9743" s="3" t="str">
        <f>HYPERLINK("http://mystore1.ru/price_items/search?utf8=%E2%9C%93&amp;oem=8535AGNBLZ","8535AGNBLZ")</f>
        <v>8535AGNBLZ</v>
      </c>
      <c r="B9743" s="1" t="s">
        <v>18489</v>
      </c>
      <c r="C9743" s="9" t="s">
        <v>4207</v>
      </c>
      <c r="D9743" s="14" t="s">
        <v>18490</v>
      </c>
      <c r="E9743" s="9" t="s">
        <v>8</v>
      </c>
    </row>
    <row r="9744" spans="1:5" ht="15" customHeight="1" outlineLevel="2" x14ac:dyDescent="0.25">
      <c r="A9744" s="3" t="str">
        <f>HYPERLINK("http://mystore1.ru/price_items/search?utf8=%E2%9C%93&amp;oem=8535AGNBLZ1C","8535AGNBLZ1C")</f>
        <v>8535AGNBLZ1C</v>
      </c>
      <c r="B9744" s="1" t="s">
        <v>18491</v>
      </c>
      <c r="C9744" s="9" t="s">
        <v>18129</v>
      </c>
      <c r="D9744" s="14" t="s">
        <v>18492</v>
      </c>
      <c r="E9744" s="9" t="s">
        <v>8</v>
      </c>
    </row>
    <row r="9745" spans="1:5" ht="15" customHeight="1" outlineLevel="2" x14ac:dyDescent="0.25">
      <c r="A9745" s="3" t="str">
        <f>HYPERLINK("http://mystore1.ru/price_items/search?utf8=%E2%9C%93&amp;oem=8535AGNBLZ2C","8535AGNBLZ2C")</f>
        <v>8535AGNBLZ2C</v>
      </c>
      <c r="B9745" s="1" t="s">
        <v>18493</v>
      </c>
      <c r="C9745" s="9" t="s">
        <v>5213</v>
      </c>
      <c r="D9745" s="14" t="s">
        <v>18494</v>
      </c>
      <c r="E9745" s="9" t="s">
        <v>8</v>
      </c>
    </row>
    <row r="9746" spans="1:5" ht="15" customHeight="1" outlineLevel="2" x14ac:dyDescent="0.25">
      <c r="A9746" s="3" t="str">
        <f>HYPERLINK("http://mystore1.ru/price_items/search?utf8=%E2%9C%93&amp;oem=8535AGNGNZ","8535AGNGNZ")</f>
        <v>8535AGNGNZ</v>
      </c>
      <c r="B9746" s="1" t="s">
        <v>18495</v>
      </c>
      <c r="C9746" s="9" t="s">
        <v>4307</v>
      </c>
      <c r="D9746" s="14" t="s">
        <v>18496</v>
      </c>
      <c r="E9746" s="9" t="s">
        <v>8</v>
      </c>
    </row>
    <row r="9747" spans="1:5" ht="15" customHeight="1" outlineLevel="2" x14ac:dyDescent="0.25">
      <c r="A9747" s="3" t="str">
        <f>HYPERLINK("http://mystore1.ru/price_items/search?utf8=%E2%9C%93&amp;oem=8535AGNGNZ1C","8535AGNGNZ1C")</f>
        <v>8535AGNGNZ1C</v>
      </c>
      <c r="B9747" s="1" t="s">
        <v>18497</v>
      </c>
      <c r="C9747" s="9" t="s">
        <v>18129</v>
      </c>
      <c r="D9747" s="14" t="s">
        <v>18498</v>
      </c>
      <c r="E9747" s="9" t="s">
        <v>8</v>
      </c>
    </row>
    <row r="9748" spans="1:5" ht="15" customHeight="1" outlineLevel="2" x14ac:dyDescent="0.25">
      <c r="A9748" s="3" t="str">
        <f>HYPERLINK("http://mystore1.ru/price_items/search?utf8=%E2%9C%93&amp;oem=8535AGNGNZ2C","8535AGNGNZ2C")</f>
        <v>8535AGNGNZ2C</v>
      </c>
      <c r="B9748" s="1" t="s">
        <v>18499</v>
      </c>
      <c r="C9748" s="9" t="s">
        <v>5213</v>
      </c>
      <c r="D9748" s="14" t="s">
        <v>18500</v>
      </c>
      <c r="E9748" s="9" t="s">
        <v>8</v>
      </c>
    </row>
    <row r="9749" spans="1:5" ht="15" customHeight="1" outlineLevel="2" x14ac:dyDescent="0.25">
      <c r="A9749" s="3" t="str">
        <f>HYPERLINK("http://mystore1.ru/price_items/search?utf8=%E2%9C%93&amp;oem=8535AGNZ","8535AGNZ")</f>
        <v>8535AGNZ</v>
      </c>
      <c r="B9749" s="1" t="s">
        <v>18501</v>
      </c>
      <c r="C9749" s="9" t="s">
        <v>4307</v>
      </c>
      <c r="D9749" s="14" t="s">
        <v>18502</v>
      </c>
      <c r="E9749" s="9" t="s">
        <v>8</v>
      </c>
    </row>
    <row r="9750" spans="1:5" ht="15" customHeight="1" outlineLevel="2" x14ac:dyDescent="0.25">
      <c r="A9750" s="3" t="str">
        <f>HYPERLINK("http://mystore1.ru/price_items/search?utf8=%E2%9C%93&amp;oem=8535AGNZ1C","8535AGNZ1C")</f>
        <v>8535AGNZ1C</v>
      </c>
      <c r="B9750" s="1" t="s">
        <v>18503</v>
      </c>
      <c r="C9750" s="9" t="s">
        <v>18129</v>
      </c>
      <c r="D9750" s="14" t="s">
        <v>18504</v>
      </c>
      <c r="E9750" s="9" t="s">
        <v>8</v>
      </c>
    </row>
    <row r="9751" spans="1:5" ht="15" customHeight="1" outlineLevel="2" x14ac:dyDescent="0.25">
      <c r="A9751" s="3" t="str">
        <f>HYPERLINK("http://mystore1.ru/price_items/search?utf8=%E2%9C%93&amp;oem=8535AGNZ2C","8535AGNZ2C")</f>
        <v>8535AGNZ2C</v>
      </c>
      <c r="B9751" s="1" t="s">
        <v>18505</v>
      </c>
      <c r="C9751" s="9" t="s">
        <v>5213</v>
      </c>
      <c r="D9751" s="14" t="s">
        <v>18506</v>
      </c>
      <c r="E9751" s="9" t="s">
        <v>8</v>
      </c>
    </row>
    <row r="9752" spans="1:5" ht="15" customHeight="1" outlineLevel="2" x14ac:dyDescent="0.25">
      <c r="A9752" s="3" t="str">
        <f>HYPERLINK("http://mystore1.ru/price_items/search?utf8=%E2%9C%93&amp;oem=8535ASDS","8535ASDS")</f>
        <v>8535ASDS</v>
      </c>
      <c r="B9752" s="1" t="s">
        <v>18507</v>
      </c>
      <c r="C9752" s="9" t="s">
        <v>25</v>
      </c>
      <c r="D9752" s="14" t="s">
        <v>18508</v>
      </c>
      <c r="E9752" s="9" t="s">
        <v>27</v>
      </c>
    </row>
    <row r="9753" spans="1:5" ht="15" customHeight="1" outlineLevel="2" x14ac:dyDescent="0.25">
      <c r="A9753" s="3" t="str">
        <f>HYPERLINK("http://mystore1.ru/price_items/search?utf8=%E2%9C%93&amp;oem=8535ASMS","8535ASMS")</f>
        <v>8535ASMS</v>
      </c>
      <c r="B9753" s="1" t="s">
        <v>18509</v>
      </c>
      <c r="C9753" s="9" t="s">
        <v>25</v>
      </c>
      <c r="D9753" s="14" t="s">
        <v>18510</v>
      </c>
      <c r="E9753" s="9" t="s">
        <v>27</v>
      </c>
    </row>
    <row r="9754" spans="1:5" ht="15" customHeight="1" outlineLevel="2" x14ac:dyDescent="0.25">
      <c r="A9754" s="3" t="str">
        <f>HYPERLINK("http://mystore1.ru/price_items/search?utf8=%E2%9C%93&amp;oem=8535BGNEABZ","8535BGNEABZ")</f>
        <v>8535BGNEABZ</v>
      </c>
      <c r="B9754" s="1" t="s">
        <v>18511</v>
      </c>
      <c r="C9754" s="9" t="s">
        <v>18512</v>
      </c>
      <c r="D9754" s="14" t="s">
        <v>18513</v>
      </c>
      <c r="E9754" s="9" t="s">
        <v>30</v>
      </c>
    </row>
    <row r="9755" spans="1:5" ht="15" customHeight="1" outlineLevel="2" x14ac:dyDescent="0.25">
      <c r="A9755" s="3" t="str">
        <f>HYPERLINK("http://mystore1.ru/price_items/search?utf8=%E2%9C%93&amp;oem=8535BGNEAZ","8535BGNEAZ")</f>
        <v>8535BGNEAZ</v>
      </c>
      <c r="B9755" s="1" t="s">
        <v>18514</v>
      </c>
      <c r="C9755" s="9" t="s">
        <v>4207</v>
      </c>
      <c r="D9755" s="14" t="s">
        <v>18515</v>
      </c>
      <c r="E9755" s="9" t="s">
        <v>30</v>
      </c>
    </row>
    <row r="9756" spans="1:5" ht="15" customHeight="1" outlineLevel="2" x14ac:dyDescent="0.25">
      <c r="A9756" s="3" t="str">
        <f>HYPERLINK("http://mystore1.ru/price_items/search?utf8=%E2%9C%93&amp;oem=8535BGNEAZ1B","8535BGNEAZ1B")</f>
        <v>8535BGNEAZ1B</v>
      </c>
      <c r="B9756" s="1" t="s">
        <v>18516</v>
      </c>
      <c r="C9756" s="9" t="s">
        <v>3403</v>
      </c>
      <c r="D9756" s="14" t="s">
        <v>18517</v>
      </c>
      <c r="E9756" s="9" t="s">
        <v>30</v>
      </c>
    </row>
    <row r="9757" spans="1:5" ht="15" customHeight="1" outlineLevel="2" x14ac:dyDescent="0.25">
      <c r="A9757" s="3" t="str">
        <f>HYPERLINK("http://mystore1.ru/price_items/search?utf8=%E2%9C%93&amp;oem=8535BGNEBZ1B","8535BGNEBZ1B")</f>
        <v>8535BGNEBZ1B</v>
      </c>
      <c r="B9757" s="1" t="s">
        <v>18518</v>
      </c>
      <c r="C9757" s="9" t="s">
        <v>3403</v>
      </c>
      <c r="D9757" s="14" t="s">
        <v>18519</v>
      </c>
      <c r="E9757" s="9" t="s">
        <v>30</v>
      </c>
    </row>
    <row r="9758" spans="1:5" ht="15" customHeight="1" outlineLevel="2" x14ac:dyDescent="0.25">
      <c r="A9758" s="3" t="str">
        <f>HYPERLINK("http://mystore1.ru/price_items/search?utf8=%E2%9C%93&amp;oem=8535BGNEZ1B","8535BGNEZ1B")</f>
        <v>8535BGNEZ1B</v>
      </c>
      <c r="B9758" s="1" t="s">
        <v>18520</v>
      </c>
      <c r="C9758" s="9" t="s">
        <v>3403</v>
      </c>
      <c r="D9758" s="14" t="s">
        <v>18521</v>
      </c>
      <c r="E9758" s="9" t="s">
        <v>30</v>
      </c>
    </row>
    <row r="9759" spans="1:5" ht="15" customHeight="1" outlineLevel="2" x14ac:dyDescent="0.25">
      <c r="A9759" s="3" t="str">
        <f>HYPERLINK("http://mystore1.ru/price_items/search?utf8=%E2%9C%93&amp;oem=8535BGNSAZ","8535BGNSAZ")</f>
        <v>8535BGNSAZ</v>
      </c>
      <c r="B9759" s="1" t="s">
        <v>18522</v>
      </c>
      <c r="C9759" s="9" t="s">
        <v>4207</v>
      </c>
      <c r="D9759" s="14" t="s">
        <v>18523</v>
      </c>
      <c r="E9759" s="9" t="s">
        <v>30</v>
      </c>
    </row>
    <row r="9760" spans="1:5" ht="15" customHeight="1" outlineLevel="2" x14ac:dyDescent="0.25">
      <c r="A9760" s="3" t="str">
        <f>HYPERLINK("http://mystore1.ru/price_items/search?utf8=%E2%9C%93&amp;oem=8535BGNSBZ","8535BGNSBZ")</f>
        <v>8535BGNSBZ</v>
      </c>
      <c r="B9760" s="1" t="s">
        <v>18524</v>
      </c>
      <c r="C9760" s="9" t="s">
        <v>4207</v>
      </c>
      <c r="D9760" s="14" t="s">
        <v>18525</v>
      </c>
      <c r="E9760" s="9" t="s">
        <v>30</v>
      </c>
    </row>
    <row r="9761" spans="1:5" ht="15" customHeight="1" outlineLevel="2" x14ac:dyDescent="0.25">
      <c r="A9761" s="3" t="str">
        <f>HYPERLINK("http://mystore1.ru/price_items/search?utf8=%E2%9C%93&amp;oem=8535LGNE5RD","8535LGNE5RD")</f>
        <v>8535LGNE5RD</v>
      </c>
      <c r="B9761" s="1" t="s">
        <v>18526</v>
      </c>
      <c r="C9761" s="9" t="s">
        <v>4207</v>
      </c>
      <c r="D9761" s="14" t="s">
        <v>18527</v>
      </c>
      <c r="E9761" s="9" t="s">
        <v>11</v>
      </c>
    </row>
    <row r="9762" spans="1:5" ht="15" customHeight="1" outlineLevel="2" x14ac:dyDescent="0.25">
      <c r="A9762" s="3" t="str">
        <f>HYPERLINK("http://mystore1.ru/price_items/search?utf8=%E2%9C%93&amp;oem=8535LGNS4FD","8535LGNS4FD")</f>
        <v>8535LGNS4FD</v>
      </c>
      <c r="B9762" s="1" t="s">
        <v>18528</v>
      </c>
      <c r="C9762" s="9" t="s">
        <v>4207</v>
      </c>
      <c r="D9762" s="14" t="s">
        <v>18529</v>
      </c>
      <c r="E9762" s="9" t="s">
        <v>11</v>
      </c>
    </row>
    <row r="9763" spans="1:5" ht="15" customHeight="1" outlineLevel="2" x14ac:dyDescent="0.25">
      <c r="A9763" s="3" t="str">
        <f>HYPERLINK("http://mystore1.ru/price_items/search?utf8=%E2%9C%93&amp;oem=8535LGNS4RD","8535LGNS4RD")</f>
        <v>8535LGNS4RD</v>
      </c>
      <c r="B9763" s="1" t="s">
        <v>18530</v>
      </c>
      <c r="C9763" s="9" t="s">
        <v>4207</v>
      </c>
      <c r="D9763" s="14" t="s">
        <v>18531</v>
      </c>
      <c r="E9763" s="9" t="s">
        <v>11</v>
      </c>
    </row>
    <row r="9764" spans="1:5" ht="15" customHeight="1" outlineLevel="2" x14ac:dyDescent="0.25">
      <c r="A9764" s="3" t="str">
        <f>HYPERLINK("http://mystore1.ru/price_items/search?utf8=%E2%9C%93&amp;oem=8535LGNS4RQZ","8535LGNS4RQZ")</f>
        <v>8535LGNS4RQZ</v>
      </c>
      <c r="B9764" s="1" t="s">
        <v>18532</v>
      </c>
      <c r="C9764" s="9" t="s">
        <v>4207</v>
      </c>
      <c r="D9764" s="14" t="s">
        <v>18533</v>
      </c>
      <c r="E9764" s="9" t="s">
        <v>11</v>
      </c>
    </row>
    <row r="9765" spans="1:5" ht="15" customHeight="1" outlineLevel="2" x14ac:dyDescent="0.25">
      <c r="A9765" s="3" t="str">
        <f>HYPERLINK("http://mystore1.ru/price_items/search?utf8=%E2%9C%93&amp;oem=8535RGNE5RD","8535RGNE5RD")</f>
        <v>8535RGNE5RD</v>
      </c>
      <c r="B9765" s="1" t="s">
        <v>18534</v>
      </c>
      <c r="C9765" s="9" t="s">
        <v>4207</v>
      </c>
      <c r="D9765" s="14" t="s">
        <v>18535</v>
      </c>
      <c r="E9765" s="9" t="s">
        <v>11</v>
      </c>
    </row>
    <row r="9766" spans="1:5" ht="15" customHeight="1" outlineLevel="2" x14ac:dyDescent="0.25">
      <c r="A9766" s="3" t="str">
        <f>HYPERLINK("http://mystore1.ru/price_items/search?utf8=%E2%9C%93&amp;oem=8535RGNS4FD","8535RGNS4FD")</f>
        <v>8535RGNS4FD</v>
      </c>
      <c r="B9766" s="1" t="s">
        <v>18536</v>
      </c>
      <c r="C9766" s="9" t="s">
        <v>4207</v>
      </c>
      <c r="D9766" s="14" t="s">
        <v>18537</v>
      </c>
      <c r="E9766" s="9" t="s">
        <v>11</v>
      </c>
    </row>
    <row r="9767" spans="1:5" ht="15" customHeight="1" outlineLevel="2" x14ac:dyDescent="0.25">
      <c r="A9767" s="3" t="str">
        <f>HYPERLINK("http://mystore1.ru/price_items/search?utf8=%E2%9C%93&amp;oem=8535RGNS4RD","8535RGNS4RD")</f>
        <v>8535RGNS4RD</v>
      </c>
      <c r="B9767" s="1" t="s">
        <v>18538</v>
      </c>
      <c r="C9767" s="9" t="s">
        <v>4207</v>
      </c>
      <c r="D9767" s="14" t="s">
        <v>18539</v>
      </c>
      <c r="E9767" s="9" t="s">
        <v>11</v>
      </c>
    </row>
    <row r="9768" spans="1:5" ht="15" customHeight="1" outlineLevel="2" x14ac:dyDescent="0.25">
      <c r="A9768" s="3" t="str">
        <f>HYPERLINK("http://mystore1.ru/price_items/search?utf8=%E2%9C%93&amp;oem=8535RGNS4RQZ","8535RGNS4RQZ")</f>
        <v>8535RGNS4RQZ</v>
      </c>
      <c r="B9768" s="1" t="s">
        <v>18540</v>
      </c>
      <c r="C9768" s="9" t="s">
        <v>4207</v>
      </c>
      <c r="D9768" s="14" t="s">
        <v>18541</v>
      </c>
      <c r="E9768" s="9" t="s">
        <v>11</v>
      </c>
    </row>
    <row r="9769" spans="1:5" outlineLevel="1" x14ac:dyDescent="0.25">
      <c r="A9769" s="2"/>
      <c r="B9769" s="6" t="s">
        <v>18542</v>
      </c>
      <c r="C9769" s="8"/>
      <c r="D9769" s="8"/>
      <c r="E9769" s="8"/>
    </row>
    <row r="9770" spans="1:5" ht="15" customHeight="1" outlineLevel="2" x14ac:dyDescent="0.25">
      <c r="A9770" s="3" t="str">
        <f>HYPERLINK("http://mystore1.ru/price_items/search?utf8=%E2%9C%93&amp;oem=8556AGNBLZ","8556AGNBLZ")</f>
        <v>8556AGNBLZ</v>
      </c>
      <c r="B9770" s="1" t="s">
        <v>18543</v>
      </c>
      <c r="C9770" s="9" t="s">
        <v>5667</v>
      </c>
      <c r="D9770" s="14" t="s">
        <v>18544</v>
      </c>
      <c r="E9770" s="9" t="s">
        <v>8</v>
      </c>
    </row>
    <row r="9771" spans="1:5" ht="15" customHeight="1" outlineLevel="2" x14ac:dyDescent="0.25">
      <c r="A9771" s="3" t="str">
        <f>HYPERLINK("http://mystore1.ru/price_items/search?utf8=%E2%9C%93&amp;oem=8556AGNGNVZ","8556AGNGNVZ")</f>
        <v>8556AGNGNVZ</v>
      </c>
      <c r="B9771" s="1" t="s">
        <v>18545</v>
      </c>
      <c r="C9771" s="9" t="s">
        <v>5667</v>
      </c>
      <c r="D9771" s="14" t="s">
        <v>18546</v>
      </c>
      <c r="E9771" s="9" t="s">
        <v>8</v>
      </c>
    </row>
    <row r="9772" spans="1:5" ht="15" customHeight="1" outlineLevel="2" x14ac:dyDescent="0.25">
      <c r="A9772" s="3" t="str">
        <f>HYPERLINK("http://mystore1.ru/price_items/search?utf8=%E2%9C%93&amp;oem=8556AGNGNZ","8556AGNGNZ")</f>
        <v>8556AGNGNZ</v>
      </c>
      <c r="B9772" s="1" t="s">
        <v>18547</v>
      </c>
      <c r="C9772" s="9" t="s">
        <v>5667</v>
      </c>
      <c r="D9772" s="14" t="s">
        <v>18548</v>
      </c>
      <c r="E9772" s="9" t="s">
        <v>8</v>
      </c>
    </row>
    <row r="9773" spans="1:5" ht="15" customHeight="1" outlineLevel="2" x14ac:dyDescent="0.25">
      <c r="A9773" s="3" t="str">
        <f>HYPERLINK("http://mystore1.ru/price_items/search?utf8=%E2%9C%93&amp;oem=8556AGNGYMVZ","8556AGNGYMVZ")</f>
        <v>8556AGNGYMVZ</v>
      </c>
      <c r="B9773" s="1" t="s">
        <v>18549</v>
      </c>
      <c r="C9773" s="9" t="s">
        <v>5667</v>
      </c>
      <c r="D9773" s="14" t="s">
        <v>18550</v>
      </c>
      <c r="E9773" s="9" t="s">
        <v>8</v>
      </c>
    </row>
    <row r="9774" spans="1:5" ht="15" customHeight="1" outlineLevel="2" x14ac:dyDescent="0.25">
      <c r="A9774" s="3" t="str">
        <f>HYPERLINK("http://mystore1.ru/price_items/search?utf8=%E2%9C%93&amp;oem=8556AGNGYMZ","8556AGNGYMZ")</f>
        <v>8556AGNGYMZ</v>
      </c>
      <c r="B9774" s="1" t="s">
        <v>18551</v>
      </c>
      <c r="C9774" s="9" t="s">
        <v>5667</v>
      </c>
      <c r="D9774" s="14" t="s">
        <v>18552</v>
      </c>
      <c r="E9774" s="9" t="s">
        <v>8</v>
      </c>
    </row>
    <row r="9775" spans="1:5" ht="15" customHeight="1" outlineLevel="2" x14ac:dyDescent="0.25">
      <c r="A9775" s="3" t="str">
        <f>HYPERLINK("http://mystore1.ru/price_items/search?utf8=%E2%9C%93&amp;oem=8556AGNGYVZ","8556AGNGYVZ")</f>
        <v>8556AGNGYVZ</v>
      </c>
      <c r="B9775" s="1" t="s">
        <v>18553</v>
      </c>
      <c r="C9775" s="9" t="s">
        <v>5667</v>
      </c>
      <c r="D9775" s="14" t="s">
        <v>18554</v>
      </c>
      <c r="E9775" s="9" t="s">
        <v>8</v>
      </c>
    </row>
    <row r="9776" spans="1:5" ht="15" customHeight="1" outlineLevel="2" x14ac:dyDescent="0.25">
      <c r="A9776" s="3" t="str">
        <f>HYPERLINK("http://mystore1.ru/price_items/search?utf8=%E2%9C%93&amp;oem=8556AGNGYZ","8556AGNGYZ")</f>
        <v>8556AGNGYZ</v>
      </c>
      <c r="B9776" s="1" t="s">
        <v>18555</v>
      </c>
      <c r="C9776" s="9" t="s">
        <v>5667</v>
      </c>
      <c r="D9776" s="14" t="s">
        <v>18556</v>
      </c>
      <c r="E9776" s="9" t="s">
        <v>8</v>
      </c>
    </row>
    <row r="9777" spans="1:5" ht="15" customHeight="1" outlineLevel="2" x14ac:dyDescent="0.25">
      <c r="A9777" s="3" t="str">
        <f>HYPERLINK("http://mystore1.ru/price_items/search?utf8=%E2%9C%93&amp;oem=8556AGNMVZ","8556AGNMVZ")</f>
        <v>8556AGNMVZ</v>
      </c>
      <c r="B9777" s="1" t="s">
        <v>18557</v>
      </c>
      <c r="C9777" s="9" t="s">
        <v>5667</v>
      </c>
      <c r="D9777" s="14" t="s">
        <v>18558</v>
      </c>
      <c r="E9777" s="9" t="s">
        <v>8</v>
      </c>
    </row>
    <row r="9778" spans="1:5" ht="15" customHeight="1" outlineLevel="2" x14ac:dyDescent="0.25">
      <c r="A9778" s="3" t="str">
        <f>HYPERLINK("http://mystore1.ru/price_items/search?utf8=%E2%9C%93&amp;oem=8556AGNVZ","8556AGNVZ")</f>
        <v>8556AGNVZ</v>
      </c>
      <c r="B9778" s="1" t="s">
        <v>18559</v>
      </c>
      <c r="C9778" s="9" t="s">
        <v>5667</v>
      </c>
      <c r="D9778" s="14" t="s">
        <v>18560</v>
      </c>
      <c r="E9778" s="9" t="s">
        <v>8</v>
      </c>
    </row>
    <row r="9779" spans="1:5" ht="15" customHeight="1" outlineLevel="2" x14ac:dyDescent="0.25">
      <c r="A9779" s="3" t="str">
        <f>HYPERLINK("http://mystore1.ru/price_items/search?utf8=%E2%9C%93&amp;oem=8556AGNZ","8556AGNZ")</f>
        <v>8556AGNZ</v>
      </c>
      <c r="B9779" s="1" t="s">
        <v>18561</v>
      </c>
      <c r="C9779" s="9" t="s">
        <v>5667</v>
      </c>
      <c r="D9779" s="14" t="s">
        <v>18562</v>
      </c>
      <c r="E9779" s="9" t="s">
        <v>8</v>
      </c>
    </row>
    <row r="9780" spans="1:5" ht="15" customHeight="1" outlineLevel="2" x14ac:dyDescent="0.25">
      <c r="A9780" s="3" t="str">
        <f>HYPERLINK("http://mystore1.ru/price_items/search?utf8=%E2%9C%93&amp;oem=8556AKMSS","8556AKMSS")</f>
        <v>8556AKMSS</v>
      </c>
      <c r="B9780" s="1" t="s">
        <v>18563</v>
      </c>
      <c r="C9780" s="9" t="s">
        <v>25</v>
      </c>
      <c r="D9780" s="14" t="s">
        <v>18564</v>
      </c>
      <c r="E9780" s="9" t="s">
        <v>27</v>
      </c>
    </row>
    <row r="9781" spans="1:5" ht="15" customHeight="1" outlineLevel="2" x14ac:dyDescent="0.25">
      <c r="A9781" s="3" t="str">
        <f>HYPERLINK("http://mystore1.ru/price_items/search?utf8=%E2%9C%93&amp;oem=8556BGNEBZ","8556BGNEBZ")</f>
        <v>8556BGNEBZ</v>
      </c>
      <c r="B9781" s="1" t="s">
        <v>18565</v>
      </c>
      <c r="C9781" s="9" t="s">
        <v>5667</v>
      </c>
      <c r="D9781" s="14" t="s">
        <v>18566</v>
      </c>
      <c r="E9781" s="9" t="s">
        <v>30</v>
      </c>
    </row>
    <row r="9782" spans="1:5" ht="15" customHeight="1" outlineLevel="2" x14ac:dyDescent="0.25">
      <c r="A9782" s="3" t="str">
        <f>HYPERLINK("http://mystore1.ru/price_items/search?utf8=%E2%9C%93&amp;oem=8556BGNSBZ","8556BGNSBZ")</f>
        <v>8556BGNSBZ</v>
      </c>
      <c r="B9782" s="1" t="s">
        <v>18567</v>
      </c>
      <c r="C9782" s="9" t="s">
        <v>5667</v>
      </c>
      <c r="D9782" s="14" t="s">
        <v>18568</v>
      </c>
      <c r="E9782" s="9" t="s">
        <v>30</v>
      </c>
    </row>
    <row r="9783" spans="1:5" ht="15" customHeight="1" outlineLevel="2" x14ac:dyDescent="0.25">
      <c r="A9783" s="3" t="str">
        <f>HYPERLINK("http://mystore1.ru/price_items/search?utf8=%E2%9C%93&amp;oem=8556LGNE5RDW","8556LGNE5RDW")</f>
        <v>8556LGNE5RDW</v>
      </c>
      <c r="B9783" s="1" t="s">
        <v>18569</v>
      </c>
      <c r="C9783" s="9" t="s">
        <v>5667</v>
      </c>
      <c r="D9783" s="14" t="s">
        <v>18570</v>
      </c>
      <c r="E9783" s="9" t="s">
        <v>11</v>
      </c>
    </row>
    <row r="9784" spans="1:5" ht="15" customHeight="1" outlineLevel="2" x14ac:dyDescent="0.25">
      <c r="A9784" s="3" t="str">
        <f>HYPERLINK("http://mystore1.ru/price_items/search?utf8=%E2%9C%93&amp;oem=8556LGNS4FD","8556LGNS4FD")</f>
        <v>8556LGNS4FD</v>
      </c>
      <c r="B9784" s="1" t="s">
        <v>18571</v>
      </c>
      <c r="C9784" s="9" t="s">
        <v>5667</v>
      </c>
      <c r="D9784" s="14" t="s">
        <v>18572</v>
      </c>
      <c r="E9784" s="9" t="s">
        <v>11</v>
      </c>
    </row>
    <row r="9785" spans="1:5" ht="15" customHeight="1" outlineLevel="2" x14ac:dyDescent="0.25">
      <c r="A9785" s="3" t="str">
        <f>HYPERLINK("http://mystore1.ru/price_items/search?utf8=%E2%9C%93&amp;oem=8556LGNS4RDW","8556LGNS4RDW")</f>
        <v>8556LGNS4RDW</v>
      </c>
      <c r="B9785" s="1" t="s">
        <v>18573</v>
      </c>
      <c r="C9785" s="9" t="s">
        <v>5667</v>
      </c>
      <c r="D9785" s="14" t="s">
        <v>18574</v>
      </c>
      <c r="E9785" s="9" t="s">
        <v>11</v>
      </c>
    </row>
    <row r="9786" spans="1:5" ht="15" customHeight="1" outlineLevel="2" x14ac:dyDescent="0.25">
      <c r="A9786" s="3" t="str">
        <f>HYPERLINK("http://mystore1.ru/price_items/search?utf8=%E2%9C%93&amp;oem=8556RGNE5RDW","8556RGNE5RDW")</f>
        <v>8556RGNE5RDW</v>
      </c>
      <c r="B9786" s="1" t="s">
        <v>18575</v>
      </c>
      <c r="C9786" s="9" t="s">
        <v>5667</v>
      </c>
      <c r="D9786" s="14" t="s">
        <v>18576</v>
      </c>
      <c r="E9786" s="9" t="s">
        <v>11</v>
      </c>
    </row>
    <row r="9787" spans="1:5" ht="15" customHeight="1" outlineLevel="2" x14ac:dyDescent="0.25">
      <c r="A9787" s="3" t="str">
        <f>HYPERLINK("http://mystore1.ru/price_items/search?utf8=%E2%9C%93&amp;oem=8556RGNS4FD","8556RGNS4FD")</f>
        <v>8556RGNS4FD</v>
      </c>
      <c r="B9787" s="1" t="s">
        <v>18577</v>
      </c>
      <c r="C9787" s="9" t="s">
        <v>5667</v>
      </c>
      <c r="D9787" s="14" t="s">
        <v>18578</v>
      </c>
      <c r="E9787" s="9" t="s">
        <v>11</v>
      </c>
    </row>
    <row r="9788" spans="1:5" ht="15" customHeight="1" outlineLevel="2" x14ac:dyDescent="0.25">
      <c r="A9788" s="3" t="str">
        <f>HYPERLINK("http://mystore1.ru/price_items/search?utf8=%E2%9C%93&amp;oem=8556RGNS4RDW","8556RGNS4RDW")</f>
        <v>8556RGNS4RDW</v>
      </c>
      <c r="B9788" s="1" t="s">
        <v>18579</v>
      </c>
      <c r="C9788" s="9" t="s">
        <v>5667</v>
      </c>
      <c r="D9788" s="14" t="s">
        <v>18580</v>
      </c>
      <c r="E9788" s="9" t="s">
        <v>11</v>
      </c>
    </row>
    <row r="9789" spans="1:5" outlineLevel="1" x14ac:dyDescent="0.25">
      <c r="A9789" s="2"/>
      <c r="B9789" s="6" t="s">
        <v>18581</v>
      </c>
      <c r="C9789" s="8"/>
      <c r="D9789" s="8"/>
      <c r="E9789" s="8"/>
    </row>
    <row r="9790" spans="1:5" ht="15" customHeight="1" outlineLevel="2" x14ac:dyDescent="0.25">
      <c r="A9790" s="3" t="str">
        <f>HYPERLINK("http://mystore1.ru/price_items/search?utf8=%E2%9C%93&amp;oem=8584AGSHVW","8584AGSHVW")</f>
        <v>8584AGSHVW</v>
      </c>
      <c r="B9790" s="1" t="s">
        <v>18582</v>
      </c>
      <c r="C9790" s="9" t="s">
        <v>1629</v>
      </c>
      <c r="D9790" s="14" t="s">
        <v>18583</v>
      </c>
      <c r="E9790" s="9" t="s">
        <v>8</v>
      </c>
    </row>
    <row r="9791" spans="1:5" ht="15" customHeight="1" outlineLevel="2" x14ac:dyDescent="0.25">
      <c r="A9791" s="3" t="str">
        <f>HYPERLINK("http://mystore1.ru/price_items/search?utf8=%E2%9C%93&amp;oem=8584AGSHVW1H","8584AGSHVW1H")</f>
        <v>8584AGSHVW1H</v>
      </c>
      <c r="B9791" s="1" t="s">
        <v>18584</v>
      </c>
      <c r="C9791" s="9" t="s">
        <v>4601</v>
      </c>
      <c r="D9791" s="14" t="s">
        <v>18585</v>
      </c>
      <c r="E9791" s="9" t="s">
        <v>8</v>
      </c>
    </row>
    <row r="9792" spans="1:5" ht="15" customHeight="1" outlineLevel="2" x14ac:dyDescent="0.25">
      <c r="A9792" s="3" t="str">
        <f>HYPERLINK("http://mystore1.ru/price_items/search?utf8=%E2%9C%93&amp;oem=8584AGSMVW1B","8584AGSMVW1B")</f>
        <v>8584AGSMVW1B</v>
      </c>
      <c r="B9792" s="1" t="s">
        <v>18586</v>
      </c>
      <c r="C9792" s="9" t="s">
        <v>1629</v>
      </c>
      <c r="D9792" s="14" t="s">
        <v>18587</v>
      </c>
      <c r="E9792" s="9" t="s">
        <v>8</v>
      </c>
    </row>
    <row r="9793" spans="1:5" ht="15" customHeight="1" outlineLevel="2" x14ac:dyDescent="0.25">
      <c r="A9793" s="3" t="str">
        <f>HYPERLINK("http://mystore1.ru/price_items/search?utf8=%E2%9C%93&amp;oem=8584AGSVW","8584AGSVW")</f>
        <v>8584AGSVW</v>
      </c>
      <c r="B9793" s="1" t="s">
        <v>18588</v>
      </c>
      <c r="C9793" s="9" t="s">
        <v>1629</v>
      </c>
      <c r="D9793" s="14" t="s">
        <v>18589</v>
      </c>
      <c r="E9793" s="9" t="s">
        <v>8</v>
      </c>
    </row>
    <row r="9794" spans="1:5" ht="15" customHeight="1" outlineLevel="2" x14ac:dyDescent="0.25">
      <c r="A9794" s="3" t="str">
        <f>HYPERLINK("http://mystore1.ru/price_items/search?utf8=%E2%9C%93&amp;oem=8584AGSVW1H","8584AGSVW1H")</f>
        <v>8584AGSVW1H</v>
      </c>
      <c r="B9794" s="1" t="s">
        <v>18590</v>
      </c>
      <c r="C9794" s="9" t="s">
        <v>4601</v>
      </c>
      <c r="D9794" s="14" t="s">
        <v>18591</v>
      </c>
      <c r="E9794" s="9" t="s">
        <v>8</v>
      </c>
    </row>
    <row r="9795" spans="1:5" ht="15" customHeight="1" outlineLevel="2" x14ac:dyDescent="0.25">
      <c r="A9795" s="3" t="str">
        <f>HYPERLINK("http://mystore1.ru/price_items/search?utf8=%E2%9C%93&amp;oem=8584AGSGYVW1H","8584AGSGYVW1H")</f>
        <v>8584AGSGYVW1H</v>
      </c>
      <c r="B9795" s="1" t="s">
        <v>18592</v>
      </c>
      <c r="C9795" s="9" t="s">
        <v>1204</v>
      </c>
      <c r="D9795" s="14" t="s">
        <v>18593</v>
      </c>
      <c r="E9795" s="9" t="s">
        <v>8</v>
      </c>
    </row>
    <row r="9796" spans="1:5" ht="15" customHeight="1" outlineLevel="2" x14ac:dyDescent="0.25">
      <c r="A9796" s="3" t="str">
        <f>HYPERLINK("http://mystore1.ru/price_items/search?utf8=%E2%9C%93&amp;oem=8584AGSHMVW1B","8584AGSHMVW1B")</f>
        <v>8584AGSHMVW1B</v>
      </c>
      <c r="B9796" s="1" t="s">
        <v>18594</v>
      </c>
      <c r="C9796" s="9" t="s">
        <v>1629</v>
      </c>
      <c r="D9796" s="14" t="s">
        <v>18595</v>
      </c>
      <c r="E9796" s="9" t="s">
        <v>8</v>
      </c>
    </row>
    <row r="9797" spans="1:5" ht="15" customHeight="1" outlineLevel="2" x14ac:dyDescent="0.25">
      <c r="A9797" s="3" t="str">
        <f>HYPERLINK("http://mystore1.ru/price_items/search?utf8=%E2%9C%93&amp;oem=8584AGAHMVW1B","8584AGAHMVW1B")</f>
        <v>8584AGAHMVW1B</v>
      </c>
      <c r="B9797" s="1" t="s">
        <v>18596</v>
      </c>
      <c r="C9797" s="9" t="s">
        <v>1629</v>
      </c>
      <c r="D9797" s="14" t="s">
        <v>18597</v>
      </c>
      <c r="E9797" s="9" t="s">
        <v>8</v>
      </c>
    </row>
    <row r="9798" spans="1:5" ht="15" customHeight="1" outlineLevel="2" x14ac:dyDescent="0.25">
      <c r="A9798" s="3" t="str">
        <f>HYPERLINK("http://mystore1.ru/price_items/search?utf8=%E2%9C%93&amp;oem=8584AGACMVW","8584AGACMVW")</f>
        <v>8584AGACMVW</v>
      </c>
      <c r="B9798" s="1" t="s">
        <v>18598</v>
      </c>
      <c r="C9798" s="9" t="s">
        <v>1629</v>
      </c>
      <c r="D9798" s="14" t="s">
        <v>18599</v>
      </c>
      <c r="E9798" s="9" t="s">
        <v>8</v>
      </c>
    </row>
    <row r="9799" spans="1:5" ht="15" customHeight="1" outlineLevel="2" x14ac:dyDescent="0.25">
      <c r="A9799" s="3" t="str">
        <f>HYPERLINK("http://mystore1.ru/price_items/search?utf8=%E2%9C%93&amp;oem=8584AGAHMVW","8584AGAHMVW")</f>
        <v>8584AGAHMVW</v>
      </c>
      <c r="B9799" s="1" t="s">
        <v>18600</v>
      </c>
      <c r="C9799" s="9" t="s">
        <v>1629</v>
      </c>
      <c r="D9799" s="14" t="s">
        <v>18601</v>
      </c>
      <c r="E9799" s="9" t="s">
        <v>8</v>
      </c>
    </row>
    <row r="9800" spans="1:5" ht="15" customHeight="1" outlineLevel="2" x14ac:dyDescent="0.25">
      <c r="A9800" s="3" t="str">
        <f>HYPERLINK("http://mystore1.ru/price_items/search?utf8=%E2%9C%93&amp;oem=8584ACDMVW35","8584ACDMVW35")</f>
        <v>8584ACDMVW35</v>
      </c>
      <c r="B9800" s="1" t="s">
        <v>18602</v>
      </c>
      <c r="C9800" s="9" t="s">
        <v>601</v>
      </c>
      <c r="D9800" s="14" t="s">
        <v>18603</v>
      </c>
      <c r="E9800" s="9" t="s">
        <v>8</v>
      </c>
    </row>
    <row r="9801" spans="1:5" ht="15" customHeight="1" outlineLevel="2" x14ac:dyDescent="0.25">
      <c r="A9801" s="3" t="str">
        <f>HYPERLINK("http://mystore1.ru/price_items/search?utf8=%E2%9C%93&amp;oem=8584BGDEW","8584BGDEW")</f>
        <v>8584BGDEW</v>
      </c>
      <c r="B9801" s="1" t="s">
        <v>18604</v>
      </c>
      <c r="C9801" s="9" t="s">
        <v>1629</v>
      </c>
      <c r="D9801" s="14" t="s">
        <v>18605</v>
      </c>
      <c r="E9801" s="9" t="s">
        <v>30</v>
      </c>
    </row>
    <row r="9802" spans="1:5" ht="15" customHeight="1" outlineLevel="2" x14ac:dyDescent="0.25">
      <c r="A9802" s="3" t="str">
        <f>HYPERLINK("http://mystore1.ru/price_items/search?utf8=%E2%9C%93&amp;oem=8584BGDSABGW1F","8584BGDSABGW1F")</f>
        <v>8584BGDSABGW1F</v>
      </c>
      <c r="B9802" s="1" t="s">
        <v>18606</v>
      </c>
      <c r="C9802" s="9" t="s">
        <v>1629</v>
      </c>
      <c r="D9802" s="14" t="s">
        <v>18607</v>
      </c>
      <c r="E9802" s="9" t="s">
        <v>30</v>
      </c>
    </row>
    <row r="9803" spans="1:5" ht="15" customHeight="1" outlineLevel="2" x14ac:dyDescent="0.25">
      <c r="A9803" s="3" t="str">
        <f>HYPERLINK("http://mystore1.ru/price_items/search?utf8=%E2%9C%93&amp;oem=8584BGDSABW","8584BGDSABW")</f>
        <v>8584BGDSABW</v>
      </c>
      <c r="B9803" s="1" t="s">
        <v>18608</v>
      </c>
      <c r="C9803" s="9" t="s">
        <v>1629</v>
      </c>
      <c r="D9803" s="14" t="s">
        <v>18609</v>
      </c>
      <c r="E9803" s="9" t="s">
        <v>30</v>
      </c>
    </row>
    <row r="9804" spans="1:5" ht="15" customHeight="1" outlineLevel="2" x14ac:dyDescent="0.25">
      <c r="A9804" s="3" t="str">
        <f>HYPERLINK("http://mystore1.ru/price_items/search?utf8=%E2%9C%93&amp;oem=8584BGSEW","8584BGSEW")</f>
        <v>8584BGSEW</v>
      </c>
      <c r="B9804" s="1" t="s">
        <v>18610</v>
      </c>
      <c r="C9804" s="9" t="s">
        <v>1629</v>
      </c>
      <c r="D9804" s="14" t="s">
        <v>18611</v>
      </c>
      <c r="E9804" s="9" t="s">
        <v>30</v>
      </c>
    </row>
    <row r="9805" spans="1:5" ht="15" customHeight="1" outlineLevel="2" x14ac:dyDescent="0.25">
      <c r="A9805" s="3" t="str">
        <f>HYPERLINK("http://mystore1.ru/price_items/search?utf8=%E2%9C%93&amp;oem=8584BGSSABGW1F","8584BGSSABGW1F")</f>
        <v>8584BGSSABGW1F</v>
      </c>
      <c r="B9805" s="1" t="s">
        <v>18612</v>
      </c>
      <c r="C9805" s="9" t="s">
        <v>1629</v>
      </c>
      <c r="D9805" s="14" t="s">
        <v>18613</v>
      </c>
      <c r="E9805" s="9" t="s">
        <v>30</v>
      </c>
    </row>
    <row r="9806" spans="1:5" ht="15" customHeight="1" outlineLevel="2" x14ac:dyDescent="0.25">
      <c r="A9806" s="3" t="str">
        <f>HYPERLINK("http://mystore1.ru/price_items/search?utf8=%E2%9C%93&amp;oem=8584LGSE5RDW","8584LGSE5RDW")</f>
        <v>8584LGSE5RDW</v>
      </c>
      <c r="B9806" s="1" t="s">
        <v>18614</v>
      </c>
      <c r="C9806" s="9" t="s">
        <v>1629</v>
      </c>
      <c r="D9806" s="14" t="s">
        <v>18615</v>
      </c>
      <c r="E9806" s="9" t="s">
        <v>11</v>
      </c>
    </row>
    <row r="9807" spans="1:5" ht="15" customHeight="1" outlineLevel="2" x14ac:dyDescent="0.25">
      <c r="A9807" s="3" t="str">
        <f>HYPERLINK("http://mystore1.ru/price_items/search?utf8=%E2%9C%93&amp;oem=8584LGSE5RQAZ","8584LGSE5RQAZ")</f>
        <v>8584LGSE5RQAZ</v>
      </c>
      <c r="B9807" s="1" t="s">
        <v>18616</v>
      </c>
      <c r="C9807" s="9" t="s">
        <v>1629</v>
      </c>
      <c r="D9807" s="14" t="s">
        <v>18617</v>
      </c>
      <c r="E9807" s="9" t="s">
        <v>11</v>
      </c>
    </row>
    <row r="9808" spans="1:5" ht="15" customHeight="1" outlineLevel="2" x14ac:dyDescent="0.25">
      <c r="A9808" s="3" t="str">
        <f>HYPERLINK("http://mystore1.ru/price_items/search?utf8=%E2%9C%93&amp;oem=8584LGSE5RQAZ1D","8584LGSE5RQAZ1D")</f>
        <v>8584LGSE5RQAZ1D</v>
      </c>
      <c r="B9808" s="1" t="s">
        <v>18618</v>
      </c>
      <c r="C9808" s="9" t="s">
        <v>1629</v>
      </c>
      <c r="D9808" s="14" t="s">
        <v>18617</v>
      </c>
      <c r="E9808" s="9" t="s">
        <v>11</v>
      </c>
    </row>
    <row r="9809" spans="1:5" ht="15" customHeight="1" outlineLevel="2" x14ac:dyDescent="0.25">
      <c r="A9809" s="3" t="str">
        <f>HYPERLINK("http://mystore1.ru/price_items/search?utf8=%E2%9C%93&amp;oem=8584LGSS4FD","8584LGSS4FD")</f>
        <v>8584LGSS4FD</v>
      </c>
      <c r="B9809" s="1" t="s">
        <v>18619</v>
      </c>
      <c r="C9809" s="9" t="s">
        <v>1629</v>
      </c>
      <c r="D9809" s="14" t="s">
        <v>18620</v>
      </c>
      <c r="E9809" s="9" t="s">
        <v>11</v>
      </c>
    </row>
    <row r="9810" spans="1:5" ht="15" customHeight="1" outlineLevel="2" x14ac:dyDescent="0.25">
      <c r="A9810" s="3" t="str">
        <f>HYPERLINK("http://mystore1.ru/price_items/search?utf8=%E2%9C%93&amp;oem=8584LGSS4FD1A","8584LGSS4FD1A")</f>
        <v>8584LGSS4FD1A</v>
      </c>
      <c r="B9810" s="1" t="s">
        <v>18621</v>
      </c>
      <c r="C9810" s="9" t="s">
        <v>4601</v>
      </c>
      <c r="D9810" s="14" t="s">
        <v>18622</v>
      </c>
      <c r="E9810" s="9" t="s">
        <v>11</v>
      </c>
    </row>
    <row r="9811" spans="1:5" ht="15" customHeight="1" outlineLevel="2" x14ac:dyDescent="0.25">
      <c r="A9811" s="3" t="str">
        <f>HYPERLINK("http://mystore1.ru/price_items/search?utf8=%E2%9C%93&amp;oem=8584LGSS4RDW","8584LGSS4RDW")</f>
        <v>8584LGSS4RDW</v>
      </c>
      <c r="B9811" s="1" t="s">
        <v>18623</v>
      </c>
      <c r="C9811" s="9" t="s">
        <v>1629</v>
      </c>
      <c r="D9811" s="14" t="s">
        <v>18624</v>
      </c>
      <c r="E9811" s="9" t="s">
        <v>11</v>
      </c>
    </row>
    <row r="9812" spans="1:5" ht="15" customHeight="1" outlineLevel="2" x14ac:dyDescent="0.25">
      <c r="A9812" s="3" t="str">
        <f>HYPERLINK("http://mystore1.ru/price_items/search?utf8=%E2%9C%93&amp;oem=8584LGSS4RV","8584LGSS4RV")</f>
        <v>8584LGSS4RV</v>
      </c>
      <c r="B9812" s="1" t="s">
        <v>18625</v>
      </c>
      <c r="C9812" s="9" t="s">
        <v>1629</v>
      </c>
      <c r="D9812" s="14" t="s">
        <v>18626</v>
      </c>
      <c r="E9812" s="9" t="s">
        <v>11</v>
      </c>
    </row>
    <row r="9813" spans="1:5" ht="15" customHeight="1" outlineLevel="2" x14ac:dyDescent="0.25">
      <c r="A9813" s="3" t="str">
        <f>HYPERLINK("http://mystore1.ru/price_items/search?utf8=%E2%9C%93&amp;oem=8584RGSE5RDW","8584RGSE5RDW")</f>
        <v>8584RGSE5RDW</v>
      </c>
      <c r="B9813" s="1" t="s">
        <v>18627</v>
      </c>
      <c r="C9813" s="9" t="s">
        <v>1629</v>
      </c>
      <c r="D9813" s="14" t="s">
        <v>18628</v>
      </c>
      <c r="E9813" s="9" t="s">
        <v>11</v>
      </c>
    </row>
    <row r="9814" spans="1:5" ht="15" customHeight="1" outlineLevel="2" x14ac:dyDescent="0.25">
      <c r="A9814" s="3" t="str">
        <f>HYPERLINK("http://mystore1.ru/price_items/search?utf8=%E2%9C%93&amp;oem=8584RGSE5RQAZ","8584RGSE5RQAZ")</f>
        <v>8584RGSE5RQAZ</v>
      </c>
      <c r="B9814" s="1" t="s">
        <v>18629</v>
      </c>
      <c r="C9814" s="9" t="s">
        <v>1629</v>
      </c>
      <c r="D9814" s="14" t="s">
        <v>18630</v>
      </c>
      <c r="E9814" s="9" t="s">
        <v>11</v>
      </c>
    </row>
    <row r="9815" spans="1:5" ht="15" customHeight="1" outlineLevel="2" x14ac:dyDescent="0.25">
      <c r="A9815" s="3" t="str">
        <f>HYPERLINK("http://mystore1.ru/price_items/search?utf8=%E2%9C%93&amp;oem=8584RGSE5RQAZ1D","8584RGSE5RQAZ1D")</f>
        <v>8584RGSE5RQAZ1D</v>
      </c>
      <c r="B9815" s="1" t="s">
        <v>18631</v>
      </c>
      <c r="C9815" s="9" t="s">
        <v>1629</v>
      </c>
      <c r="D9815" s="14" t="s">
        <v>18632</v>
      </c>
      <c r="E9815" s="9" t="s">
        <v>11</v>
      </c>
    </row>
    <row r="9816" spans="1:5" ht="15" customHeight="1" outlineLevel="2" x14ac:dyDescent="0.25">
      <c r="A9816" s="3" t="str">
        <f>HYPERLINK("http://mystore1.ru/price_items/search?utf8=%E2%9C%93&amp;oem=8584RGSS4FD","8584RGSS4FD")</f>
        <v>8584RGSS4FD</v>
      </c>
      <c r="B9816" s="1" t="s">
        <v>18633</v>
      </c>
      <c r="C9816" s="9" t="s">
        <v>1629</v>
      </c>
      <c r="D9816" s="14" t="s">
        <v>18634</v>
      </c>
      <c r="E9816" s="9" t="s">
        <v>11</v>
      </c>
    </row>
    <row r="9817" spans="1:5" ht="15" customHeight="1" outlineLevel="2" x14ac:dyDescent="0.25">
      <c r="A9817" s="3" t="str">
        <f>HYPERLINK("http://mystore1.ru/price_items/search?utf8=%E2%9C%93&amp;oem=8584RGSS4FD1A","8584RGSS4FD1A")</f>
        <v>8584RGSS4FD1A</v>
      </c>
      <c r="B9817" s="1" t="s">
        <v>18635</v>
      </c>
      <c r="C9817" s="9" t="s">
        <v>4601</v>
      </c>
      <c r="D9817" s="14" t="s">
        <v>18636</v>
      </c>
      <c r="E9817" s="9" t="s">
        <v>11</v>
      </c>
    </row>
    <row r="9818" spans="1:5" ht="15" customHeight="1" outlineLevel="2" x14ac:dyDescent="0.25">
      <c r="A9818" s="3" t="str">
        <f>HYPERLINK("http://mystore1.ru/price_items/search?utf8=%E2%9C%93&amp;oem=8584RGSS4RDW","8584RGSS4RDW")</f>
        <v>8584RGSS4RDW</v>
      </c>
      <c r="B9818" s="1" t="s">
        <v>18637</v>
      </c>
      <c r="C9818" s="9" t="s">
        <v>1629</v>
      </c>
      <c r="D9818" s="14" t="s">
        <v>18638</v>
      </c>
      <c r="E9818" s="9" t="s">
        <v>11</v>
      </c>
    </row>
    <row r="9819" spans="1:5" ht="15" customHeight="1" outlineLevel="2" x14ac:dyDescent="0.25">
      <c r="A9819" s="3" t="str">
        <f>HYPERLINK("http://mystore1.ru/price_items/search?utf8=%E2%9C%93&amp;oem=8584RGSS4RV","8584RGSS4RV")</f>
        <v>8584RGSS4RV</v>
      </c>
      <c r="B9819" s="1" t="s">
        <v>18639</v>
      </c>
      <c r="C9819" s="9" t="s">
        <v>1629</v>
      </c>
      <c r="D9819" s="14" t="s">
        <v>18640</v>
      </c>
      <c r="E9819" s="9" t="s">
        <v>11</v>
      </c>
    </row>
    <row r="9820" spans="1:5" outlineLevel="1" x14ac:dyDescent="0.25">
      <c r="A9820" s="2"/>
      <c r="B9820" s="6" t="s">
        <v>18641</v>
      </c>
      <c r="C9820" s="8"/>
      <c r="D9820" s="8"/>
      <c r="E9820" s="8"/>
    </row>
    <row r="9821" spans="1:5" ht="15" customHeight="1" outlineLevel="2" x14ac:dyDescent="0.25">
      <c r="A9821" s="3" t="str">
        <f>HYPERLINK("http://mystore1.ru/price_items/search?utf8=%E2%9C%93&amp;oem=8598AGNMVW","8598AGNMVW")</f>
        <v>8598AGNMVW</v>
      </c>
      <c r="B9821" s="1" t="s">
        <v>18642</v>
      </c>
      <c r="C9821" s="9" t="s">
        <v>14105</v>
      </c>
      <c r="D9821" s="14" t="s">
        <v>18643</v>
      </c>
      <c r="E9821" s="9" t="s">
        <v>8</v>
      </c>
    </row>
    <row r="9822" spans="1:5" ht="15" customHeight="1" outlineLevel="2" x14ac:dyDescent="0.25">
      <c r="A9822" s="3" t="str">
        <f>HYPERLINK("http://mystore1.ru/price_items/search?utf8=%E2%9C%93&amp;oem=8598AGAMVW","8598AGAMVW")</f>
        <v>8598AGAMVW</v>
      </c>
      <c r="B9822" s="1" t="s">
        <v>18644</v>
      </c>
      <c r="C9822" s="9" t="s">
        <v>14105</v>
      </c>
      <c r="D9822" s="14" t="s">
        <v>18645</v>
      </c>
      <c r="E9822" s="9" t="s">
        <v>8</v>
      </c>
    </row>
    <row r="9823" spans="1:5" ht="15" customHeight="1" outlineLevel="2" x14ac:dyDescent="0.25">
      <c r="A9823" s="3" t="str">
        <f>HYPERLINK("http://mystore1.ru/price_items/search?utf8=%E2%9C%93&amp;oem=8598RGSC4FD","8598RGSC4FD")</f>
        <v>8598RGSC4FD</v>
      </c>
      <c r="B9823" s="1" t="s">
        <v>18646</v>
      </c>
      <c r="C9823" s="9" t="s">
        <v>14105</v>
      </c>
      <c r="D9823" s="14" t="s">
        <v>18647</v>
      </c>
      <c r="E9823" s="9" t="s">
        <v>11</v>
      </c>
    </row>
    <row r="9824" spans="1:5" ht="15" customHeight="1" outlineLevel="2" x14ac:dyDescent="0.25">
      <c r="A9824" s="3" t="str">
        <f>HYPERLINK("http://mystore1.ru/price_items/search?utf8=%E2%9C%93&amp;oem=8598LGSC4FD","8598LGSC4FD")</f>
        <v>8598LGSC4FD</v>
      </c>
      <c r="B9824" s="1" t="s">
        <v>18648</v>
      </c>
      <c r="C9824" s="9" t="s">
        <v>14105</v>
      </c>
      <c r="D9824" s="14" t="s">
        <v>18649</v>
      </c>
      <c r="E9824" s="9" t="s">
        <v>11</v>
      </c>
    </row>
    <row r="9825" spans="1:5" outlineLevel="1" x14ac:dyDescent="0.25">
      <c r="A9825" s="2"/>
      <c r="B9825" s="6" t="s">
        <v>18650</v>
      </c>
      <c r="C9825" s="8"/>
      <c r="D9825" s="8"/>
      <c r="E9825" s="8"/>
    </row>
    <row r="9826" spans="1:5" ht="15" customHeight="1" outlineLevel="2" x14ac:dyDescent="0.25">
      <c r="A9826" s="3" t="str">
        <f>HYPERLINK("http://mystore1.ru/price_items/search?utf8=%E2%9C%93&amp;oem=8530ACL","8530ACL")</f>
        <v>8530ACL</v>
      </c>
      <c r="B9826" s="1" t="s">
        <v>18651</v>
      </c>
      <c r="C9826" s="9" t="s">
        <v>18652</v>
      </c>
      <c r="D9826" s="14" t="s">
        <v>18653</v>
      </c>
      <c r="E9826" s="9" t="s">
        <v>8</v>
      </c>
    </row>
    <row r="9827" spans="1:5" ht="15" customHeight="1" outlineLevel="2" x14ac:dyDescent="0.25">
      <c r="A9827" s="3" t="str">
        <f>HYPERLINK("http://mystore1.ru/price_items/search?utf8=%E2%9C%93&amp;oem=8530AGN","8530AGN")</f>
        <v>8530AGN</v>
      </c>
      <c r="B9827" s="1" t="s">
        <v>18654</v>
      </c>
      <c r="C9827" s="9" t="s">
        <v>18652</v>
      </c>
      <c r="D9827" s="14" t="s">
        <v>18655</v>
      </c>
      <c r="E9827" s="9" t="s">
        <v>8</v>
      </c>
    </row>
    <row r="9828" spans="1:5" ht="15" customHeight="1" outlineLevel="2" x14ac:dyDescent="0.25">
      <c r="A9828" s="3" t="str">
        <f>HYPERLINK("http://mystore1.ru/price_items/search?utf8=%E2%9C%93&amp;oem=8530AGNBL","8530AGNBL")</f>
        <v>8530AGNBL</v>
      </c>
      <c r="B9828" s="1" t="s">
        <v>18656</v>
      </c>
      <c r="C9828" s="9" t="s">
        <v>18652</v>
      </c>
      <c r="D9828" s="14" t="s">
        <v>18657</v>
      </c>
      <c r="E9828" s="9" t="s">
        <v>8</v>
      </c>
    </row>
    <row r="9829" spans="1:5" ht="15" customHeight="1" outlineLevel="2" x14ac:dyDescent="0.25">
      <c r="A9829" s="3" t="str">
        <f>HYPERLINK("http://mystore1.ru/price_items/search?utf8=%E2%9C%93&amp;oem=8530AGNGN","8530AGNGN")</f>
        <v>8530AGNGN</v>
      </c>
      <c r="B9829" s="1" t="s">
        <v>18658</v>
      </c>
      <c r="C9829" s="9" t="s">
        <v>18652</v>
      </c>
      <c r="D9829" s="14" t="s">
        <v>18659</v>
      </c>
      <c r="E9829" s="9" t="s">
        <v>8</v>
      </c>
    </row>
    <row r="9830" spans="1:5" ht="15" customHeight="1" outlineLevel="2" x14ac:dyDescent="0.25">
      <c r="A9830" s="3" t="str">
        <f>HYPERLINK("http://mystore1.ru/price_items/search?utf8=%E2%9C%93&amp;oem=8530ASRH","8530ASRH")</f>
        <v>8530ASRH</v>
      </c>
      <c r="B9830" s="1" t="s">
        <v>18660</v>
      </c>
      <c r="C9830" s="9" t="s">
        <v>25</v>
      </c>
      <c r="D9830" s="14" t="s">
        <v>18661</v>
      </c>
      <c r="E9830" s="9" t="s">
        <v>27</v>
      </c>
    </row>
    <row r="9831" spans="1:5" ht="15" customHeight="1" outlineLevel="2" x14ac:dyDescent="0.25">
      <c r="A9831" s="3" t="str">
        <f>HYPERLINK("http://mystore1.ru/price_items/search?utf8=%E2%9C%93&amp;oem=8530BCLE","8530BCLE")</f>
        <v>8530BCLE</v>
      </c>
      <c r="B9831" s="1" t="s">
        <v>18662</v>
      </c>
      <c r="C9831" s="9" t="s">
        <v>18652</v>
      </c>
      <c r="D9831" s="14" t="s">
        <v>18663</v>
      </c>
      <c r="E9831" s="9" t="s">
        <v>30</v>
      </c>
    </row>
    <row r="9832" spans="1:5" ht="15" customHeight="1" outlineLevel="2" x14ac:dyDescent="0.25">
      <c r="A9832" s="3" t="str">
        <f>HYPERLINK("http://mystore1.ru/price_items/search?utf8=%E2%9C%93&amp;oem=8530BCLEZ1D","8530BCLEZ1D")</f>
        <v>8530BCLEZ1D</v>
      </c>
      <c r="B9832" s="1" t="s">
        <v>18664</v>
      </c>
      <c r="C9832" s="9" t="s">
        <v>18652</v>
      </c>
      <c r="D9832" s="14" t="s">
        <v>18665</v>
      </c>
      <c r="E9832" s="9" t="s">
        <v>30</v>
      </c>
    </row>
    <row r="9833" spans="1:5" ht="15" customHeight="1" outlineLevel="2" x14ac:dyDescent="0.25">
      <c r="A9833" s="3" t="str">
        <f>HYPERLINK("http://mystore1.ru/price_items/search?utf8=%E2%9C%93&amp;oem=8530BGNEZ1D","8530BGNEZ1D")</f>
        <v>8530BGNEZ1D</v>
      </c>
      <c r="B9833" s="1" t="s">
        <v>18666</v>
      </c>
      <c r="C9833" s="9" t="s">
        <v>18652</v>
      </c>
      <c r="D9833" s="14" t="s">
        <v>18667</v>
      </c>
      <c r="E9833" s="9" t="s">
        <v>30</v>
      </c>
    </row>
    <row r="9834" spans="1:5" ht="15" customHeight="1" outlineLevel="2" x14ac:dyDescent="0.25">
      <c r="A9834" s="3" t="str">
        <f>HYPERLINK("http://mystore1.ru/price_items/search?utf8=%E2%9C%93&amp;oem=8530BGNHZ","8530BGNHZ")</f>
        <v>8530BGNHZ</v>
      </c>
      <c r="B9834" s="1" t="s">
        <v>18668</v>
      </c>
      <c r="C9834" s="9" t="s">
        <v>18652</v>
      </c>
      <c r="D9834" s="14" t="s">
        <v>18669</v>
      </c>
      <c r="E9834" s="9" t="s">
        <v>30</v>
      </c>
    </row>
    <row r="9835" spans="1:5" ht="15" customHeight="1" outlineLevel="2" x14ac:dyDescent="0.25">
      <c r="A9835" s="3" t="str">
        <f>HYPERLINK("http://mystore1.ru/price_items/search?utf8=%E2%9C%93&amp;oem=8530LCLH3FD","8530LCLH3FD")</f>
        <v>8530LCLH3FD</v>
      </c>
      <c r="B9835" s="1" t="s">
        <v>18670</v>
      </c>
      <c r="C9835" s="9" t="s">
        <v>18652</v>
      </c>
      <c r="D9835" s="14" t="s">
        <v>18671</v>
      </c>
      <c r="E9835" s="9" t="s">
        <v>11</v>
      </c>
    </row>
    <row r="9836" spans="1:5" ht="15" customHeight="1" outlineLevel="2" x14ac:dyDescent="0.25">
      <c r="A9836" s="3" t="str">
        <f>HYPERLINK("http://mystore1.ru/price_items/search?utf8=%E2%9C%93&amp;oem=8530LCLS2FV","8530LCLS2FV")</f>
        <v>8530LCLS2FV</v>
      </c>
      <c r="B9836" s="1" t="s">
        <v>18672</v>
      </c>
      <c r="C9836" s="9" t="s">
        <v>18652</v>
      </c>
      <c r="D9836" s="14" t="s">
        <v>18673</v>
      </c>
      <c r="E9836" s="9" t="s">
        <v>11</v>
      </c>
    </row>
    <row r="9837" spans="1:5" ht="15" customHeight="1" outlineLevel="2" x14ac:dyDescent="0.25">
      <c r="A9837" s="3" t="str">
        <f>HYPERLINK("http://mystore1.ru/price_items/search?utf8=%E2%9C%93&amp;oem=8530LGNE3RQ","8530LGNE3RQ")</f>
        <v>8530LGNE3RQ</v>
      </c>
      <c r="B9837" s="1" t="s">
        <v>18674</v>
      </c>
      <c r="C9837" s="9" t="s">
        <v>18652</v>
      </c>
      <c r="D9837" s="14" t="s">
        <v>18675</v>
      </c>
      <c r="E9837" s="9" t="s">
        <v>11</v>
      </c>
    </row>
    <row r="9838" spans="1:5" ht="15" customHeight="1" outlineLevel="2" x14ac:dyDescent="0.25">
      <c r="A9838" s="3" t="str">
        <f>HYPERLINK("http://mystore1.ru/price_items/search?utf8=%E2%9C%93&amp;oem=8530LGNH3FD","8530LGNH3FD")</f>
        <v>8530LGNH3FD</v>
      </c>
      <c r="B9838" s="1" t="s">
        <v>18676</v>
      </c>
      <c r="C9838" s="9" t="s">
        <v>18652</v>
      </c>
      <c r="D9838" s="14" t="s">
        <v>18677</v>
      </c>
      <c r="E9838" s="9" t="s">
        <v>11</v>
      </c>
    </row>
    <row r="9839" spans="1:5" ht="15" customHeight="1" outlineLevel="2" x14ac:dyDescent="0.25">
      <c r="A9839" s="3" t="str">
        <f>HYPERLINK("http://mystore1.ru/price_items/search?utf8=%E2%9C%93&amp;oem=8530LGNH3RQ","8530LGNH3RQ")</f>
        <v>8530LGNH3RQ</v>
      </c>
      <c r="B9839" s="1" t="s">
        <v>18678</v>
      </c>
      <c r="C9839" s="9" t="s">
        <v>18652</v>
      </c>
      <c r="D9839" s="14" t="s">
        <v>18679</v>
      </c>
      <c r="E9839" s="9" t="s">
        <v>11</v>
      </c>
    </row>
    <row r="9840" spans="1:5" ht="15" customHeight="1" outlineLevel="2" x14ac:dyDescent="0.25">
      <c r="A9840" s="3" t="str">
        <f>HYPERLINK("http://mystore1.ru/price_items/search?utf8=%E2%9C%93&amp;oem=8530LGNS2FV","8530LGNS2FV")</f>
        <v>8530LGNS2FV</v>
      </c>
      <c r="B9840" s="1" t="s">
        <v>18680</v>
      </c>
      <c r="C9840" s="9" t="s">
        <v>18652</v>
      </c>
      <c r="D9840" s="14" t="s">
        <v>18681</v>
      </c>
      <c r="E9840" s="9" t="s">
        <v>11</v>
      </c>
    </row>
    <row r="9841" spans="1:5" ht="15" customHeight="1" outlineLevel="2" x14ac:dyDescent="0.25">
      <c r="A9841" s="3" t="str">
        <f>HYPERLINK("http://mystore1.ru/price_items/search?utf8=%E2%9C%93&amp;oem=8530RCLH3FD","8530RCLH3FD")</f>
        <v>8530RCLH3FD</v>
      </c>
      <c r="B9841" s="1" t="s">
        <v>18682</v>
      </c>
      <c r="C9841" s="9" t="s">
        <v>18652</v>
      </c>
      <c r="D9841" s="14" t="s">
        <v>18683</v>
      </c>
      <c r="E9841" s="9" t="s">
        <v>11</v>
      </c>
    </row>
    <row r="9842" spans="1:5" ht="15" customHeight="1" outlineLevel="2" x14ac:dyDescent="0.25">
      <c r="A9842" s="3" t="str">
        <f>HYPERLINK("http://mystore1.ru/price_items/search?utf8=%E2%9C%93&amp;oem=8530RCLS2FV","8530RCLS2FV")</f>
        <v>8530RCLS2FV</v>
      </c>
      <c r="B9842" s="1" t="s">
        <v>18684</v>
      </c>
      <c r="C9842" s="9" t="s">
        <v>18652</v>
      </c>
      <c r="D9842" s="14" t="s">
        <v>18685</v>
      </c>
      <c r="E9842" s="9" t="s">
        <v>11</v>
      </c>
    </row>
    <row r="9843" spans="1:5" ht="15" customHeight="1" outlineLevel="2" x14ac:dyDescent="0.25">
      <c r="A9843" s="3" t="str">
        <f>HYPERLINK("http://mystore1.ru/price_items/search?utf8=%E2%9C%93&amp;oem=8530RGNH3FD","8530RGNH3FD")</f>
        <v>8530RGNH3FD</v>
      </c>
      <c r="B9843" s="1" t="s">
        <v>18686</v>
      </c>
      <c r="C9843" s="9" t="s">
        <v>18652</v>
      </c>
      <c r="D9843" s="14" t="s">
        <v>18687</v>
      </c>
      <c r="E9843" s="9" t="s">
        <v>11</v>
      </c>
    </row>
    <row r="9844" spans="1:5" ht="15" customHeight="1" outlineLevel="2" x14ac:dyDescent="0.25">
      <c r="A9844" s="3" t="str">
        <f>HYPERLINK("http://mystore1.ru/price_items/search?utf8=%E2%9C%93&amp;oem=8530RGNH3RQ","8530RGNH3RQ")</f>
        <v>8530RGNH3RQ</v>
      </c>
      <c r="B9844" s="1" t="s">
        <v>18688</v>
      </c>
      <c r="C9844" s="9" t="s">
        <v>18652</v>
      </c>
      <c r="D9844" s="14" t="s">
        <v>18689</v>
      </c>
      <c r="E9844" s="9" t="s">
        <v>11</v>
      </c>
    </row>
    <row r="9845" spans="1:5" ht="15" customHeight="1" outlineLevel="2" x14ac:dyDescent="0.25">
      <c r="A9845" s="3" t="str">
        <f>HYPERLINK("http://mystore1.ru/price_items/search?utf8=%E2%9C%93&amp;oem=8530RGNS2FV","8530RGNS2FV")</f>
        <v>8530RGNS2FV</v>
      </c>
      <c r="B9845" s="1" t="s">
        <v>18690</v>
      </c>
      <c r="C9845" s="9" t="s">
        <v>18652</v>
      </c>
      <c r="D9845" s="14" t="s">
        <v>18691</v>
      </c>
      <c r="E9845" s="9" t="s">
        <v>11</v>
      </c>
    </row>
    <row r="9846" spans="1:5" outlineLevel="1" x14ac:dyDescent="0.25">
      <c r="A9846" s="2"/>
      <c r="B9846" s="6" t="s">
        <v>18692</v>
      </c>
      <c r="C9846" s="8"/>
      <c r="D9846" s="8"/>
      <c r="E9846" s="8"/>
    </row>
    <row r="9847" spans="1:5" ht="15" customHeight="1" outlineLevel="2" x14ac:dyDescent="0.25">
      <c r="A9847" s="3" t="str">
        <f>HYPERLINK("http://mystore1.ru/price_items/search?utf8=%E2%9C%93&amp;oem=8545ACLZ","8545ACLZ")</f>
        <v>8545ACLZ</v>
      </c>
      <c r="B9847" s="1" t="s">
        <v>18693</v>
      </c>
      <c r="C9847" s="9" t="s">
        <v>883</v>
      </c>
      <c r="D9847" s="14" t="s">
        <v>18694</v>
      </c>
      <c r="E9847" s="9" t="s">
        <v>8</v>
      </c>
    </row>
    <row r="9848" spans="1:5" ht="15" customHeight="1" outlineLevel="2" x14ac:dyDescent="0.25">
      <c r="A9848" s="3" t="str">
        <f>HYPERLINK("http://mystore1.ru/price_items/search?utf8=%E2%9C%93&amp;oem=8545AGNBLZ","8545AGNBLZ")</f>
        <v>8545AGNBLZ</v>
      </c>
      <c r="B9848" s="1" t="s">
        <v>18695</v>
      </c>
      <c r="C9848" s="9" t="s">
        <v>883</v>
      </c>
      <c r="D9848" s="14" t="s">
        <v>18696</v>
      </c>
      <c r="E9848" s="9" t="s">
        <v>8</v>
      </c>
    </row>
    <row r="9849" spans="1:5" ht="15" customHeight="1" outlineLevel="2" x14ac:dyDescent="0.25">
      <c r="A9849" s="3" t="str">
        <f>HYPERLINK("http://mystore1.ru/price_items/search?utf8=%E2%9C%93&amp;oem=8545AGNGNZ","8545AGNGNZ")</f>
        <v>8545AGNGNZ</v>
      </c>
      <c r="B9849" s="1" t="s">
        <v>18697</v>
      </c>
      <c r="C9849" s="9" t="s">
        <v>883</v>
      </c>
      <c r="D9849" s="14" t="s">
        <v>18698</v>
      </c>
      <c r="E9849" s="9" t="s">
        <v>8</v>
      </c>
    </row>
    <row r="9850" spans="1:5" ht="15" customHeight="1" outlineLevel="2" x14ac:dyDescent="0.25">
      <c r="A9850" s="3" t="str">
        <f>HYPERLINK("http://mystore1.ru/price_items/search?utf8=%E2%9C%93&amp;oem=8545AGNZ","8545AGNZ")</f>
        <v>8545AGNZ</v>
      </c>
      <c r="B9850" s="1" t="s">
        <v>18699</v>
      </c>
      <c r="C9850" s="9" t="s">
        <v>883</v>
      </c>
      <c r="D9850" s="14" t="s">
        <v>18700</v>
      </c>
      <c r="E9850" s="9" t="s">
        <v>8</v>
      </c>
    </row>
    <row r="9851" spans="1:5" ht="15" customHeight="1" outlineLevel="2" x14ac:dyDescent="0.25">
      <c r="A9851" s="3" t="str">
        <f>HYPERLINK("http://mystore1.ru/price_items/search?utf8=%E2%9C%93&amp;oem=8545BGNHABZ1E","8545BGNHABZ1E")</f>
        <v>8545BGNHABZ1E</v>
      </c>
      <c r="B9851" s="1" t="s">
        <v>18701</v>
      </c>
      <c r="C9851" s="9" t="s">
        <v>1141</v>
      </c>
      <c r="D9851" s="14" t="s">
        <v>18702</v>
      </c>
      <c r="E9851" s="9" t="s">
        <v>30</v>
      </c>
    </row>
    <row r="9852" spans="1:5" ht="15" customHeight="1" outlineLevel="2" x14ac:dyDescent="0.25">
      <c r="A9852" s="3" t="str">
        <f>HYPERLINK("http://mystore1.ru/price_items/search?utf8=%E2%9C%93&amp;oem=8545LCLH3FD","8545LCLH3FD")</f>
        <v>8545LCLH3FD</v>
      </c>
      <c r="B9852" s="1" t="s">
        <v>18703</v>
      </c>
      <c r="C9852" s="9" t="s">
        <v>883</v>
      </c>
      <c r="D9852" s="14" t="s">
        <v>18704</v>
      </c>
      <c r="E9852" s="9" t="s">
        <v>11</v>
      </c>
    </row>
    <row r="9853" spans="1:5" ht="15" customHeight="1" outlineLevel="2" x14ac:dyDescent="0.25">
      <c r="A9853" s="3" t="str">
        <f>HYPERLINK("http://mystore1.ru/price_items/search?utf8=%E2%9C%93&amp;oem=8545LCLH3RQZ","8545LCLH3RQZ")</f>
        <v>8545LCLH3RQZ</v>
      </c>
      <c r="B9853" s="1" t="s">
        <v>18705</v>
      </c>
      <c r="C9853" s="9" t="s">
        <v>883</v>
      </c>
      <c r="D9853" s="14" t="s">
        <v>18706</v>
      </c>
      <c r="E9853" s="9" t="s">
        <v>11</v>
      </c>
    </row>
    <row r="9854" spans="1:5" ht="15" customHeight="1" outlineLevel="2" x14ac:dyDescent="0.25">
      <c r="A9854" s="3" t="str">
        <f>HYPERLINK("http://mystore1.ru/price_items/search?utf8=%E2%9C%93&amp;oem=8545LCLH5FD","8545LCLH5FD")</f>
        <v>8545LCLH5FD</v>
      </c>
      <c r="B9854" s="1" t="s">
        <v>18707</v>
      </c>
      <c r="C9854" s="9" t="s">
        <v>883</v>
      </c>
      <c r="D9854" s="14" t="s">
        <v>18708</v>
      </c>
      <c r="E9854" s="9" t="s">
        <v>11</v>
      </c>
    </row>
    <row r="9855" spans="1:5" ht="15" customHeight="1" outlineLevel="2" x14ac:dyDescent="0.25">
      <c r="A9855" s="3" t="str">
        <f>HYPERLINK("http://mystore1.ru/price_items/search?utf8=%E2%9C%93&amp;oem=8545LCLH5RV","8545LCLH5RV")</f>
        <v>8545LCLH5RV</v>
      </c>
      <c r="B9855" s="1" t="s">
        <v>18709</v>
      </c>
      <c r="C9855" s="9" t="s">
        <v>883</v>
      </c>
      <c r="D9855" s="14" t="s">
        <v>18710</v>
      </c>
      <c r="E9855" s="9" t="s">
        <v>11</v>
      </c>
    </row>
    <row r="9856" spans="1:5" ht="15" customHeight="1" outlineLevel="2" x14ac:dyDescent="0.25">
      <c r="A9856" s="3" t="str">
        <f>HYPERLINK("http://mystore1.ru/price_items/search?utf8=%E2%9C%93&amp;oem=8545LGNH3FD","8545LGNH3FD")</f>
        <v>8545LGNH3FD</v>
      </c>
      <c r="B9856" s="1" t="s">
        <v>18711</v>
      </c>
      <c r="C9856" s="9" t="s">
        <v>883</v>
      </c>
      <c r="D9856" s="14" t="s">
        <v>18712</v>
      </c>
      <c r="E9856" s="9" t="s">
        <v>11</v>
      </c>
    </row>
    <row r="9857" spans="1:5" ht="15" customHeight="1" outlineLevel="2" x14ac:dyDescent="0.25">
      <c r="A9857" s="3" t="str">
        <f>HYPERLINK("http://mystore1.ru/price_items/search?utf8=%E2%9C%93&amp;oem=8545LGNH3RQZ","8545LGNH3RQZ")</f>
        <v>8545LGNH3RQZ</v>
      </c>
      <c r="B9857" s="1" t="s">
        <v>18713</v>
      </c>
      <c r="C9857" s="9" t="s">
        <v>883</v>
      </c>
      <c r="D9857" s="14" t="s">
        <v>18714</v>
      </c>
      <c r="E9857" s="9" t="s">
        <v>11</v>
      </c>
    </row>
    <row r="9858" spans="1:5" ht="15" customHeight="1" outlineLevel="2" x14ac:dyDescent="0.25">
      <c r="A9858" s="3" t="str">
        <f>HYPERLINK("http://mystore1.ru/price_items/search?utf8=%E2%9C%93&amp;oem=8545LGNH5FD","8545LGNH5FD")</f>
        <v>8545LGNH5FD</v>
      </c>
      <c r="B9858" s="1" t="s">
        <v>18715</v>
      </c>
      <c r="C9858" s="9" t="s">
        <v>883</v>
      </c>
      <c r="D9858" s="14" t="s">
        <v>18716</v>
      </c>
      <c r="E9858" s="9" t="s">
        <v>11</v>
      </c>
    </row>
    <row r="9859" spans="1:5" ht="15" customHeight="1" outlineLevel="2" x14ac:dyDescent="0.25">
      <c r="A9859" s="3" t="str">
        <f>HYPERLINK("http://mystore1.ru/price_items/search?utf8=%E2%9C%93&amp;oem=8545LGNH5RD","8545LGNH5RD")</f>
        <v>8545LGNH5RD</v>
      </c>
      <c r="B9859" s="1" t="s">
        <v>18717</v>
      </c>
      <c r="C9859" s="9" t="s">
        <v>883</v>
      </c>
      <c r="D9859" s="14" t="s">
        <v>18718</v>
      </c>
      <c r="E9859" s="9" t="s">
        <v>11</v>
      </c>
    </row>
    <row r="9860" spans="1:5" ht="15" customHeight="1" outlineLevel="2" x14ac:dyDescent="0.25">
      <c r="A9860" s="3" t="str">
        <f>HYPERLINK("http://mystore1.ru/price_items/search?utf8=%E2%9C%93&amp;oem=8545LGNH5RV","8545LGNH5RV")</f>
        <v>8545LGNH5RV</v>
      </c>
      <c r="B9860" s="1" t="s">
        <v>18719</v>
      </c>
      <c r="C9860" s="9" t="s">
        <v>883</v>
      </c>
      <c r="D9860" s="14" t="s">
        <v>18720</v>
      </c>
      <c r="E9860" s="9" t="s">
        <v>11</v>
      </c>
    </row>
    <row r="9861" spans="1:5" ht="15" customHeight="1" outlineLevel="2" x14ac:dyDescent="0.25">
      <c r="A9861" s="3" t="str">
        <f>HYPERLINK("http://mystore1.ru/price_items/search?utf8=%E2%9C%93&amp;oem=8545RCLH3FD","8545RCLH3FD")</f>
        <v>8545RCLH3FD</v>
      </c>
      <c r="B9861" s="1" t="s">
        <v>18721</v>
      </c>
      <c r="C9861" s="9" t="s">
        <v>883</v>
      </c>
      <c r="D9861" s="14" t="s">
        <v>18722</v>
      </c>
      <c r="E9861" s="9" t="s">
        <v>11</v>
      </c>
    </row>
    <row r="9862" spans="1:5" ht="15" customHeight="1" outlineLevel="2" x14ac:dyDescent="0.25">
      <c r="A9862" s="3" t="str">
        <f>HYPERLINK("http://mystore1.ru/price_items/search?utf8=%E2%9C%93&amp;oem=8545RCLH3RQZ","8545RCLH3RQZ")</f>
        <v>8545RCLH3RQZ</v>
      </c>
      <c r="B9862" s="1" t="s">
        <v>18723</v>
      </c>
      <c r="C9862" s="9" t="s">
        <v>883</v>
      </c>
      <c r="D9862" s="14" t="s">
        <v>18724</v>
      </c>
      <c r="E9862" s="9" t="s">
        <v>11</v>
      </c>
    </row>
    <row r="9863" spans="1:5" ht="15" customHeight="1" outlineLevel="2" x14ac:dyDescent="0.25">
      <c r="A9863" s="3" t="str">
        <f>HYPERLINK("http://mystore1.ru/price_items/search?utf8=%E2%9C%93&amp;oem=8545RCLH5FD","8545RCLH5FD")</f>
        <v>8545RCLH5FD</v>
      </c>
      <c r="B9863" s="1" t="s">
        <v>18725</v>
      </c>
      <c r="C9863" s="9" t="s">
        <v>883</v>
      </c>
      <c r="D9863" s="14" t="s">
        <v>18726</v>
      </c>
      <c r="E9863" s="9" t="s">
        <v>11</v>
      </c>
    </row>
    <row r="9864" spans="1:5" ht="15" customHeight="1" outlineLevel="2" x14ac:dyDescent="0.25">
      <c r="A9864" s="3" t="str">
        <f>HYPERLINK("http://mystore1.ru/price_items/search?utf8=%E2%9C%93&amp;oem=8545RCLH5RV","8545RCLH5RV")</f>
        <v>8545RCLH5RV</v>
      </c>
      <c r="B9864" s="1" t="s">
        <v>18727</v>
      </c>
      <c r="C9864" s="9" t="s">
        <v>883</v>
      </c>
      <c r="D9864" s="14" t="s">
        <v>18728</v>
      </c>
      <c r="E9864" s="9" t="s">
        <v>11</v>
      </c>
    </row>
    <row r="9865" spans="1:5" ht="15" customHeight="1" outlineLevel="2" x14ac:dyDescent="0.25">
      <c r="A9865" s="3" t="str">
        <f>HYPERLINK("http://mystore1.ru/price_items/search?utf8=%E2%9C%93&amp;oem=8545RGNH3FD","8545RGNH3FD")</f>
        <v>8545RGNH3FD</v>
      </c>
      <c r="B9865" s="1" t="s">
        <v>18729</v>
      </c>
      <c r="C9865" s="9" t="s">
        <v>883</v>
      </c>
      <c r="D9865" s="14" t="s">
        <v>18730</v>
      </c>
      <c r="E9865" s="9" t="s">
        <v>11</v>
      </c>
    </row>
    <row r="9866" spans="1:5" ht="15" customHeight="1" outlineLevel="2" x14ac:dyDescent="0.25">
      <c r="A9866" s="3" t="str">
        <f>HYPERLINK("http://mystore1.ru/price_items/search?utf8=%E2%9C%93&amp;oem=8545RGNH3RQZ","8545RGNH3RQZ")</f>
        <v>8545RGNH3RQZ</v>
      </c>
      <c r="B9866" s="1" t="s">
        <v>18731</v>
      </c>
      <c r="C9866" s="9" t="s">
        <v>883</v>
      </c>
      <c r="D9866" s="14" t="s">
        <v>18732</v>
      </c>
      <c r="E9866" s="9" t="s">
        <v>11</v>
      </c>
    </row>
    <row r="9867" spans="1:5" ht="15" customHeight="1" outlineLevel="2" x14ac:dyDescent="0.25">
      <c r="A9867" s="3" t="str">
        <f>HYPERLINK("http://mystore1.ru/price_items/search?utf8=%E2%9C%93&amp;oem=8545RGNH5FD","8545RGNH5FD")</f>
        <v>8545RGNH5FD</v>
      </c>
      <c r="B9867" s="1" t="s">
        <v>18733</v>
      </c>
      <c r="C9867" s="9" t="s">
        <v>883</v>
      </c>
      <c r="D9867" s="14" t="s">
        <v>18734</v>
      </c>
      <c r="E9867" s="9" t="s">
        <v>11</v>
      </c>
    </row>
    <row r="9868" spans="1:5" ht="15" customHeight="1" outlineLevel="2" x14ac:dyDescent="0.25">
      <c r="A9868" s="3" t="str">
        <f>HYPERLINK("http://mystore1.ru/price_items/search?utf8=%E2%9C%93&amp;oem=8545RGNH5RD","8545RGNH5RD")</f>
        <v>8545RGNH5RD</v>
      </c>
      <c r="B9868" s="1" t="s">
        <v>18735</v>
      </c>
      <c r="C9868" s="9" t="s">
        <v>883</v>
      </c>
      <c r="D9868" s="14" t="s">
        <v>18736</v>
      </c>
      <c r="E9868" s="9" t="s">
        <v>11</v>
      </c>
    </row>
    <row r="9869" spans="1:5" ht="15" customHeight="1" outlineLevel="2" x14ac:dyDescent="0.25">
      <c r="A9869" s="3" t="str">
        <f>HYPERLINK("http://mystore1.ru/price_items/search?utf8=%E2%9C%93&amp;oem=8545RGNH5RV","8545RGNH5RV")</f>
        <v>8545RGNH5RV</v>
      </c>
      <c r="B9869" s="1" t="s">
        <v>18737</v>
      </c>
      <c r="C9869" s="9" t="s">
        <v>883</v>
      </c>
      <c r="D9869" s="14" t="s">
        <v>18738</v>
      </c>
      <c r="E9869" s="9" t="s">
        <v>11</v>
      </c>
    </row>
    <row r="9870" spans="1:5" outlineLevel="1" x14ac:dyDescent="0.25">
      <c r="A9870" s="2"/>
      <c r="B9870" s="6" t="s">
        <v>18739</v>
      </c>
      <c r="C9870" s="8"/>
      <c r="D9870" s="8"/>
      <c r="E9870" s="8"/>
    </row>
    <row r="9871" spans="1:5" ht="15" customHeight="1" outlineLevel="2" x14ac:dyDescent="0.25">
      <c r="A9871" s="3" t="str">
        <f>HYPERLINK("http://mystore1.ru/price_items/search?utf8=%E2%9C%93&amp;oem=8570AGNGYZ","8570AGNGYZ")</f>
        <v>8570AGNGYZ</v>
      </c>
      <c r="B9871" s="1" t="s">
        <v>18740</v>
      </c>
      <c r="C9871" s="9" t="s">
        <v>1144</v>
      </c>
      <c r="D9871" s="14" t="s">
        <v>18741</v>
      </c>
      <c r="E9871" s="9" t="s">
        <v>8</v>
      </c>
    </row>
    <row r="9872" spans="1:5" ht="15" customHeight="1" outlineLevel="2" x14ac:dyDescent="0.25">
      <c r="A9872" s="3" t="str">
        <f>HYPERLINK("http://mystore1.ru/price_items/search?utf8=%E2%9C%93&amp;oem=8570AGNMZ1C","8570AGNMZ1C")</f>
        <v>8570AGNMZ1C</v>
      </c>
      <c r="B9872" s="1" t="s">
        <v>18742</v>
      </c>
      <c r="C9872" s="9" t="s">
        <v>1144</v>
      </c>
      <c r="D9872" s="14" t="s">
        <v>18743</v>
      </c>
      <c r="E9872" s="9" t="s">
        <v>8</v>
      </c>
    </row>
    <row r="9873" spans="1:5" ht="15" customHeight="1" outlineLevel="2" x14ac:dyDescent="0.25">
      <c r="A9873" s="3" t="str">
        <f>HYPERLINK("http://mystore1.ru/price_items/search?utf8=%E2%9C%93&amp;oem=8570AGNZ","8570AGNZ")</f>
        <v>8570AGNZ</v>
      </c>
      <c r="B9873" s="1" t="s">
        <v>18744</v>
      </c>
      <c r="C9873" s="9" t="s">
        <v>1144</v>
      </c>
      <c r="D9873" s="14" t="s">
        <v>18745</v>
      </c>
      <c r="E9873" s="9" t="s">
        <v>8</v>
      </c>
    </row>
    <row r="9874" spans="1:5" ht="15" customHeight="1" outlineLevel="2" x14ac:dyDescent="0.25">
      <c r="A9874" s="3" t="str">
        <f>HYPERLINK("http://mystore1.ru/price_items/search?utf8=%E2%9C%93&amp;oem=8570BGNHZ","8570BGNHZ")</f>
        <v>8570BGNHZ</v>
      </c>
      <c r="B9874" s="1" t="s">
        <v>18746</v>
      </c>
      <c r="C9874" s="9" t="s">
        <v>1144</v>
      </c>
      <c r="D9874" s="14" t="s">
        <v>18747</v>
      </c>
      <c r="E9874" s="9" t="s">
        <v>30</v>
      </c>
    </row>
    <row r="9875" spans="1:5" ht="15" customHeight="1" outlineLevel="2" x14ac:dyDescent="0.25">
      <c r="A9875" s="3" t="str">
        <f>HYPERLINK("http://mystore1.ru/price_items/search?utf8=%E2%9C%93&amp;oem=8570LGNH3RQZ","8570LGNH3RQZ")</f>
        <v>8570LGNH3RQZ</v>
      </c>
      <c r="B9875" s="1" t="s">
        <v>18748</v>
      </c>
      <c r="C9875" s="9" t="s">
        <v>1144</v>
      </c>
      <c r="D9875" s="14" t="s">
        <v>18749</v>
      </c>
      <c r="E9875" s="9" t="s">
        <v>11</v>
      </c>
    </row>
    <row r="9876" spans="1:5" ht="15" customHeight="1" outlineLevel="2" x14ac:dyDescent="0.25">
      <c r="A9876" s="3" t="str">
        <f>HYPERLINK("http://mystore1.ru/price_items/search?utf8=%E2%9C%93&amp;oem=8570RGNH3RQZ","8570RGNH3RQZ")</f>
        <v>8570RGNH3RQZ</v>
      </c>
      <c r="B9876" s="1" t="s">
        <v>18750</v>
      </c>
      <c r="C9876" s="9" t="s">
        <v>1144</v>
      </c>
      <c r="D9876" s="14" t="s">
        <v>18751</v>
      </c>
      <c r="E9876" s="9" t="s">
        <v>11</v>
      </c>
    </row>
    <row r="9877" spans="1:5" outlineLevel="1" x14ac:dyDescent="0.25">
      <c r="A9877" s="2"/>
      <c r="B9877" s="6" t="s">
        <v>18752</v>
      </c>
      <c r="C9877" s="8"/>
      <c r="D9877" s="8"/>
      <c r="E9877" s="8"/>
    </row>
    <row r="9878" spans="1:5" ht="15" customHeight="1" outlineLevel="2" x14ac:dyDescent="0.25">
      <c r="A9878" s="3" t="str">
        <f>HYPERLINK("http://mystore1.ru/price_items/search?utf8=%E2%9C%93&amp;oem=8573AGSGYMVZ","8573AGSGYMVZ")</f>
        <v>8573AGSGYMVZ</v>
      </c>
      <c r="B9878" s="1" t="s">
        <v>18753</v>
      </c>
      <c r="C9878" s="9" t="s">
        <v>7038</v>
      </c>
      <c r="D9878" s="14" t="s">
        <v>18754</v>
      </c>
      <c r="E9878" s="9" t="s">
        <v>8</v>
      </c>
    </row>
    <row r="9879" spans="1:5" ht="15" customHeight="1" outlineLevel="2" x14ac:dyDescent="0.25">
      <c r="A9879" s="3" t="str">
        <f>HYPERLINK("http://mystore1.ru/price_items/search?utf8=%E2%9C%93&amp;oem=8573AGSGYMVZ6J","8573AGSGYMVZ6J")</f>
        <v>8573AGSGYMVZ6J</v>
      </c>
      <c r="B9879" s="1" t="s">
        <v>18755</v>
      </c>
      <c r="C9879" s="9" t="s">
        <v>7038</v>
      </c>
      <c r="D9879" s="14" t="s">
        <v>18756</v>
      </c>
      <c r="E9879" s="9" t="s">
        <v>8</v>
      </c>
    </row>
    <row r="9880" spans="1:5" ht="15" customHeight="1" outlineLevel="2" x14ac:dyDescent="0.25">
      <c r="A9880" s="3" t="str">
        <f>HYPERLINK("http://mystore1.ru/price_items/search?utf8=%E2%9C%93&amp;oem=8573AGSGYVZ","8573AGSGYVZ")</f>
        <v>8573AGSGYVZ</v>
      </c>
      <c r="B9880" s="1" t="s">
        <v>18757</v>
      </c>
      <c r="C9880" s="9" t="s">
        <v>7038</v>
      </c>
      <c r="D9880" s="14" t="s">
        <v>18758</v>
      </c>
      <c r="E9880" s="9" t="s">
        <v>8</v>
      </c>
    </row>
    <row r="9881" spans="1:5" ht="15" customHeight="1" outlineLevel="2" x14ac:dyDescent="0.25">
      <c r="A9881" s="3" t="str">
        <f>HYPERLINK("http://mystore1.ru/price_items/search?utf8=%E2%9C%93&amp;oem=8573AGSGYVZ6J","8573AGSGYVZ6J")</f>
        <v>8573AGSGYVZ6J</v>
      </c>
      <c r="B9881" s="1" t="s">
        <v>18759</v>
      </c>
      <c r="C9881" s="9" t="s">
        <v>7038</v>
      </c>
      <c r="D9881" s="14" t="s">
        <v>18760</v>
      </c>
      <c r="E9881" s="9" t="s">
        <v>8</v>
      </c>
    </row>
    <row r="9882" spans="1:5" ht="15" customHeight="1" outlineLevel="2" x14ac:dyDescent="0.25">
      <c r="A9882" s="3" t="str">
        <f>HYPERLINK("http://mystore1.ru/price_items/search?utf8=%E2%9C%93&amp;oem=8573AGSMVZ6J","8573AGSMVZ6J")</f>
        <v>8573AGSMVZ6J</v>
      </c>
      <c r="B9882" s="1" t="s">
        <v>18761</v>
      </c>
      <c r="C9882" s="9" t="s">
        <v>6077</v>
      </c>
      <c r="D9882" s="14" t="s">
        <v>18762</v>
      </c>
      <c r="E9882" s="9" t="s">
        <v>8</v>
      </c>
    </row>
    <row r="9883" spans="1:5" ht="15" customHeight="1" outlineLevel="2" x14ac:dyDescent="0.25">
      <c r="A9883" s="3" t="str">
        <f>HYPERLINK("http://mystore1.ru/price_items/search?utf8=%E2%9C%93&amp;oem=8573AGSVZ","8573AGSVZ")</f>
        <v>8573AGSVZ</v>
      </c>
      <c r="B9883" s="1" t="s">
        <v>18763</v>
      </c>
      <c r="C9883" s="9" t="s">
        <v>7038</v>
      </c>
      <c r="D9883" s="14" t="s">
        <v>18764</v>
      </c>
      <c r="E9883" s="9" t="s">
        <v>8</v>
      </c>
    </row>
    <row r="9884" spans="1:5" ht="15" customHeight="1" outlineLevel="2" x14ac:dyDescent="0.25">
      <c r="A9884" s="3" t="str">
        <f>HYPERLINK("http://mystore1.ru/price_items/search?utf8=%E2%9C%93&amp;oem=8573AGSVZ6J","8573AGSVZ6J")</f>
        <v>8573AGSVZ6J</v>
      </c>
      <c r="B9884" s="1" t="s">
        <v>18765</v>
      </c>
      <c r="C9884" s="9" t="s">
        <v>7038</v>
      </c>
      <c r="D9884" s="14" t="s">
        <v>18766</v>
      </c>
      <c r="E9884" s="9" t="s">
        <v>8</v>
      </c>
    </row>
    <row r="9885" spans="1:5" ht="15" customHeight="1" outlineLevel="2" x14ac:dyDescent="0.25">
      <c r="A9885" s="3" t="str">
        <f>HYPERLINK("http://mystore1.ru/price_items/search?utf8=%E2%9C%93&amp;oem=8573AGSZ","8573AGSZ")</f>
        <v>8573AGSZ</v>
      </c>
      <c r="B9885" s="1" t="s">
        <v>18767</v>
      </c>
      <c r="C9885" s="9" t="s">
        <v>7038</v>
      </c>
      <c r="D9885" s="14" t="s">
        <v>18768</v>
      </c>
      <c r="E9885" s="9" t="s">
        <v>8</v>
      </c>
    </row>
    <row r="9886" spans="1:5" ht="15" customHeight="1" outlineLevel="2" x14ac:dyDescent="0.25">
      <c r="A9886" s="3" t="str">
        <f>HYPERLINK("http://mystore1.ru/price_items/search?utf8=%E2%9C%93&amp;oem=8573BGDHI1J","8573BGDHI1J")</f>
        <v>8573BGDHI1J</v>
      </c>
      <c r="B9886" s="1" t="s">
        <v>18769</v>
      </c>
      <c r="C9886" s="9" t="s">
        <v>6077</v>
      </c>
      <c r="D9886" s="14" t="s">
        <v>18770</v>
      </c>
      <c r="E9886" s="9" t="s">
        <v>30</v>
      </c>
    </row>
    <row r="9887" spans="1:5" ht="15" customHeight="1" outlineLevel="2" x14ac:dyDescent="0.25">
      <c r="A9887" s="3" t="str">
        <f>HYPERLINK("http://mystore1.ru/price_items/search?utf8=%E2%9C%93&amp;oem=8573BGSHI","8573BGSHI")</f>
        <v>8573BGSHI</v>
      </c>
      <c r="B9887" s="1" t="s">
        <v>18771</v>
      </c>
      <c r="C9887" s="9" t="s">
        <v>7038</v>
      </c>
      <c r="D9887" s="14" t="s">
        <v>18772</v>
      </c>
      <c r="E9887" s="9" t="s">
        <v>30</v>
      </c>
    </row>
    <row r="9888" spans="1:5" ht="15" customHeight="1" outlineLevel="2" x14ac:dyDescent="0.25">
      <c r="A9888" s="3" t="str">
        <f>HYPERLINK("http://mystore1.ru/price_items/search?utf8=%E2%9C%93&amp;oem=8573BGSHI1J","8573BGSHI1J")</f>
        <v>8573BGSHI1J</v>
      </c>
      <c r="B9888" s="1" t="s">
        <v>18773</v>
      </c>
      <c r="C9888" s="9" t="s">
        <v>6077</v>
      </c>
      <c r="D9888" s="14" t="s">
        <v>18774</v>
      </c>
      <c r="E9888" s="9" t="s">
        <v>30</v>
      </c>
    </row>
    <row r="9889" spans="1:5" ht="15" customHeight="1" outlineLevel="2" x14ac:dyDescent="0.25">
      <c r="A9889" s="3" t="str">
        <f>HYPERLINK("http://mystore1.ru/price_items/search?utf8=%E2%9C%93&amp;oem=8573LGSH3FD","8573LGSH3FD")</f>
        <v>8573LGSH3FD</v>
      </c>
      <c r="B9889" s="1" t="s">
        <v>18775</v>
      </c>
      <c r="C9889" s="9" t="s">
        <v>7038</v>
      </c>
      <c r="D9889" s="14" t="s">
        <v>18776</v>
      </c>
      <c r="E9889" s="9" t="s">
        <v>11</v>
      </c>
    </row>
    <row r="9890" spans="1:5" ht="15" customHeight="1" outlineLevel="2" x14ac:dyDescent="0.25">
      <c r="A9890" s="3" t="str">
        <f>HYPERLINK("http://mystore1.ru/price_items/search?utf8=%E2%9C%93&amp;oem=8573LGSH5FD","8573LGSH5FD")</f>
        <v>8573LGSH5FD</v>
      </c>
      <c r="B9890" s="1" t="s">
        <v>18777</v>
      </c>
      <c r="C9890" s="9" t="s">
        <v>7038</v>
      </c>
      <c r="D9890" s="14" t="s">
        <v>18778</v>
      </c>
      <c r="E9890" s="9" t="s">
        <v>11</v>
      </c>
    </row>
    <row r="9891" spans="1:5" ht="15" customHeight="1" outlineLevel="2" x14ac:dyDescent="0.25">
      <c r="A9891" s="3" t="str">
        <f>HYPERLINK("http://mystore1.ru/price_items/search?utf8=%E2%9C%93&amp;oem=8573LGSH5RDW","8573LGSH5RDW")</f>
        <v>8573LGSH5RDW</v>
      </c>
      <c r="B9891" s="1" t="s">
        <v>18779</v>
      </c>
      <c r="C9891" s="9" t="s">
        <v>7038</v>
      </c>
      <c r="D9891" s="14" t="s">
        <v>18780</v>
      </c>
      <c r="E9891" s="9" t="s">
        <v>11</v>
      </c>
    </row>
    <row r="9892" spans="1:5" ht="15" customHeight="1" outlineLevel="2" x14ac:dyDescent="0.25">
      <c r="A9892" s="3" t="str">
        <f>HYPERLINK("http://mystore1.ru/price_items/search?utf8=%E2%9C%93&amp;oem=8573RGSH3FD","8573RGSH3FD")</f>
        <v>8573RGSH3FD</v>
      </c>
      <c r="B9892" s="1" t="s">
        <v>18781</v>
      </c>
      <c r="C9892" s="9" t="s">
        <v>7038</v>
      </c>
      <c r="D9892" s="14" t="s">
        <v>18782</v>
      </c>
      <c r="E9892" s="9" t="s">
        <v>11</v>
      </c>
    </row>
    <row r="9893" spans="1:5" ht="15" customHeight="1" outlineLevel="2" x14ac:dyDescent="0.25">
      <c r="A9893" s="3" t="str">
        <f>HYPERLINK("http://mystore1.ru/price_items/search?utf8=%E2%9C%93&amp;oem=8573RGSH5FD","8573RGSH5FD")</f>
        <v>8573RGSH5FD</v>
      </c>
      <c r="B9893" s="1" t="s">
        <v>18783</v>
      </c>
      <c r="C9893" s="9" t="s">
        <v>7038</v>
      </c>
      <c r="D9893" s="14" t="s">
        <v>18784</v>
      </c>
      <c r="E9893" s="9" t="s">
        <v>11</v>
      </c>
    </row>
    <row r="9894" spans="1:5" ht="15" customHeight="1" outlineLevel="2" x14ac:dyDescent="0.25">
      <c r="A9894" s="3" t="str">
        <f>HYPERLINK("http://mystore1.ru/price_items/search?utf8=%E2%9C%93&amp;oem=8573RGSH5RDW","8573RGSH5RDW")</f>
        <v>8573RGSH5RDW</v>
      </c>
      <c r="B9894" s="1" t="s">
        <v>18785</v>
      </c>
      <c r="C9894" s="9" t="s">
        <v>7038</v>
      </c>
      <c r="D9894" s="14" t="s">
        <v>18786</v>
      </c>
      <c r="E9894" s="9" t="s">
        <v>11</v>
      </c>
    </row>
    <row r="9895" spans="1:5" outlineLevel="1" x14ac:dyDescent="0.25">
      <c r="A9895" s="2"/>
      <c r="B9895" s="6" t="s">
        <v>18787</v>
      </c>
      <c r="C9895" s="8"/>
      <c r="D9895" s="8"/>
      <c r="E9895" s="8"/>
    </row>
    <row r="9896" spans="1:5" ht="15" customHeight="1" outlineLevel="2" x14ac:dyDescent="0.25">
      <c r="A9896" s="3" t="str">
        <f>HYPERLINK("http://mystore1.ru/price_items/search?utf8=%E2%9C%93&amp;oem=8603AGSMVWZ2P","8603AGSMVWZ2P")</f>
        <v>8603AGSMVWZ2P</v>
      </c>
      <c r="B9896" s="1" t="s">
        <v>18788</v>
      </c>
      <c r="C9896" s="9" t="s">
        <v>369</v>
      </c>
      <c r="D9896" s="14" t="s">
        <v>18789</v>
      </c>
      <c r="E9896" s="9" t="s">
        <v>8</v>
      </c>
    </row>
    <row r="9897" spans="1:5" ht="15" customHeight="1" outlineLevel="2" x14ac:dyDescent="0.25">
      <c r="A9897" s="3" t="str">
        <f>HYPERLINK("http://mystore1.ru/price_items/search?utf8=%E2%9C%93&amp;oem=8603LGSH5FD","8603LGSH5FD")</f>
        <v>8603LGSH5FD</v>
      </c>
      <c r="B9897" s="1" t="s">
        <v>18790</v>
      </c>
      <c r="C9897" s="9" t="s">
        <v>369</v>
      </c>
      <c r="D9897" s="14" t="s">
        <v>18791</v>
      </c>
      <c r="E9897" s="9" t="s">
        <v>11</v>
      </c>
    </row>
    <row r="9898" spans="1:5" ht="15" customHeight="1" outlineLevel="2" x14ac:dyDescent="0.25">
      <c r="A9898" s="3" t="str">
        <f>HYPERLINK("http://mystore1.ru/price_items/search?utf8=%E2%9C%93&amp;oem=8603RGSH5FD","8603RGSH5FD")</f>
        <v>8603RGSH5FD</v>
      </c>
      <c r="B9898" s="1" t="s">
        <v>18792</v>
      </c>
      <c r="C9898" s="9" t="s">
        <v>369</v>
      </c>
      <c r="D9898" s="14" t="s">
        <v>18793</v>
      </c>
      <c r="E9898" s="9" t="s">
        <v>11</v>
      </c>
    </row>
    <row r="9899" spans="1:5" outlineLevel="1" x14ac:dyDescent="0.25">
      <c r="A9899" s="2"/>
      <c r="B9899" s="6" t="s">
        <v>18794</v>
      </c>
      <c r="C9899" s="7"/>
      <c r="D9899" s="7"/>
      <c r="E9899" s="8"/>
    </row>
    <row r="9900" spans="1:5" ht="15" customHeight="1" outlineLevel="2" x14ac:dyDescent="0.25">
      <c r="A9900" s="3" t="str">
        <f>HYPERLINK("http://mystore1.ru/price_items/search?utf8=%E2%9C%93&amp;oem=8549ACLW1J","8549ACLW1J")</f>
        <v>8549ACLW1J</v>
      </c>
      <c r="B9900" s="1" t="s">
        <v>18795</v>
      </c>
      <c r="C9900" s="9" t="s">
        <v>926</v>
      </c>
      <c r="D9900" s="14" t="s">
        <v>18796</v>
      </c>
      <c r="E9900" s="9" t="s">
        <v>8</v>
      </c>
    </row>
    <row r="9901" spans="1:5" ht="15" customHeight="1" outlineLevel="2" x14ac:dyDescent="0.25">
      <c r="A9901" s="3" t="str">
        <f>HYPERLINK("http://mystore1.ru/price_items/search?utf8=%E2%9C%93&amp;oem=8549AGNBLW","8549AGNBLW")</f>
        <v>8549AGNBLW</v>
      </c>
      <c r="B9901" s="1" t="s">
        <v>18797</v>
      </c>
      <c r="C9901" s="9" t="s">
        <v>926</v>
      </c>
      <c r="D9901" s="14" t="s">
        <v>18798</v>
      </c>
      <c r="E9901" s="9" t="s">
        <v>8</v>
      </c>
    </row>
    <row r="9902" spans="1:5" ht="15" customHeight="1" outlineLevel="2" x14ac:dyDescent="0.25">
      <c r="A9902" s="3" t="str">
        <f>HYPERLINK("http://mystore1.ru/price_items/search?utf8=%E2%9C%93&amp;oem=8549AGNGNW","8549AGNGNW")</f>
        <v>8549AGNGNW</v>
      </c>
      <c r="B9902" s="1" t="s">
        <v>18799</v>
      </c>
      <c r="C9902" s="9" t="s">
        <v>926</v>
      </c>
      <c r="D9902" s="14" t="s">
        <v>18800</v>
      </c>
      <c r="E9902" s="9" t="s">
        <v>8</v>
      </c>
    </row>
    <row r="9903" spans="1:5" ht="15" customHeight="1" outlineLevel="2" x14ac:dyDescent="0.25">
      <c r="A9903" s="3" t="str">
        <f>HYPERLINK("http://mystore1.ru/price_items/search?utf8=%E2%9C%93&amp;oem=8549AGNGNW1D","8549AGNGNW1D")</f>
        <v>8549AGNGNW1D</v>
      </c>
      <c r="B9903" s="1" t="s">
        <v>18801</v>
      </c>
      <c r="C9903" s="9" t="s">
        <v>926</v>
      </c>
      <c r="D9903" s="14" t="s">
        <v>18802</v>
      </c>
      <c r="E9903" s="9" t="s">
        <v>8</v>
      </c>
    </row>
    <row r="9904" spans="1:5" ht="15" customHeight="1" outlineLevel="2" x14ac:dyDescent="0.25">
      <c r="A9904" s="3" t="str">
        <f>HYPERLINK("http://mystore1.ru/price_items/search?utf8=%E2%9C%93&amp;oem=8549AGNW","8549AGNW")</f>
        <v>8549AGNW</v>
      </c>
      <c r="B9904" s="1" t="s">
        <v>18803</v>
      </c>
      <c r="C9904" s="9" t="s">
        <v>926</v>
      </c>
      <c r="D9904" s="14" t="s">
        <v>18804</v>
      </c>
      <c r="E9904" s="9" t="s">
        <v>8</v>
      </c>
    </row>
    <row r="9905" spans="1:5" ht="15" customHeight="1" outlineLevel="2" x14ac:dyDescent="0.25">
      <c r="A9905" s="3" t="str">
        <f>HYPERLINK("http://mystore1.ru/price_items/search?utf8=%E2%9C%93&amp;oem=8549AGNW1D","8549AGNW1D")</f>
        <v>8549AGNW1D</v>
      </c>
      <c r="B9905" s="1" t="s">
        <v>18805</v>
      </c>
      <c r="C9905" s="9" t="s">
        <v>926</v>
      </c>
      <c r="D9905" s="14" t="s">
        <v>18804</v>
      </c>
      <c r="E9905" s="9" t="s">
        <v>8</v>
      </c>
    </row>
    <row r="9906" spans="1:5" ht="15" customHeight="1" outlineLevel="2" x14ac:dyDescent="0.25">
      <c r="A9906" s="3" t="str">
        <f>HYPERLINK("http://mystore1.ru/price_items/search?utf8=%E2%9C%93&amp;oem=8549BCLVLZ","8549BCLVLZ")</f>
        <v>8549BCLVLZ</v>
      </c>
      <c r="B9906" s="1" t="s">
        <v>18806</v>
      </c>
      <c r="C9906" s="9" t="s">
        <v>926</v>
      </c>
      <c r="D9906" s="14" t="s">
        <v>18807</v>
      </c>
      <c r="E9906" s="9" t="s">
        <v>30</v>
      </c>
    </row>
    <row r="9907" spans="1:5" ht="15" customHeight="1" outlineLevel="2" x14ac:dyDescent="0.25">
      <c r="A9907" s="3" t="str">
        <f>HYPERLINK("http://mystore1.ru/price_items/search?utf8=%E2%9C%93&amp;oem=8549BCLVRZ","8549BCLVRZ")</f>
        <v>8549BCLVRZ</v>
      </c>
      <c r="B9907" s="1" t="s">
        <v>18808</v>
      </c>
      <c r="C9907" s="9" t="s">
        <v>926</v>
      </c>
      <c r="D9907" s="14" t="s">
        <v>18809</v>
      </c>
      <c r="E9907" s="9" t="s">
        <v>30</v>
      </c>
    </row>
    <row r="9908" spans="1:5" ht="15" customHeight="1" outlineLevel="2" x14ac:dyDescent="0.25">
      <c r="A9908" s="3" t="str">
        <f>HYPERLINK("http://mystore1.ru/price_items/search?utf8=%E2%9C%93&amp;oem=8549BGNEW","8549BGNEW")</f>
        <v>8549BGNEW</v>
      </c>
      <c r="B9908" s="1" t="s">
        <v>18810</v>
      </c>
      <c r="C9908" s="9" t="s">
        <v>926</v>
      </c>
      <c r="D9908" s="14" t="s">
        <v>18811</v>
      </c>
      <c r="E9908" s="9" t="s">
        <v>30</v>
      </c>
    </row>
    <row r="9909" spans="1:5" ht="15" customHeight="1" outlineLevel="2" x14ac:dyDescent="0.25">
      <c r="A9909" s="3" t="str">
        <f>HYPERLINK("http://mystore1.ru/price_items/search?utf8=%E2%9C%93&amp;oem=8549BGNSZ","8549BGNSZ")</f>
        <v>8549BGNSZ</v>
      </c>
      <c r="B9909" s="1" t="s">
        <v>18812</v>
      </c>
      <c r="C9909" s="9" t="s">
        <v>926</v>
      </c>
      <c r="D9909" s="14" t="s">
        <v>18813</v>
      </c>
      <c r="E9909" s="9" t="s">
        <v>30</v>
      </c>
    </row>
    <row r="9910" spans="1:5" ht="15" customHeight="1" outlineLevel="2" x14ac:dyDescent="0.25">
      <c r="A9910" s="3" t="str">
        <f>HYPERLINK("http://mystore1.ru/price_items/search?utf8=%E2%9C%93&amp;oem=8549LCLS4FD","8549LCLS4FD")</f>
        <v>8549LCLS4FD</v>
      </c>
      <c r="B9910" s="1" t="s">
        <v>18814</v>
      </c>
      <c r="C9910" s="9" t="s">
        <v>926</v>
      </c>
      <c r="D9910" s="14" t="s">
        <v>18815</v>
      </c>
      <c r="E9910" s="9" t="s">
        <v>11</v>
      </c>
    </row>
    <row r="9911" spans="1:5" ht="15" customHeight="1" outlineLevel="2" x14ac:dyDescent="0.25">
      <c r="A9911" s="3" t="str">
        <f>HYPERLINK("http://mystore1.ru/price_items/search?utf8=%E2%9C%93&amp;oem=8549LGNS4FD","8549LGNS4FD")</f>
        <v>8549LGNS4FD</v>
      </c>
      <c r="B9911" s="1" t="s">
        <v>18816</v>
      </c>
      <c r="C9911" s="9" t="s">
        <v>926</v>
      </c>
      <c r="D9911" s="14" t="s">
        <v>18817</v>
      </c>
      <c r="E9911" s="9" t="s">
        <v>11</v>
      </c>
    </row>
    <row r="9912" spans="1:5" ht="15" customHeight="1" outlineLevel="2" x14ac:dyDescent="0.25">
      <c r="A9912" s="3" t="str">
        <f>HYPERLINK("http://mystore1.ru/price_items/search?utf8=%E2%9C%93&amp;oem=8549LGNS4RD","8549LGNS4RD")</f>
        <v>8549LGNS4RD</v>
      </c>
      <c r="B9912" s="1" t="s">
        <v>18818</v>
      </c>
      <c r="C9912" s="9" t="s">
        <v>926</v>
      </c>
      <c r="D9912" s="14" t="s">
        <v>18819</v>
      </c>
      <c r="E9912" s="9" t="s">
        <v>11</v>
      </c>
    </row>
    <row r="9913" spans="1:5" ht="15" customHeight="1" outlineLevel="2" x14ac:dyDescent="0.25">
      <c r="A9913" s="3" t="str">
        <f>HYPERLINK("http://mystore1.ru/price_items/search?utf8=%E2%9C%93&amp;oem=8549RCLS4FD","8549RCLS4FD")</f>
        <v>8549RCLS4FD</v>
      </c>
      <c r="B9913" s="1" t="s">
        <v>18820</v>
      </c>
      <c r="C9913" s="9" t="s">
        <v>926</v>
      </c>
      <c r="D9913" s="14" t="s">
        <v>18821</v>
      </c>
      <c r="E9913" s="9" t="s">
        <v>11</v>
      </c>
    </row>
    <row r="9914" spans="1:5" ht="15" customHeight="1" outlineLevel="2" x14ac:dyDescent="0.25">
      <c r="A9914" s="3" t="str">
        <f>HYPERLINK("http://mystore1.ru/price_items/search?utf8=%E2%9C%93&amp;oem=8549RGNS4FD","8549RGNS4FD")</f>
        <v>8549RGNS4FD</v>
      </c>
      <c r="B9914" s="1" t="s">
        <v>18822</v>
      </c>
      <c r="C9914" s="9" t="s">
        <v>926</v>
      </c>
      <c r="D9914" s="14" t="s">
        <v>18823</v>
      </c>
      <c r="E9914" s="9" t="s">
        <v>11</v>
      </c>
    </row>
    <row r="9915" spans="1:5" ht="15" customHeight="1" outlineLevel="2" x14ac:dyDescent="0.25">
      <c r="A9915" s="3" t="str">
        <f>HYPERLINK("http://mystore1.ru/price_items/search?utf8=%E2%9C%93&amp;oem=8549RGNS4RD","8549RGNS4RD")</f>
        <v>8549RGNS4RD</v>
      </c>
      <c r="B9915" s="1" t="s">
        <v>18824</v>
      </c>
      <c r="C9915" s="9" t="s">
        <v>926</v>
      </c>
      <c r="D9915" s="14" t="s">
        <v>18825</v>
      </c>
      <c r="E9915" s="9" t="s">
        <v>11</v>
      </c>
    </row>
    <row r="9916" spans="1:5" outlineLevel="1" x14ac:dyDescent="0.25">
      <c r="A9916" s="2"/>
      <c r="B9916" s="6" t="s">
        <v>18826</v>
      </c>
      <c r="C9916" s="8"/>
      <c r="D9916" s="8"/>
      <c r="E9916" s="8"/>
    </row>
    <row r="9917" spans="1:5" ht="15" customHeight="1" outlineLevel="2" x14ac:dyDescent="0.25">
      <c r="A9917" s="3" t="str">
        <f>HYPERLINK("http://mystore1.ru/price_items/search?utf8=%E2%9C%93&amp;oem=8571AGNGNMZ","8571AGNGNMZ")</f>
        <v>8571AGNGNMZ</v>
      </c>
      <c r="B9917" s="1" t="s">
        <v>18827</v>
      </c>
      <c r="C9917" s="9" t="s">
        <v>1154</v>
      </c>
      <c r="D9917" s="14" t="s">
        <v>18828</v>
      </c>
      <c r="E9917" s="9" t="s">
        <v>8</v>
      </c>
    </row>
    <row r="9918" spans="1:5" ht="15" customHeight="1" outlineLevel="2" x14ac:dyDescent="0.25">
      <c r="A9918" s="3" t="str">
        <f>HYPERLINK("http://mystore1.ru/price_items/search?utf8=%E2%9C%93&amp;oem=8571AGNGNZ","8571AGNGNZ")</f>
        <v>8571AGNGNZ</v>
      </c>
      <c r="B9918" s="1" t="s">
        <v>18829</v>
      </c>
      <c r="C9918" s="9" t="s">
        <v>1154</v>
      </c>
      <c r="D9918" s="14" t="s">
        <v>18830</v>
      </c>
      <c r="E9918" s="9" t="s">
        <v>8</v>
      </c>
    </row>
    <row r="9919" spans="1:5" ht="15" customHeight="1" outlineLevel="2" x14ac:dyDescent="0.25">
      <c r="A9919" s="3" t="str">
        <f>HYPERLINK("http://mystore1.ru/price_items/search?utf8=%E2%9C%93&amp;oem=8571AGNGYZ","8571AGNGYZ")</f>
        <v>8571AGNGYZ</v>
      </c>
      <c r="B9919" s="1" t="s">
        <v>18831</v>
      </c>
      <c r="C9919" s="9" t="s">
        <v>1154</v>
      </c>
      <c r="D9919" s="14" t="s">
        <v>18832</v>
      </c>
      <c r="E9919" s="9" t="s">
        <v>8</v>
      </c>
    </row>
    <row r="9920" spans="1:5" ht="15" customHeight="1" outlineLevel="2" x14ac:dyDescent="0.25">
      <c r="A9920" s="3" t="str">
        <f>HYPERLINK("http://mystore1.ru/price_items/search?utf8=%E2%9C%93&amp;oem=8571AGNMZ","8571AGNMZ")</f>
        <v>8571AGNMZ</v>
      </c>
      <c r="B9920" s="1" t="s">
        <v>18833</v>
      </c>
      <c r="C9920" s="9" t="s">
        <v>1154</v>
      </c>
      <c r="D9920" s="14" t="s">
        <v>18834</v>
      </c>
      <c r="E9920" s="9" t="s">
        <v>8</v>
      </c>
    </row>
    <row r="9921" spans="1:5" ht="15" customHeight="1" outlineLevel="2" x14ac:dyDescent="0.25">
      <c r="A9921" s="3" t="str">
        <f>HYPERLINK("http://mystore1.ru/price_items/search?utf8=%E2%9C%93&amp;oem=OLD-8571AGNZ","OLD-8571AGNZ")</f>
        <v>OLD-8571AGNZ</v>
      </c>
      <c r="B9921" s="1" t="s">
        <v>18835</v>
      </c>
      <c r="C9921" s="9" t="s">
        <v>1154</v>
      </c>
      <c r="D9921" s="14" t="s">
        <v>18836</v>
      </c>
      <c r="E9921" s="9" t="s">
        <v>8</v>
      </c>
    </row>
    <row r="9922" spans="1:5" outlineLevel="1" x14ac:dyDescent="0.25">
      <c r="A9922" s="2"/>
      <c r="B9922" s="6" t="s">
        <v>18837</v>
      </c>
      <c r="C9922" s="8"/>
      <c r="D9922" s="8"/>
      <c r="E9922" s="8"/>
    </row>
    <row r="9923" spans="1:5" ht="15" customHeight="1" outlineLevel="2" x14ac:dyDescent="0.25">
      <c r="A9923" s="3" t="str">
        <f>HYPERLINK("http://mystore1.ru/price_items/search?utf8=%E2%9C%93&amp;oem=8531ACL","8531ACL")</f>
        <v>8531ACL</v>
      </c>
      <c r="B9923" s="1" t="s">
        <v>18838</v>
      </c>
      <c r="C9923" s="9" t="s">
        <v>18839</v>
      </c>
      <c r="D9923" s="14" t="s">
        <v>18840</v>
      </c>
      <c r="E9923" s="9" t="s">
        <v>8</v>
      </c>
    </row>
    <row r="9924" spans="1:5" ht="15" customHeight="1" outlineLevel="2" x14ac:dyDescent="0.25">
      <c r="A9924" s="3" t="str">
        <f>HYPERLINK("http://mystore1.ru/price_items/search?utf8=%E2%9C%93&amp;oem=8531AGN","8531AGN")</f>
        <v>8531AGN</v>
      </c>
      <c r="B9924" s="1" t="s">
        <v>18841</v>
      </c>
      <c r="C9924" s="9" t="s">
        <v>18839</v>
      </c>
      <c r="D9924" s="14" t="s">
        <v>18842</v>
      </c>
      <c r="E9924" s="9" t="s">
        <v>8</v>
      </c>
    </row>
    <row r="9925" spans="1:5" ht="15" customHeight="1" outlineLevel="2" x14ac:dyDescent="0.25">
      <c r="A9925" s="3" t="str">
        <f>HYPERLINK("http://mystore1.ru/price_items/search?utf8=%E2%9C%93&amp;oem=8531AGNGN","8531AGNGN")</f>
        <v>8531AGNGN</v>
      </c>
      <c r="B9925" s="1" t="s">
        <v>18843</v>
      </c>
      <c r="C9925" s="9" t="s">
        <v>18839</v>
      </c>
      <c r="D9925" s="14" t="s">
        <v>18844</v>
      </c>
      <c r="E9925" s="9" t="s">
        <v>8</v>
      </c>
    </row>
    <row r="9926" spans="1:5" outlineLevel="1" x14ac:dyDescent="0.25">
      <c r="A9926" s="2"/>
      <c r="B9926" s="6" t="s">
        <v>18845</v>
      </c>
      <c r="C9926" s="7"/>
      <c r="D9926" s="8"/>
      <c r="E9926" s="8"/>
    </row>
    <row r="9927" spans="1:5" ht="15" customHeight="1" outlineLevel="2" x14ac:dyDescent="0.25">
      <c r="A9927" s="3" t="str">
        <f>HYPERLINK("http://mystore1.ru/price_items/search?utf8=%E2%9C%93&amp;oem=8548AGN","8548AGN")</f>
        <v>8548AGN</v>
      </c>
      <c r="B9927" s="1" t="s">
        <v>18846</v>
      </c>
      <c r="C9927" s="9" t="s">
        <v>926</v>
      </c>
      <c r="D9927" s="14" t="s">
        <v>18847</v>
      </c>
      <c r="E9927" s="9" t="s">
        <v>8</v>
      </c>
    </row>
    <row r="9928" spans="1:5" ht="15" customHeight="1" outlineLevel="2" x14ac:dyDescent="0.25">
      <c r="A9928" s="3" t="str">
        <f>HYPERLINK("http://mystore1.ru/price_items/search?utf8=%E2%9C%93&amp;oem=8548AGNBL","8548AGNBL")</f>
        <v>8548AGNBL</v>
      </c>
      <c r="B9928" s="1" t="s">
        <v>18848</v>
      </c>
      <c r="C9928" s="9" t="s">
        <v>18849</v>
      </c>
      <c r="D9928" s="14" t="s">
        <v>18850</v>
      </c>
      <c r="E9928" s="9" t="s">
        <v>8</v>
      </c>
    </row>
    <row r="9929" spans="1:5" ht="15" customHeight="1" outlineLevel="2" x14ac:dyDescent="0.25">
      <c r="A9929" s="3" t="str">
        <f>HYPERLINK("http://mystore1.ru/price_items/search?utf8=%E2%9C%93&amp;oem=8548AGNBLHV2P","8548AGNBLHV2P")</f>
        <v>8548AGNBLHV2P</v>
      </c>
      <c r="B9929" s="1" t="s">
        <v>18851</v>
      </c>
      <c r="C9929" s="9" t="s">
        <v>7279</v>
      </c>
      <c r="D9929" s="14" t="s">
        <v>18852</v>
      </c>
      <c r="E9929" s="9" t="s">
        <v>8</v>
      </c>
    </row>
    <row r="9930" spans="1:5" ht="15" customHeight="1" outlineLevel="2" x14ac:dyDescent="0.25">
      <c r="A9930" s="3" t="str">
        <f>HYPERLINK("http://mystore1.ru/price_items/search?utf8=%E2%9C%93&amp;oem=8548AGNGN","8548AGNGN")</f>
        <v>8548AGNGN</v>
      </c>
      <c r="B9930" s="1" t="s">
        <v>18853</v>
      </c>
      <c r="C9930" s="9" t="s">
        <v>926</v>
      </c>
      <c r="D9930" s="14" t="s">
        <v>18854</v>
      </c>
      <c r="E9930" s="9" t="s">
        <v>8</v>
      </c>
    </row>
    <row r="9931" spans="1:5" ht="15" customHeight="1" outlineLevel="2" x14ac:dyDescent="0.25">
      <c r="A9931" s="3" t="str">
        <f>HYPERLINK("http://mystore1.ru/price_items/search?utf8=%E2%9C%93&amp;oem=8548AGNHV1P","8548AGNHV1P")</f>
        <v>8548AGNHV1P</v>
      </c>
      <c r="B9931" s="1" t="s">
        <v>18855</v>
      </c>
      <c r="C9931" s="9" t="s">
        <v>18856</v>
      </c>
      <c r="D9931" s="14" t="s">
        <v>18857</v>
      </c>
      <c r="E9931" s="9" t="s">
        <v>8</v>
      </c>
    </row>
    <row r="9932" spans="1:5" ht="15" customHeight="1" outlineLevel="2" x14ac:dyDescent="0.25">
      <c r="A9932" s="3" t="str">
        <f>HYPERLINK("http://mystore1.ru/price_items/search?utf8=%E2%9C%93&amp;oem=8548AGNHV2P","8548AGNHV2P")</f>
        <v>8548AGNHV2P</v>
      </c>
      <c r="B9932" s="1" t="s">
        <v>18858</v>
      </c>
      <c r="C9932" s="9" t="s">
        <v>7279</v>
      </c>
      <c r="D9932" s="14" t="s">
        <v>18859</v>
      </c>
      <c r="E9932" s="9" t="s">
        <v>8</v>
      </c>
    </row>
    <row r="9933" spans="1:5" ht="15" customHeight="1" outlineLevel="2" x14ac:dyDescent="0.25">
      <c r="A9933" s="3" t="str">
        <f>HYPERLINK("http://mystore1.ru/price_items/search?utf8=%E2%9C%93&amp;oem=8548AGNV2P","8548AGNV2P")</f>
        <v>8548AGNV2P</v>
      </c>
      <c r="B9933" s="1" t="s">
        <v>18860</v>
      </c>
      <c r="C9933" s="9" t="s">
        <v>7279</v>
      </c>
      <c r="D9933" s="14" t="s">
        <v>18861</v>
      </c>
      <c r="E9933" s="9" t="s">
        <v>8</v>
      </c>
    </row>
    <row r="9934" spans="1:5" ht="15" customHeight="1" outlineLevel="2" x14ac:dyDescent="0.25">
      <c r="A9934" s="3" t="str">
        <f>HYPERLINK("http://mystore1.ru/price_items/search?utf8=%E2%9C%93&amp;oem=8548AGSVW2P","8548AGSVW2P")</f>
        <v>8548AGSVW2P</v>
      </c>
      <c r="B9934" s="1" t="s">
        <v>18862</v>
      </c>
      <c r="C9934" s="9" t="s">
        <v>2036</v>
      </c>
      <c r="D9934" s="14" t="s">
        <v>18863</v>
      </c>
      <c r="E9934" s="9" t="s">
        <v>8</v>
      </c>
    </row>
    <row r="9935" spans="1:5" ht="15" customHeight="1" outlineLevel="2" x14ac:dyDescent="0.25">
      <c r="A9935" s="3" t="str">
        <f>HYPERLINK("http://mystore1.ru/price_items/search?utf8=%E2%9C%93&amp;oem=8548ASMVT","8548ASMVT")</f>
        <v>8548ASMVT</v>
      </c>
      <c r="B9935" s="1" t="s">
        <v>18864</v>
      </c>
      <c r="C9935" s="9" t="s">
        <v>25</v>
      </c>
      <c r="D9935" s="14" t="s">
        <v>18865</v>
      </c>
      <c r="E9935" s="9" t="s">
        <v>27</v>
      </c>
    </row>
    <row r="9936" spans="1:5" ht="15" customHeight="1" outlineLevel="2" x14ac:dyDescent="0.25">
      <c r="A9936" s="3" t="str">
        <f>HYPERLINK("http://mystore1.ru/price_items/search?utf8=%E2%9C%93&amp;oem=8548BGNV","8548BGNV")</f>
        <v>8548BGNV</v>
      </c>
      <c r="B9936" s="1" t="s">
        <v>18866</v>
      </c>
      <c r="C9936" s="9" t="s">
        <v>18867</v>
      </c>
      <c r="D9936" s="14" t="s">
        <v>18868</v>
      </c>
      <c r="E9936" s="9" t="s">
        <v>30</v>
      </c>
    </row>
    <row r="9937" spans="1:5" ht="15" customHeight="1" outlineLevel="2" x14ac:dyDescent="0.25">
      <c r="A9937" s="3" t="str">
        <f>HYPERLINK("http://mystore1.ru/price_items/search?utf8=%E2%9C%93&amp;oem=8548BGNVB","8548BGNVB")</f>
        <v>8548BGNVB</v>
      </c>
      <c r="B9937" s="1" t="s">
        <v>18869</v>
      </c>
      <c r="C9937" s="9" t="s">
        <v>18867</v>
      </c>
      <c r="D9937" s="14" t="s">
        <v>18870</v>
      </c>
      <c r="E9937" s="9" t="s">
        <v>30</v>
      </c>
    </row>
    <row r="9938" spans="1:5" ht="15" customHeight="1" outlineLevel="2" x14ac:dyDescent="0.25">
      <c r="A9938" s="3" t="str">
        <f>HYPERLINK("http://mystore1.ru/price_items/search?utf8=%E2%9C%93&amp;oem=8548BSMV","8548BSMV")</f>
        <v>8548BSMV</v>
      </c>
      <c r="B9938" s="1" t="s">
        <v>18871</v>
      </c>
      <c r="C9938" s="9" t="s">
        <v>25</v>
      </c>
      <c r="D9938" s="14" t="s">
        <v>18872</v>
      </c>
      <c r="E9938" s="9" t="s">
        <v>27</v>
      </c>
    </row>
    <row r="9939" spans="1:5" ht="15" customHeight="1" outlineLevel="2" x14ac:dyDescent="0.25">
      <c r="A9939" s="3" t="str">
        <f>HYPERLINK("http://mystore1.ru/price_items/search?utf8=%E2%9C%93&amp;oem=8548LGNV5FD","8548LGNV5FD")</f>
        <v>8548LGNV5FD</v>
      </c>
      <c r="B9939" s="1" t="s">
        <v>18873</v>
      </c>
      <c r="C9939" s="9" t="s">
        <v>18867</v>
      </c>
      <c r="D9939" s="14" t="s">
        <v>18874</v>
      </c>
      <c r="E9939" s="9" t="s">
        <v>11</v>
      </c>
    </row>
    <row r="9940" spans="1:5" ht="15" customHeight="1" outlineLevel="2" x14ac:dyDescent="0.25">
      <c r="A9940" s="3" t="str">
        <f>HYPERLINK("http://mystore1.ru/price_items/search?utf8=%E2%9C%93&amp;oem=8548LGNV5RD","8548LGNV5RD")</f>
        <v>8548LGNV5RD</v>
      </c>
      <c r="B9940" s="1" t="s">
        <v>18875</v>
      </c>
      <c r="C9940" s="9" t="s">
        <v>18867</v>
      </c>
      <c r="D9940" s="14" t="s">
        <v>18876</v>
      </c>
      <c r="E9940" s="9" t="s">
        <v>11</v>
      </c>
    </row>
    <row r="9941" spans="1:5" ht="15" customHeight="1" outlineLevel="2" x14ac:dyDescent="0.25">
      <c r="A9941" s="3" t="str">
        <f>HYPERLINK("http://mystore1.ru/price_items/search?utf8=%E2%9C%93&amp;oem=8548RGNV5FD","8548RGNV5FD")</f>
        <v>8548RGNV5FD</v>
      </c>
      <c r="B9941" s="1" t="s">
        <v>18877</v>
      </c>
      <c r="C9941" s="9" t="s">
        <v>18867</v>
      </c>
      <c r="D9941" s="14" t="s">
        <v>18878</v>
      </c>
      <c r="E9941" s="9" t="s">
        <v>11</v>
      </c>
    </row>
    <row r="9942" spans="1:5" ht="15" customHeight="1" outlineLevel="2" x14ac:dyDescent="0.25">
      <c r="A9942" s="3" t="str">
        <f>HYPERLINK("http://mystore1.ru/price_items/search?utf8=%E2%9C%93&amp;oem=8548RGNV5RD","8548RGNV5RD")</f>
        <v>8548RGNV5RD</v>
      </c>
      <c r="B9942" s="1" t="s">
        <v>18879</v>
      </c>
      <c r="C9942" s="9" t="s">
        <v>18867</v>
      </c>
      <c r="D9942" s="14" t="s">
        <v>18880</v>
      </c>
      <c r="E9942" s="9" t="s">
        <v>11</v>
      </c>
    </row>
    <row r="9943" spans="1:5" outlineLevel="1" x14ac:dyDescent="0.25">
      <c r="A9943" s="2"/>
      <c r="B9943" s="6" t="s">
        <v>18881</v>
      </c>
      <c r="C9943" s="8"/>
      <c r="D9943" s="8"/>
      <c r="E9943" s="8"/>
    </row>
    <row r="9944" spans="1:5" ht="15" customHeight="1" outlineLevel="2" x14ac:dyDescent="0.25">
      <c r="A9944" s="3" t="str">
        <f>HYPERLINK("http://mystore1.ru/price_items/search?utf8=%E2%9C%93&amp;oem=8605AGACMVWZ1R","8605AGACMVWZ1R")</f>
        <v>8605AGACMVWZ1R</v>
      </c>
      <c r="B9944" s="1" t="s">
        <v>18882</v>
      </c>
      <c r="C9944" s="9" t="s">
        <v>369</v>
      </c>
      <c r="D9944" s="14" t="s">
        <v>18883</v>
      </c>
      <c r="E9944" s="9" t="s">
        <v>8</v>
      </c>
    </row>
    <row r="9945" spans="1:5" ht="15" customHeight="1" outlineLevel="2" x14ac:dyDescent="0.25">
      <c r="A9945" s="3" t="str">
        <f>HYPERLINK("http://mystore1.ru/price_items/search?utf8=%E2%9C%93&amp;oem=8605AGSHMVWZ1B","8605AGSHMVWZ1B")</f>
        <v>8605AGSHMVWZ1B</v>
      </c>
      <c r="B9945" s="1" t="s">
        <v>18884</v>
      </c>
      <c r="C9945" s="9" t="s">
        <v>369</v>
      </c>
      <c r="D9945" s="14" t="s">
        <v>18885</v>
      </c>
      <c r="E9945" s="9" t="s">
        <v>8</v>
      </c>
    </row>
    <row r="9946" spans="1:5" ht="15" customHeight="1" outlineLevel="2" x14ac:dyDescent="0.25">
      <c r="A9946" s="3" t="str">
        <f>HYPERLINK("http://mystore1.ru/price_items/search?utf8=%E2%9C%93&amp;oem=8605AGSHVWZ","8605AGSHVWZ")</f>
        <v>8605AGSHVWZ</v>
      </c>
      <c r="B9946" s="1" t="s">
        <v>18886</v>
      </c>
      <c r="C9946" s="9" t="s">
        <v>642</v>
      </c>
      <c r="D9946" s="14" t="s">
        <v>18887</v>
      </c>
      <c r="E9946" s="9" t="s">
        <v>8</v>
      </c>
    </row>
    <row r="9947" spans="1:5" ht="15" customHeight="1" outlineLevel="2" x14ac:dyDescent="0.25">
      <c r="A9947" s="3" t="str">
        <f>HYPERLINK("http://mystore1.ru/price_items/search?utf8=%E2%9C%93&amp;oem=8605AGAVWZ","8605AGAVWZ")</f>
        <v>8605AGAVWZ</v>
      </c>
      <c r="B9947" s="1" t="s">
        <v>18888</v>
      </c>
      <c r="C9947" s="9" t="s">
        <v>369</v>
      </c>
      <c r="D9947" s="14" t="s">
        <v>18889</v>
      </c>
      <c r="E9947" s="9" t="s">
        <v>8</v>
      </c>
    </row>
    <row r="9948" spans="1:5" ht="15" customHeight="1" outlineLevel="2" x14ac:dyDescent="0.25">
      <c r="A9948" s="3" t="str">
        <f>HYPERLINK("http://mystore1.ru/price_items/search?utf8=%E2%9C%93&amp;oem=8605AGSMVWZ1B","8605AGSMVWZ1B")</f>
        <v>8605AGSMVWZ1B</v>
      </c>
      <c r="B9948" s="1" t="s">
        <v>18890</v>
      </c>
      <c r="C9948" s="9" t="s">
        <v>369</v>
      </c>
      <c r="D9948" s="14" t="s">
        <v>18891</v>
      </c>
      <c r="E9948" s="9" t="s">
        <v>8</v>
      </c>
    </row>
    <row r="9949" spans="1:5" outlineLevel="1" x14ac:dyDescent="0.25">
      <c r="A9949" s="2"/>
      <c r="B9949" s="6" t="s">
        <v>18892</v>
      </c>
      <c r="C9949" s="8"/>
      <c r="D9949" s="8"/>
      <c r="E9949" s="8"/>
    </row>
    <row r="9950" spans="1:5" ht="15" customHeight="1" outlineLevel="2" x14ac:dyDescent="0.25">
      <c r="A9950" s="3" t="str">
        <f>HYPERLINK("http://mystore1.ru/price_items/search?utf8=%E2%9C%93&amp;oem=8536ACL","8536ACL")</f>
        <v>8536ACL</v>
      </c>
      <c r="B9950" s="1" t="s">
        <v>18893</v>
      </c>
      <c r="C9950" s="9" t="s">
        <v>25</v>
      </c>
      <c r="D9950" s="14" t="s">
        <v>18894</v>
      </c>
      <c r="E9950" s="9" t="s">
        <v>8</v>
      </c>
    </row>
    <row r="9951" spans="1:5" ht="15" customHeight="1" outlineLevel="2" x14ac:dyDescent="0.25">
      <c r="A9951" s="3" t="str">
        <f>HYPERLINK("http://mystore1.ru/price_items/search?utf8=%E2%9C%93&amp;oem=8536ASRP","8536ASRP")</f>
        <v>8536ASRP</v>
      </c>
      <c r="B9951" s="1" t="s">
        <v>18895</v>
      </c>
      <c r="C9951" s="9" t="s">
        <v>25</v>
      </c>
      <c r="D9951" s="14" t="s">
        <v>18896</v>
      </c>
      <c r="E9951" s="9" t="s">
        <v>27</v>
      </c>
    </row>
    <row r="9952" spans="1:5" outlineLevel="1" x14ac:dyDescent="0.25">
      <c r="A9952" s="2"/>
      <c r="B9952" s="6" t="s">
        <v>18897</v>
      </c>
      <c r="C9952" s="8"/>
      <c r="D9952" s="8"/>
      <c r="E9952" s="8"/>
    </row>
    <row r="9953" spans="1:5" ht="15" customHeight="1" outlineLevel="2" x14ac:dyDescent="0.25">
      <c r="A9953" s="3" t="str">
        <f>HYPERLINK("http://mystore1.ru/price_items/search?utf8=%E2%9C%93&amp;oem=8595AGSMVZ1P","8595AGSMVZ1P")</f>
        <v>8595AGSMVZ1P</v>
      </c>
      <c r="B9953" s="1" t="s">
        <v>18898</v>
      </c>
      <c r="C9953" s="9" t="s">
        <v>511</v>
      </c>
      <c r="D9953" s="14" t="s">
        <v>18899</v>
      </c>
      <c r="E9953" s="9" t="s">
        <v>8</v>
      </c>
    </row>
    <row r="9954" spans="1:5" ht="15" customHeight="1" outlineLevel="2" x14ac:dyDescent="0.25">
      <c r="A9954" s="3" t="str">
        <f>HYPERLINK("http://mystore1.ru/price_items/search?utf8=%E2%9C%93&amp;oem=8595AGSVZ","8595AGSVZ")</f>
        <v>8595AGSVZ</v>
      </c>
      <c r="B9954" s="1" t="s">
        <v>18900</v>
      </c>
      <c r="C9954" s="9" t="s">
        <v>511</v>
      </c>
      <c r="D9954" s="14" t="s">
        <v>18901</v>
      </c>
      <c r="E9954" s="9" t="s">
        <v>8</v>
      </c>
    </row>
    <row r="9955" spans="1:5" ht="15" customHeight="1" outlineLevel="2" x14ac:dyDescent="0.25">
      <c r="A9955" s="3" t="str">
        <f>HYPERLINK("http://mystore1.ru/price_items/search?utf8=%E2%9C%93&amp;oem=8595BGSRAW","8595BGSRAW")</f>
        <v>8595BGSRAW</v>
      </c>
      <c r="B9955" s="1" t="s">
        <v>18902</v>
      </c>
      <c r="C9955" s="9" t="s">
        <v>511</v>
      </c>
      <c r="D9955" s="14" t="s">
        <v>18903</v>
      </c>
      <c r="E9955" s="9" t="s">
        <v>30</v>
      </c>
    </row>
    <row r="9956" spans="1:5" ht="15" customHeight="1" outlineLevel="2" x14ac:dyDescent="0.25">
      <c r="A9956" s="3" t="str">
        <f>HYPERLINK("http://mystore1.ru/price_items/search?utf8=%E2%9C%93&amp;oem=8595LGDR5RVZ","8595LGDR5RVZ")</f>
        <v>8595LGDR5RVZ</v>
      </c>
      <c r="B9956" s="1" t="s">
        <v>18904</v>
      </c>
      <c r="C9956" s="9" t="s">
        <v>25</v>
      </c>
      <c r="D9956" s="14" t="s">
        <v>18905</v>
      </c>
      <c r="E9956" s="9" t="s">
        <v>11</v>
      </c>
    </row>
    <row r="9957" spans="1:5" ht="15" customHeight="1" outlineLevel="2" x14ac:dyDescent="0.25">
      <c r="A9957" s="3" t="str">
        <f>HYPERLINK("http://mystore1.ru/price_items/search?utf8=%E2%9C%93&amp;oem=8595LGSR5FD","8595LGSR5FD")</f>
        <v>8595LGSR5FD</v>
      </c>
      <c r="B9957" s="1" t="s">
        <v>18906</v>
      </c>
      <c r="C9957" s="9" t="s">
        <v>25</v>
      </c>
      <c r="D9957" s="14" t="s">
        <v>18907</v>
      </c>
      <c r="E9957" s="9" t="s">
        <v>11</v>
      </c>
    </row>
    <row r="9958" spans="1:5" ht="15" customHeight="1" outlineLevel="2" x14ac:dyDescent="0.25">
      <c r="A9958" s="3" t="str">
        <f>HYPERLINK("http://mystore1.ru/price_items/search?utf8=%E2%9C%93&amp;oem=8595LGSR5RDW","8595LGSR5RDW")</f>
        <v>8595LGSR5RDW</v>
      </c>
      <c r="B9958" s="1" t="s">
        <v>18908</v>
      </c>
      <c r="C9958" s="9" t="s">
        <v>25</v>
      </c>
      <c r="D9958" s="14" t="s">
        <v>18909</v>
      </c>
      <c r="E9958" s="9" t="s">
        <v>11</v>
      </c>
    </row>
    <row r="9959" spans="1:5" ht="15" customHeight="1" outlineLevel="2" x14ac:dyDescent="0.25">
      <c r="A9959" s="3" t="str">
        <f>HYPERLINK("http://mystore1.ru/price_items/search?utf8=%E2%9C%93&amp;oem=8595LGSR5RVZ","8595LGSR5RVZ")</f>
        <v>8595LGSR5RVZ</v>
      </c>
      <c r="B9959" s="1" t="s">
        <v>18910</v>
      </c>
      <c r="C9959" s="9" t="s">
        <v>25</v>
      </c>
      <c r="D9959" s="14" t="s">
        <v>18911</v>
      </c>
      <c r="E9959" s="9" t="s">
        <v>11</v>
      </c>
    </row>
    <row r="9960" spans="1:5" ht="15" customHeight="1" outlineLevel="2" x14ac:dyDescent="0.25">
      <c r="A9960" s="3" t="str">
        <f>HYPERLINK("http://mystore1.ru/price_items/search?utf8=%E2%9C%93&amp;oem=8595RGDR5RVZ","8595RGDR5RVZ")</f>
        <v>8595RGDR5RVZ</v>
      </c>
      <c r="B9960" s="1" t="s">
        <v>18912</v>
      </c>
      <c r="C9960" s="9" t="s">
        <v>25</v>
      </c>
      <c r="D9960" s="14" t="s">
        <v>18913</v>
      </c>
      <c r="E9960" s="9" t="s">
        <v>11</v>
      </c>
    </row>
    <row r="9961" spans="1:5" ht="15" customHeight="1" outlineLevel="2" x14ac:dyDescent="0.25">
      <c r="A9961" s="3" t="str">
        <f>HYPERLINK("http://mystore1.ru/price_items/search?utf8=%E2%9C%93&amp;oem=8595RGSR5FD","8595RGSR5FD")</f>
        <v>8595RGSR5FD</v>
      </c>
      <c r="B9961" s="1" t="s">
        <v>18914</v>
      </c>
      <c r="C9961" s="9" t="s">
        <v>25</v>
      </c>
      <c r="D9961" s="14" t="s">
        <v>18915</v>
      </c>
      <c r="E9961" s="9" t="s">
        <v>11</v>
      </c>
    </row>
    <row r="9962" spans="1:5" ht="15" customHeight="1" outlineLevel="2" x14ac:dyDescent="0.25">
      <c r="A9962" s="3" t="str">
        <f>HYPERLINK("http://mystore1.ru/price_items/search?utf8=%E2%9C%93&amp;oem=8595RGSR5RDW","8595RGSR5RDW")</f>
        <v>8595RGSR5RDW</v>
      </c>
      <c r="B9962" s="1" t="s">
        <v>18916</v>
      </c>
      <c r="C9962" s="9" t="s">
        <v>25</v>
      </c>
      <c r="D9962" s="14" t="s">
        <v>18917</v>
      </c>
      <c r="E9962" s="9" t="s">
        <v>11</v>
      </c>
    </row>
    <row r="9963" spans="1:5" ht="15" customHeight="1" outlineLevel="2" x14ac:dyDescent="0.25">
      <c r="A9963" s="3" t="str">
        <f>HYPERLINK("http://mystore1.ru/price_items/search?utf8=%E2%9C%93&amp;oem=8595RGSR5RVZ","8595RGSR5RVZ")</f>
        <v>8595RGSR5RVZ</v>
      </c>
      <c r="B9963" s="1" t="s">
        <v>18918</v>
      </c>
      <c r="C9963" s="9" t="s">
        <v>25</v>
      </c>
      <c r="D9963" s="14" t="s">
        <v>18919</v>
      </c>
      <c r="E9963" s="9" t="s">
        <v>11</v>
      </c>
    </row>
    <row r="9964" spans="1:5" outlineLevel="1" x14ac:dyDescent="0.25">
      <c r="A9964" s="2"/>
      <c r="B9964" s="6" t="s">
        <v>18920</v>
      </c>
      <c r="C9964" s="8"/>
      <c r="D9964" s="8"/>
      <c r="E9964" s="8"/>
    </row>
    <row r="9965" spans="1:5" ht="15" customHeight="1" outlineLevel="2" x14ac:dyDescent="0.25">
      <c r="A9965" s="3" t="str">
        <f>HYPERLINK("http://mystore1.ru/price_items/search?utf8=%E2%9C%93&amp;oem=8577AGSGYZ","8577AGSGYZ")</f>
        <v>8577AGSGYZ</v>
      </c>
      <c r="B9965" s="1" t="s">
        <v>18921</v>
      </c>
      <c r="C9965" s="9" t="s">
        <v>1201</v>
      </c>
      <c r="D9965" s="14" t="s">
        <v>18922</v>
      </c>
      <c r="E9965" s="9" t="s">
        <v>8</v>
      </c>
    </row>
    <row r="9966" spans="1:5" ht="15" customHeight="1" outlineLevel="2" x14ac:dyDescent="0.25">
      <c r="A9966" s="3" t="str">
        <f>HYPERLINK("http://mystore1.ru/price_items/search?utf8=%E2%9C%93&amp;oem=8577AGSGYVZ","8577AGSGYVZ")</f>
        <v>8577AGSGYVZ</v>
      </c>
      <c r="B9966" s="1" t="s">
        <v>18923</v>
      </c>
      <c r="C9966" s="9" t="s">
        <v>1201</v>
      </c>
      <c r="D9966" s="14" t="s">
        <v>18924</v>
      </c>
      <c r="E9966" s="9" t="s">
        <v>8</v>
      </c>
    </row>
    <row r="9967" spans="1:5" ht="15" customHeight="1" outlineLevel="2" x14ac:dyDescent="0.25">
      <c r="A9967" s="3" t="str">
        <f>HYPERLINK("http://mystore1.ru/price_items/search?utf8=%E2%9C%93&amp;oem=8577AGSGYVZ1P","8577AGSGYVZ1P")</f>
        <v>8577AGSGYVZ1P</v>
      </c>
      <c r="B9967" s="1" t="s">
        <v>18925</v>
      </c>
      <c r="C9967" s="9" t="s">
        <v>1201</v>
      </c>
      <c r="D9967" s="14" t="s">
        <v>18926</v>
      </c>
      <c r="E9967" s="9" t="s">
        <v>8</v>
      </c>
    </row>
    <row r="9968" spans="1:5" ht="15" customHeight="1" outlineLevel="2" x14ac:dyDescent="0.25">
      <c r="A9968" s="3" t="str">
        <f>HYPERLINK("http://mystore1.ru/price_items/search?utf8=%E2%9C%93&amp;oem=8577AGSMVZ1B","8577AGSMVZ1B")</f>
        <v>8577AGSMVZ1B</v>
      </c>
      <c r="B9968" s="1" t="s">
        <v>18927</v>
      </c>
      <c r="C9968" s="9" t="s">
        <v>1201</v>
      </c>
      <c r="D9968" s="14" t="s">
        <v>18928</v>
      </c>
      <c r="E9968" s="9" t="s">
        <v>8</v>
      </c>
    </row>
    <row r="9969" spans="1:5" ht="15" customHeight="1" outlineLevel="2" x14ac:dyDescent="0.25">
      <c r="A9969" s="3" t="str">
        <f>HYPERLINK("http://mystore1.ru/price_items/search?utf8=%E2%9C%93&amp;oem=8577AGSMVZ6T","8577AGSMVZ6T")</f>
        <v>8577AGSMVZ6T</v>
      </c>
      <c r="B9969" s="1" t="s">
        <v>18929</v>
      </c>
      <c r="C9969" s="9" t="s">
        <v>1201</v>
      </c>
      <c r="D9969" s="14" t="s">
        <v>18928</v>
      </c>
      <c r="E9969" s="9" t="s">
        <v>8</v>
      </c>
    </row>
    <row r="9970" spans="1:5" ht="15" customHeight="1" outlineLevel="2" x14ac:dyDescent="0.25">
      <c r="A9970" s="3" t="str">
        <f>HYPERLINK("http://mystore1.ru/price_items/search?utf8=%E2%9C%93&amp;oem=8577AGSMVZ6J","8577AGSMVZ6J")</f>
        <v>8577AGSMVZ6J</v>
      </c>
      <c r="B9970" s="1" t="s">
        <v>18930</v>
      </c>
      <c r="C9970" s="9" t="s">
        <v>369</v>
      </c>
      <c r="D9970" s="14" t="s">
        <v>18931</v>
      </c>
      <c r="E9970" s="9" t="s">
        <v>8</v>
      </c>
    </row>
    <row r="9971" spans="1:5" ht="15" customHeight="1" outlineLevel="2" x14ac:dyDescent="0.25">
      <c r="A9971" s="3" t="str">
        <f>HYPERLINK("http://mystore1.ru/price_items/search?utf8=%E2%9C%93&amp;oem=8577AGSVZ","8577AGSVZ")</f>
        <v>8577AGSVZ</v>
      </c>
      <c r="B9971" s="1" t="s">
        <v>18932</v>
      </c>
      <c r="C9971" s="9" t="s">
        <v>1201</v>
      </c>
      <c r="D9971" s="14" t="s">
        <v>18933</v>
      </c>
      <c r="E9971" s="9" t="s">
        <v>8</v>
      </c>
    </row>
    <row r="9972" spans="1:5" ht="15" customHeight="1" outlineLevel="2" x14ac:dyDescent="0.25">
      <c r="A9972" s="3" t="str">
        <f>HYPERLINK("http://mystore1.ru/price_items/search?utf8=%E2%9C%93&amp;oem=8577AGSVZ1P","8577AGSVZ1P")</f>
        <v>8577AGSVZ1P</v>
      </c>
      <c r="B9972" s="1" t="s">
        <v>18934</v>
      </c>
      <c r="C9972" s="9" t="s">
        <v>1201</v>
      </c>
      <c r="D9972" s="14" t="s">
        <v>18935</v>
      </c>
      <c r="E9972" s="9" t="s">
        <v>8</v>
      </c>
    </row>
    <row r="9973" spans="1:5" ht="15" customHeight="1" outlineLevel="2" x14ac:dyDescent="0.25">
      <c r="A9973" s="3" t="str">
        <f>HYPERLINK("http://mystore1.ru/price_items/search?utf8=%E2%9C%93&amp;oem=8577AGSZ","8577AGSZ")</f>
        <v>8577AGSZ</v>
      </c>
      <c r="B9973" s="1" t="s">
        <v>18936</v>
      </c>
      <c r="C9973" s="9" t="s">
        <v>1201</v>
      </c>
      <c r="D9973" s="14" t="s">
        <v>18937</v>
      </c>
      <c r="E9973" s="9" t="s">
        <v>8</v>
      </c>
    </row>
    <row r="9974" spans="1:5" ht="15" customHeight="1" outlineLevel="2" x14ac:dyDescent="0.25">
      <c r="A9974" s="3" t="str">
        <f>HYPERLINK("http://mystore1.ru/price_items/search?utf8=%E2%9C%93&amp;oem=8577BGDVZ","8577BGDVZ")</f>
        <v>8577BGDVZ</v>
      </c>
      <c r="B9974" s="1" t="s">
        <v>18938</v>
      </c>
      <c r="C9974" s="9" t="s">
        <v>1201</v>
      </c>
      <c r="D9974" s="14" t="s">
        <v>18939</v>
      </c>
      <c r="E9974" s="9" t="s">
        <v>30</v>
      </c>
    </row>
    <row r="9975" spans="1:5" ht="15" customHeight="1" outlineLevel="2" x14ac:dyDescent="0.25">
      <c r="A9975" s="3" t="str">
        <f>HYPERLINK("http://mystore1.ru/price_items/search?utf8=%E2%9C%93&amp;oem=8577BGSVZ","8577BGSVZ")</f>
        <v>8577BGSVZ</v>
      </c>
      <c r="B9975" s="1" t="s">
        <v>18940</v>
      </c>
      <c r="C9975" s="9" t="s">
        <v>1201</v>
      </c>
      <c r="D9975" s="14" t="s">
        <v>18941</v>
      </c>
      <c r="E9975" s="9" t="s">
        <v>30</v>
      </c>
    </row>
    <row r="9976" spans="1:5" ht="15" customHeight="1" outlineLevel="2" x14ac:dyDescent="0.25">
      <c r="A9976" s="3" t="str">
        <f>HYPERLINK("http://mystore1.ru/price_items/search?utf8=%E2%9C%93&amp;oem=8577BYPVZ","8577BYPVZ")</f>
        <v>8577BYPVZ</v>
      </c>
      <c r="B9976" s="1" t="s">
        <v>18942</v>
      </c>
      <c r="C9976" s="9" t="s">
        <v>1201</v>
      </c>
      <c r="D9976" s="14" t="s">
        <v>18943</v>
      </c>
      <c r="E9976" s="9" t="s">
        <v>30</v>
      </c>
    </row>
    <row r="9977" spans="1:5" ht="15" customHeight="1" outlineLevel="2" x14ac:dyDescent="0.25">
      <c r="A9977" s="3" t="str">
        <f>HYPERLINK("http://mystore1.ru/price_items/search?utf8=%E2%9C%93&amp;oem=8577LGDV5RDW","8577LGDV5RDW")</f>
        <v>8577LGDV5RDW</v>
      </c>
      <c r="B9977" s="1" t="s">
        <v>18944</v>
      </c>
      <c r="C9977" s="9" t="s">
        <v>1201</v>
      </c>
      <c r="D9977" s="14" t="s">
        <v>18945</v>
      </c>
      <c r="E9977" s="9" t="s">
        <v>11</v>
      </c>
    </row>
    <row r="9978" spans="1:5" ht="15" customHeight="1" outlineLevel="2" x14ac:dyDescent="0.25">
      <c r="A9978" s="3" t="str">
        <f>HYPERLINK("http://mystore1.ru/price_items/search?utf8=%E2%9C%93&amp;oem=8577LGDV5RV","8577LGDV5RV")</f>
        <v>8577LGDV5RV</v>
      </c>
      <c r="B9978" s="1" t="s">
        <v>18946</v>
      </c>
      <c r="C9978" s="9" t="s">
        <v>1201</v>
      </c>
      <c r="D9978" s="14" t="s">
        <v>18947</v>
      </c>
      <c r="E9978" s="9" t="s">
        <v>11</v>
      </c>
    </row>
    <row r="9979" spans="1:5" ht="15" customHeight="1" outlineLevel="2" x14ac:dyDescent="0.25">
      <c r="A9979" s="3" t="str">
        <f>HYPERLINK("http://mystore1.ru/price_items/search?utf8=%E2%9C%93&amp;oem=8577LGSV5FD","8577LGSV5FD")</f>
        <v>8577LGSV5FD</v>
      </c>
      <c r="B9979" s="1" t="s">
        <v>18948</v>
      </c>
      <c r="C9979" s="9" t="s">
        <v>1201</v>
      </c>
      <c r="D9979" s="14" t="s">
        <v>18949</v>
      </c>
      <c r="E9979" s="9" t="s">
        <v>11</v>
      </c>
    </row>
    <row r="9980" spans="1:5" ht="15" customHeight="1" outlineLevel="2" x14ac:dyDescent="0.25">
      <c r="A9980" s="3" t="str">
        <f>HYPERLINK("http://mystore1.ru/price_items/search?utf8=%E2%9C%93&amp;oem=8577LGSV5RDW","8577LGSV5RDW")</f>
        <v>8577LGSV5RDW</v>
      </c>
      <c r="B9980" s="1" t="s">
        <v>18950</v>
      </c>
      <c r="C9980" s="9" t="s">
        <v>1201</v>
      </c>
      <c r="D9980" s="14" t="s">
        <v>18951</v>
      </c>
      <c r="E9980" s="9" t="s">
        <v>11</v>
      </c>
    </row>
    <row r="9981" spans="1:5" ht="15" customHeight="1" outlineLevel="2" x14ac:dyDescent="0.25">
      <c r="A9981" s="3" t="str">
        <f>HYPERLINK("http://mystore1.ru/price_items/search?utf8=%E2%9C%93&amp;oem=8577LGSV5RV","8577LGSV5RV")</f>
        <v>8577LGSV5RV</v>
      </c>
      <c r="B9981" s="1" t="s">
        <v>18952</v>
      </c>
      <c r="C9981" s="9" t="s">
        <v>1201</v>
      </c>
      <c r="D9981" s="14" t="s">
        <v>18953</v>
      </c>
      <c r="E9981" s="9" t="s">
        <v>11</v>
      </c>
    </row>
    <row r="9982" spans="1:5" ht="15" customHeight="1" outlineLevel="2" x14ac:dyDescent="0.25">
      <c r="A9982" s="3" t="str">
        <f>HYPERLINK("http://mystore1.ru/price_items/search?utf8=%E2%9C%93&amp;oem=8577RGDV5RDW","8577RGDV5RDW")</f>
        <v>8577RGDV5RDW</v>
      </c>
      <c r="B9982" s="1" t="s">
        <v>18954</v>
      </c>
      <c r="C9982" s="9" t="s">
        <v>1201</v>
      </c>
      <c r="D9982" s="14" t="s">
        <v>18955</v>
      </c>
      <c r="E9982" s="9" t="s">
        <v>11</v>
      </c>
    </row>
    <row r="9983" spans="1:5" ht="15" customHeight="1" outlineLevel="2" x14ac:dyDescent="0.25">
      <c r="A9983" s="3" t="str">
        <f>HYPERLINK("http://mystore1.ru/price_items/search?utf8=%E2%9C%93&amp;oem=8577RGDV5RV","8577RGDV5RV")</f>
        <v>8577RGDV5RV</v>
      </c>
      <c r="B9983" s="1" t="s">
        <v>18956</v>
      </c>
      <c r="C9983" s="9" t="s">
        <v>1201</v>
      </c>
      <c r="D9983" s="14" t="s">
        <v>18957</v>
      </c>
      <c r="E9983" s="9" t="s">
        <v>11</v>
      </c>
    </row>
    <row r="9984" spans="1:5" ht="15" customHeight="1" outlineLevel="2" x14ac:dyDescent="0.25">
      <c r="A9984" s="3" t="str">
        <f>HYPERLINK("http://mystore1.ru/price_items/search?utf8=%E2%9C%93&amp;oem=8577RGSV5FD","8577RGSV5FD")</f>
        <v>8577RGSV5FD</v>
      </c>
      <c r="B9984" s="1" t="s">
        <v>18958</v>
      </c>
      <c r="C9984" s="9" t="s">
        <v>1201</v>
      </c>
      <c r="D9984" s="14" t="s">
        <v>18959</v>
      </c>
      <c r="E9984" s="9" t="s">
        <v>11</v>
      </c>
    </row>
    <row r="9985" spans="1:5" ht="15" customHeight="1" outlineLevel="2" x14ac:dyDescent="0.25">
      <c r="A9985" s="3" t="str">
        <f>HYPERLINK("http://mystore1.ru/price_items/search?utf8=%E2%9C%93&amp;oem=8577RGSV5RDW","8577RGSV5RDW")</f>
        <v>8577RGSV5RDW</v>
      </c>
      <c r="B9985" s="1" t="s">
        <v>18960</v>
      </c>
      <c r="C9985" s="9" t="s">
        <v>1201</v>
      </c>
      <c r="D9985" s="14" t="s">
        <v>18961</v>
      </c>
      <c r="E9985" s="9" t="s">
        <v>11</v>
      </c>
    </row>
    <row r="9986" spans="1:5" ht="15" customHeight="1" outlineLevel="2" x14ac:dyDescent="0.25">
      <c r="A9986" s="3" t="str">
        <f>HYPERLINK("http://mystore1.ru/price_items/search?utf8=%E2%9C%93&amp;oem=8577RGSV5RV","8577RGSV5RV")</f>
        <v>8577RGSV5RV</v>
      </c>
      <c r="B9986" s="1" t="s">
        <v>18962</v>
      </c>
      <c r="C9986" s="9" t="s">
        <v>1201</v>
      </c>
      <c r="D9986" s="14" t="s">
        <v>18963</v>
      </c>
      <c r="E9986" s="9" t="s">
        <v>11</v>
      </c>
    </row>
    <row r="9987" spans="1:5" outlineLevel="1" x14ac:dyDescent="0.25">
      <c r="A9987" s="2"/>
      <c r="B9987" s="6" t="s">
        <v>18964</v>
      </c>
      <c r="C9987" s="8"/>
      <c r="D9987" s="8"/>
      <c r="E9987" s="8"/>
    </row>
    <row r="9988" spans="1:5" ht="15" customHeight="1" outlineLevel="2" x14ac:dyDescent="0.25">
      <c r="A9988" s="3" t="str">
        <f>HYPERLINK("http://mystore1.ru/price_items/search?utf8=%E2%9C%93&amp;oem=8527ACL","8527ACL")</f>
        <v>8527ACL</v>
      </c>
      <c r="B9988" s="1" t="s">
        <v>18965</v>
      </c>
      <c r="C9988" s="9" t="s">
        <v>9308</v>
      </c>
      <c r="D9988" s="14" t="s">
        <v>18966</v>
      </c>
      <c r="E9988" s="9" t="s">
        <v>8</v>
      </c>
    </row>
    <row r="9989" spans="1:5" ht="15" customHeight="1" outlineLevel="2" x14ac:dyDescent="0.25">
      <c r="A9989" s="3" t="str">
        <f>HYPERLINK("http://mystore1.ru/price_items/search?utf8=%E2%9C%93&amp;oem=8527AGN","8527AGN")</f>
        <v>8527AGN</v>
      </c>
      <c r="B9989" s="1" t="s">
        <v>18967</v>
      </c>
      <c r="C9989" s="9" t="s">
        <v>9308</v>
      </c>
      <c r="D9989" s="14" t="s">
        <v>18968</v>
      </c>
      <c r="E9989" s="9" t="s">
        <v>8</v>
      </c>
    </row>
    <row r="9990" spans="1:5" ht="15" customHeight="1" outlineLevel="2" x14ac:dyDescent="0.25">
      <c r="A9990" s="3" t="str">
        <f>HYPERLINK("http://mystore1.ru/price_items/search?utf8=%E2%9C%93&amp;oem=8527AGNA","8527AGNA")</f>
        <v>8527AGNA</v>
      </c>
      <c r="B9990" s="1" t="s">
        <v>18969</v>
      </c>
      <c r="C9990" s="9" t="s">
        <v>9308</v>
      </c>
      <c r="D9990" s="14" t="s">
        <v>18970</v>
      </c>
      <c r="E9990" s="9" t="s">
        <v>8</v>
      </c>
    </row>
    <row r="9991" spans="1:5" ht="15" customHeight="1" outlineLevel="2" x14ac:dyDescent="0.25">
      <c r="A9991" s="3" t="str">
        <f>HYPERLINK("http://mystore1.ru/price_items/search?utf8=%E2%9C%93&amp;oem=8527AGNBL","8527AGNBL")</f>
        <v>8527AGNBL</v>
      </c>
      <c r="B9991" s="1" t="s">
        <v>18971</v>
      </c>
      <c r="C9991" s="9" t="s">
        <v>9308</v>
      </c>
      <c r="D9991" s="14" t="s">
        <v>18972</v>
      </c>
      <c r="E9991" s="9" t="s">
        <v>8</v>
      </c>
    </row>
    <row r="9992" spans="1:5" ht="15" customHeight="1" outlineLevel="2" x14ac:dyDescent="0.25">
      <c r="A9992" s="3" t="str">
        <f>HYPERLINK("http://mystore1.ru/price_items/search?utf8=%E2%9C%93&amp;oem=8527AGNGN","8527AGNGN")</f>
        <v>8527AGNGN</v>
      </c>
      <c r="B9992" s="1" t="s">
        <v>18973</v>
      </c>
      <c r="C9992" s="9" t="s">
        <v>9308</v>
      </c>
      <c r="D9992" s="14" t="s">
        <v>18974</v>
      </c>
      <c r="E9992" s="9" t="s">
        <v>8</v>
      </c>
    </row>
    <row r="9993" spans="1:5" ht="15" customHeight="1" outlineLevel="2" x14ac:dyDescent="0.25">
      <c r="A9993" s="3" t="str">
        <f>HYPERLINK("http://mystore1.ru/price_items/search?utf8=%E2%9C%93&amp;oem=8527ASRV","8527ASRV")</f>
        <v>8527ASRV</v>
      </c>
      <c r="B9993" s="1" t="s">
        <v>18975</v>
      </c>
      <c r="C9993" s="9" t="s">
        <v>25</v>
      </c>
      <c r="D9993" s="14" t="s">
        <v>18976</v>
      </c>
      <c r="E9993" s="9" t="s">
        <v>27</v>
      </c>
    </row>
    <row r="9994" spans="1:5" ht="15" customHeight="1" outlineLevel="2" x14ac:dyDescent="0.25">
      <c r="A9994" s="3" t="str">
        <f>HYPERLINK("http://mystore1.ru/price_items/search?utf8=%E2%9C%93&amp;oem=8527BCLV","8527BCLV")</f>
        <v>8527BCLV</v>
      </c>
      <c r="B9994" s="1" t="s">
        <v>18977</v>
      </c>
      <c r="C9994" s="9" t="s">
        <v>9308</v>
      </c>
      <c r="D9994" s="14" t="s">
        <v>18978</v>
      </c>
      <c r="E9994" s="9" t="s">
        <v>30</v>
      </c>
    </row>
    <row r="9995" spans="1:5" ht="15" customHeight="1" outlineLevel="2" x14ac:dyDescent="0.25">
      <c r="A9995" s="3" t="str">
        <f>HYPERLINK("http://mystore1.ru/price_items/search?utf8=%E2%9C%93&amp;oem=8527BSRV","8527BSRV")</f>
        <v>8527BSRV</v>
      </c>
      <c r="B9995" s="1" t="s">
        <v>18979</v>
      </c>
      <c r="C9995" s="9" t="s">
        <v>25</v>
      </c>
      <c r="D9995" s="14" t="s">
        <v>18980</v>
      </c>
      <c r="E9995" s="9" t="s">
        <v>27</v>
      </c>
    </row>
    <row r="9996" spans="1:5" ht="15" customHeight="1" outlineLevel="2" x14ac:dyDescent="0.25">
      <c r="A9996" s="3" t="str">
        <f>HYPERLINK("http://mystore1.ru/price_items/search?utf8=%E2%9C%93&amp;oem=8527LCLV2FD","8527LCLV2FD")</f>
        <v>8527LCLV2FD</v>
      </c>
      <c r="B9996" s="1" t="s">
        <v>18981</v>
      </c>
      <c r="C9996" s="9" t="s">
        <v>9308</v>
      </c>
      <c r="D9996" s="14" t="s">
        <v>18982</v>
      </c>
      <c r="E9996" s="9" t="s">
        <v>11</v>
      </c>
    </row>
    <row r="9997" spans="1:5" ht="15" customHeight="1" outlineLevel="2" x14ac:dyDescent="0.25">
      <c r="A9997" s="3" t="str">
        <f>HYPERLINK("http://mystore1.ru/price_items/search?utf8=%E2%9C%93&amp;oem=8527LCLV2FV","8527LCLV2FV")</f>
        <v>8527LCLV2FV</v>
      </c>
      <c r="B9997" s="1" t="s">
        <v>18983</v>
      </c>
      <c r="C9997" s="9" t="s">
        <v>9308</v>
      </c>
      <c r="D9997" s="14" t="s">
        <v>18984</v>
      </c>
      <c r="E9997" s="9" t="s">
        <v>11</v>
      </c>
    </row>
    <row r="9998" spans="1:5" ht="15" customHeight="1" outlineLevel="2" x14ac:dyDescent="0.25">
      <c r="A9998" s="3" t="str">
        <f>HYPERLINK("http://mystore1.ru/price_items/search?utf8=%E2%9C%93&amp;oem=8527RCLV2FD","8527RCLV2FD")</f>
        <v>8527RCLV2FD</v>
      </c>
      <c r="B9998" s="1" t="s">
        <v>18985</v>
      </c>
      <c r="C9998" s="9" t="s">
        <v>9308</v>
      </c>
      <c r="D9998" s="14" t="s">
        <v>18986</v>
      </c>
      <c r="E9998" s="9" t="s">
        <v>11</v>
      </c>
    </row>
    <row r="9999" spans="1:5" ht="15" customHeight="1" outlineLevel="2" x14ac:dyDescent="0.25">
      <c r="A9999" s="3" t="str">
        <f>HYPERLINK("http://mystore1.ru/price_items/search?utf8=%E2%9C%93&amp;oem=8527RCLV2FV","8527RCLV2FV")</f>
        <v>8527RCLV2FV</v>
      </c>
      <c r="B9999" s="1" t="s">
        <v>18987</v>
      </c>
      <c r="C9999" s="9" t="s">
        <v>9308</v>
      </c>
      <c r="D9999" s="14" t="s">
        <v>18988</v>
      </c>
      <c r="E9999" s="9" t="s">
        <v>11</v>
      </c>
    </row>
    <row r="10000" spans="1:5" outlineLevel="1" x14ac:dyDescent="0.25">
      <c r="A10000" s="2"/>
      <c r="B10000" s="6" t="s">
        <v>18989</v>
      </c>
      <c r="C10000" s="7"/>
      <c r="D10000" s="8"/>
      <c r="E10000" s="8"/>
    </row>
    <row r="10001" spans="1:5" ht="15" customHeight="1" outlineLevel="2" x14ac:dyDescent="0.25">
      <c r="A10001" s="3" t="str">
        <f>HYPERLINK("http://mystore1.ru/price_items/search?utf8=%E2%9C%93&amp;oem=8537ACL","8537ACL")</f>
        <v>8537ACL</v>
      </c>
      <c r="B10001" s="1" t="s">
        <v>18990</v>
      </c>
      <c r="C10001" s="9" t="s">
        <v>18991</v>
      </c>
      <c r="D10001" s="14" t="s">
        <v>18992</v>
      </c>
      <c r="E10001" s="9" t="s">
        <v>8</v>
      </c>
    </row>
    <row r="10002" spans="1:5" ht="15" customHeight="1" outlineLevel="2" x14ac:dyDescent="0.25">
      <c r="A10002" s="3" t="str">
        <f>HYPERLINK("http://mystore1.ru/price_items/search?utf8=%E2%9C%93&amp;oem=8537ACL1B","8537ACL1B")</f>
        <v>8537ACL1B</v>
      </c>
      <c r="B10002" s="1" t="s">
        <v>18993</v>
      </c>
      <c r="C10002" s="9" t="s">
        <v>439</v>
      </c>
      <c r="D10002" s="14" t="s">
        <v>18994</v>
      </c>
      <c r="E10002" s="9" t="s">
        <v>8</v>
      </c>
    </row>
    <row r="10003" spans="1:5" ht="15" customHeight="1" outlineLevel="2" x14ac:dyDescent="0.25">
      <c r="A10003" s="3" t="str">
        <f>HYPERLINK("http://mystore1.ru/price_items/search?utf8=%E2%9C%93&amp;oem=8537ACLA1B","8537ACLA1B")</f>
        <v>8537ACLA1B</v>
      </c>
      <c r="B10003" s="1" t="s">
        <v>18995</v>
      </c>
      <c r="C10003" s="9" t="s">
        <v>18991</v>
      </c>
      <c r="D10003" s="14" t="s">
        <v>18996</v>
      </c>
      <c r="E10003" s="9" t="s">
        <v>8</v>
      </c>
    </row>
    <row r="10004" spans="1:5" ht="15" customHeight="1" outlineLevel="2" x14ac:dyDescent="0.25">
      <c r="A10004" s="3" t="str">
        <f>HYPERLINK("http://mystore1.ru/price_items/search?utf8=%E2%9C%93&amp;oem=8537ACLGY1B","8537ACLGY1B")</f>
        <v>8537ACLGY1B</v>
      </c>
      <c r="B10004" s="1" t="s">
        <v>18997</v>
      </c>
      <c r="C10004" s="9" t="s">
        <v>439</v>
      </c>
      <c r="D10004" s="14" t="s">
        <v>18998</v>
      </c>
      <c r="E10004" s="9" t="s">
        <v>8</v>
      </c>
    </row>
    <row r="10005" spans="1:5" ht="15" customHeight="1" outlineLevel="2" x14ac:dyDescent="0.25">
      <c r="A10005" s="3" t="str">
        <f>HYPERLINK("http://mystore1.ru/price_items/search?utf8=%E2%9C%93&amp;oem=8537ACLGYA1B","8537ACLGYA1B")</f>
        <v>8537ACLGYA1B</v>
      </c>
      <c r="B10005" s="1" t="s">
        <v>18999</v>
      </c>
      <c r="C10005" s="9" t="s">
        <v>439</v>
      </c>
      <c r="D10005" s="14" t="s">
        <v>19000</v>
      </c>
      <c r="E10005" s="9" t="s">
        <v>8</v>
      </c>
    </row>
    <row r="10006" spans="1:5" ht="15" customHeight="1" outlineLevel="2" x14ac:dyDescent="0.25">
      <c r="A10006" s="3" t="str">
        <f>HYPERLINK("http://mystore1.ru/price_items/search?utf8=%E2%9C%93&amp;oem=8537AGN","8537AGN")</f>
        <v>8537AGN</v>
      </c>
      <c r="B10006" s="1" t="s">
        <v>19001</v>
      </c>
      <c r="C10006" s="9" t="s">
        <v>18991</v>
      </c>
      <c r="D10006" s="14" t="s">
        <v>19002</v>
      </c>
      <c r="E10006" s="9" t="s">
        <v>8</v>
      </c>
    </row>
    <row r="10007" spans="1:5" ht="15" customHeight="1" outlineLevel="2" x14ac:dyDescent="0.25">
      <c r="A10007" s="3" t="str">
        <f>HYPERLINK("http://mystore1.ru/price_items/search?utf8=%E2%9C%93&amp;oem=8537AGN1B","8537AGN1B")</f>
        <v>8537AGN1B</v>
      </c>
      <c r="B10007" s="1" t="s">
        <v>19003</v>
      </c>
      <c r="C10007" s="9" t="s">
        <v>439</v>
      </c>
      <c r="D10007" s="14" t="s">
        <v>19004</v>
      </c>
      <c r="E10007" s="9" t="s">
        <v>8</v>
      </c>
    </row>
    <row r="10008" spans="1:5" ht="15" customHeight="1" outlineLevel="2" x14ac:dyDescent="0.25">
      <c r="A10008" s="3" t="str">
        <f>HYPERLINK("http://mystore1.ru/price_items/search?utf8=%E2%9C%93&amp;oem=8537AGNA1B","8537AGNA1B")</f>
        <v>8537AGNA1B</v>
      </c>
      <c r="B10008" s="1" t="s">
        <v>19005</v>
      </c>
      <c r="C10008" s="9" t="s">
        <v>18991</v>
      </c>
      <c r="D10008" s="14" t="s">
        <v>19006</v>
      </c>
      <c r="E10008" s="9" t="s">
        <v>8</v>
      </c>
    </row>
    <row r="10009" spans="1:5" ht="15" customHeight="1" outlineLevel="2" x14ac:dyDescent="0.25">
      <c r="A10009" s="3" t="str">
        <f>HYPERLINK("http://mystore1.ru/price_items/search?utf8=%E2%9C%93&amp;oem=8537AGNBL","8537AGNBL")</f>
        <v>8537AGNBL</v>
      </c>
      <c r="B10009" s="1" t="s">
        <v>19007</v>
      </c>
      <c r="C10009" s="9" t="s">
        <v>18991</v>
      </c>
      <c r="D10009" s="14" t="s">
        <v>19008</v>
      </c>
      <c r="E10009" s="9" t="s">
        <v>8</v>
      </c>
    </row>
    <row r="10010" spans="1:5" ht="15" customHeight="1" outlineLevel="2" x14ac:dyDescent="0.25">
      <c r="A10010" s="3" t="str">
        <f>HYPERLINK("http://mystore1.ru/price_items/search?utf8=%E2%9C%93&amp;oem=8537AGNBL1B","8537AGNBL1B")</f>
        <v>8537AGNBL1B</v>
      </c>
      <c r="B10010" s="1" t="s">
        <v>19009</v>
      </c>
      <c r="C10010" s="9" t="s">
        <v>439</v>
      </c>
      <c r="D10010" s="14" t="s">
        <v>19010</v>
      </c>
      <c r="E10010" s="9" t="s">
        <v>8</v>
      </c>
    </row>
    <row r="10011" spans="1:5" ht="15" customHeight="1" outlineLevel="2" x14ac:dyDescent="0.25">
      <c r="A10011" s="3" t="str">
        <f>HYPERLINK("http://mystore1.ru/price_items/search?utf8=%E2%9C%93&amp;oem=8537AGNBLA1B","8537AGNBLA1B")</f>
        <v>8537AGNBLA1B</v>
      </c>
      <c r="B10011" s="1" t="s">
        <v>19011</v>
      </c>
      <c r="C10011" s="9" t="s">
        <v>18991</v>
      </c>
      <c r="D10011" s="14" t="s">
        <v>19012</v>
      </c>
      <c r="E10011" s="9" t="s">
        <v>8</v>
      </c>
    </row>
    <row r="10012" spans="1:5" ht="15" customHeight="1" outlineLevel="2" x14ac:dyDescent="0.25">
      <c r="A10012" s="3" t="str">
        <f>HYPERLINK("http://mystore1.ru/price_items/search?utf8=%E2%9C%93&amp;oem=8537AGNGN","8537AGNGN")</f>
        <v>8537AGNGN</v>
      </c>
      <c r="B10012" s="1" t="s">
        <v>19013</v>
      </c>
      <c r="C10012" s="9" t="s">
        <v>18991</v>
      </c>
      <c r="D10012" s="14" t="s">
        <v>19014</v>
      </c>
      <c r="E10012" s="9" t="s">
        <v>8</v>
      </c>
    </row>
    <row r="10013" spans="1:5" ht="15" customHeight="1" outlineLevel="2" x14ac:dyDescent="0.25">
      <c r="A10013" s="3" t="str">
        <f>HYPERLINK("http://mystore1.ru/price_items/search?utf8=%E2%9C%93&amp;oem=8537AGNGN1B","8537AGNGN1B")</f>
        <v>8537AGNGN1B</v>
      </c>
      <c r="B10013" s="1" t="s">
        <v>19015</v>
      </c>
      <c r="C10013" s="9" t="s">
        <v>439</v>
      </c>
      <c r="D10013" s="14" t="s">
        <v>19016</v>
      </c>
      <c r="E10013" s="9" t="s">
        <v>8</v>
      </c>
    </row>
    <row r="10014" spans="1:5" ht="15" customHeight="1" outlineLevel="2" x14ac:dyDescent="0.25">
      <c r="A10014" s="3" t="str">
        <f>HYPERLINK("http://mystore1.ru/price_items/search?utf8=%E2%9C%93&amp;oem=8537AGNGNA1B","8537AGNGNA1B")</f>
        <v>8537AGNGNA1B</v>
      </c>
      <c r="B10014" s="1" t="s">
        <v>19017</v>
      </c>
      <c r="C10014" s="9" t="s">
        <v>18991</v>
      </c>
      <c r="D10014" s="14" t="s">
        <v>19018</v>
      </c>
      <c r="E10014" s="9" t="s">
        <v>8</v>
      </c>
    </row>
    <row r="10015" spans="1:5" ht="15" customHeight="1" outlineLevel="2" x14ac:dyDescent="0.25">
      <c r="A10015" s="3" t="str">
        <f>HYPERLINK("http://mystore1.ru/price_items/search?utf8=%E2%9C%93&amp;oem=8537AGNGY1B","8537AGNGY1B")</f>
        <v>8537AGNGY1B</v>
      </c>
      <c r="B10015" s="1" t="s">
        <v>19019</v>
      </c>
      <c r="C10015" s="9" t="s">
        <v>439</v>
      </c>
      <c r="D10015" s="14" t="s">
        <v>19020</v>
      </c>
      <c r="E10015" s="9" t="s">
        <v>8</v>
      </c>
    </row>
    <row r="10016" spans="1:5" ht="15" customHeight="1" outlineLevel="2" x14ac:dyDescent="0.25">
      <c r="A10016" s="3" t="str">
        <f>HYPERLINK("http://mystore1.ru/price_items/search?utf8=%E2%9C%93&amp;oem=8537AGNGYA1B","8537AGNGYA1B")</f>
        <v>8537AGNGYA1B</v>
      </c>
      <c r="B10016" s="1" t="s">
        <v>19021</v>
      </c>
      <c r="C10016" s="9" t="s">
        <v>18991</v>
      </c>
      <c r="D10016" s="14" t="s">
        <v>19022</v>
      </c>
      <c r="E10016" s="9" t="s">
        <v>8</v>
      </c>
    </row>
    <row r="10017" spans="1:5" ht="15" customHeight="1" outlineLevel="2" x14ac:dyDescent="0.25">
      <c r="A10017" s="3" t="str">
        <f>HYPERLINK("http://mystore1.ru/price_items/search?utf8=%E2%9C%93&amp;oem=8537ASMV","8537ASMV")</f>
        <v>8537ASMV</v>
      </c>
      <c r="B10017" s="1" t="s">
        <v>19023</v>
      </c>
      <c r="C10017" s="9" t="s">
        <v>25</v>
      </c>
      <c r="D10017" s="14" t="s">
        <v>19024</v>
      </c>
      <c r="E10017" s="9" t="s">
        <v>27</v>
      </c>
    </row>
    <row r="10018" spans="1:5" ht="15" customHeight="1" outlineLevel="2" x14ac:dyDescent="0.25">
      <c r="A10018" s="3" t="str">
        <f>HYPERLINK("http://mystore1.ru/price_items/search?utf8=%E2%9C%93&amp;oem=8537BCLP","8537BCLP")</f>
        <v>8537BCLP</v>
      </c>
      <c r="B10018" s="1" t="s">
        <v>19025</v>
      </c>
      <c r="C10018" s="9" t="s">
        <v>18991</v>
      </c>
      <c r="D10018" s="14" t="s">
        <v>19026</v>
      </c>
      <c r="E10018" s="9" t="s">
        <v>30</v>
      </c>
    </row>
    <row r="10019" spans="1:5" ht="15" customHeight="1" outlineLevel="2" x14ac:dyDescent="0.25">
      <c r="A10019" s="3" t="str">
        <f>HYPERLINK("http://mystore1.ru/price_items/search?utf8=%E2%9C%93&amp;oem=8537BCLV","8537BCLV")</f>
        <v>8537BCLV</v>
      </c>
      <c r="B10019" s="1" t="s">
        <v>19027</v>
      </c>
      <c r="C10019" s="9" t="s">
        <v>18991</v>
      </c>
      <c r="D10019" s="14" t="s">
        <v>19028</v>
      </c>
      <c r="E10019" s="9" t="s">
        <v>30</v>
      </c>
    </row>
    <row r="10020" spans="1:5" ht="15" customHeight="1" outlineLevel="2" x14ac:dyDescent="0.25">
      <c r="A10020" s="3" t="str">
        <f>HYPERLINK("http://mystore1.ru/price_items/search?utf8=%E2%9C%93&amp;oem=8537BCLVBL","8537BCLVBL")</f>
        <v>8537BCLVBL</v>
      </c>
      <c r="B10020" s="1" t="s">
        <v>19029</v>
      </c>
      <c r="C10020" s="9" t="s">
        <v>18991</v>
      </c>
      <c r="D10020" s="14" t="s">
        <v>19030</v>
      </c>
      <c r="E10020" s="9" t="s">
        <v>30</v>
      </c>
    </row>
    <row r="10021" spans="1:5" ht="15" customHeight="1" outlineLevel="2" x14ac:dyDescent="0.25">
      <c r="A10021" s="3" t="str">
        <f>HYPERLINK("http://mystore1.ru/price_items/search?utf8=%E2%9C%93&amp;oem=8537BCLVL","8537BCLVL")</f>
        <v>8537BCLVL</v>
      </c>
      <c r="B10021" s="1" t="s">
        <v>19031</v>
      </c>
      <c r="C10021" s="9" t="s">
        <v>18991</v>
      </c>
      <c r="D10021" s="14" t="s">
        <v>19032</v>
      </c>
      <c r="E10021" s="9" t="s">
        <v>30</v>
      </c>
    </row>
    <row r="10022" spans="1:5" ht="15" customHeight="1" outlineLevel="2" x14ac:dyDescent="0.25">
      <c r="A10022" s="3" t="str">
        <f>HYPERLINK("http://mystore1.ru/price_items/search?utf8=%E2%9C%93&amp;oem=8537BCLVL1J","8537BCLVL1J")</f>
        <v>8537BCLVL1J</v>
      </c>
      <c r="B10022" s="1" t="s">
        <v>19033</v>
      </c>
      <c r="C10022" s="9" t="s">
        <v>18991</v>
      </c>
      <c r="D10022" s="14" t="s">
        <v>19034</v>
      </c>
      <c r="E10022" s="9" t="s">
        <v>30</v>
      </c>
    </row>
    <row r="10023" spans="1:5" ht="15" customHeight="1" outlineLevel="2" x14ac:dyDescent="0.25">
      <c r="A10023" s="3" t="str">
        <f>HYPERLINK("http://mystore1.ru/price_items/search?utf8=%E2%9C%93&amp;oem=8537BCLVLU","8537BCLVLU")</f>
        <v>8537BCLVLU</v>
      </c>
      <c r="B10023" s="1" t="s">
        <v>19035</v>
      </c>
      <c r="C10023" s="9" t="s">
        <v>18991</v>
      </c>
      <c r="D10023" s="14" t="s">
        <v>19032</v>
      </c>
      <c r="E10023" s="9" t="s">
        <v>30</v>
      </c>
    </row>
    <row r="10024" spans="1:5" ht="15" customHeight="1" outlineLevel="2" x14ac:dyDescent="0.25">
      <c r="A10024" s="3" t="str">
        <f>HYPERLINK("http://mystore1.ru/price_items/search?utf8=%E2%9C%93&amp;oem=8537BCLVR","8537BCLVR")</f>
        <v>8537BCLVR</v>
      </c>
      <c r="B10024" s="1" t="s">
        <v>19036</v>
      </c>
      <c r="C10024" s="9" t="s">
        <v>18991</v>
      </c>
      <c r="D10024" s="14" t="s">
        <v>19037</v>
      </c>
      <c r="E10024" s="9" t="s">
        <v>30</v>
      </c>
    </row>
    <row r="10025" spans="1:5" ht="15" customHeight="1" outlineLevel="2" x14ac:dyDescent="0.25">
      <c r="A10025" s="3" t="str">
        <f>HYPERLINK("http://mystore1.ru/price_items/search?utf8=%E2%9C%93&amp;oem=8537BCLVR1J","8537BCLVR1J")</f>
        <v>8537BCLVR1J</v>
      </c>
      <c r="B10025" s="1" t="s">
        <v>19038</v>
      </c>
      <c r="C10025" s="9" t="s">
        <v>18991</v>
      </c>
      <c r="D10025" s="14" t="s">
        <v>19039</v>
      </c>
      <c r="E10025" s="9" t="s">
        <v>30</v>
      </c>
    </row>
    <row r="10026" spans="1:5" ht="15" customHeight="1" outlineLevel="2" x14ac:dyDescent="0.25">
      <c r="A10026" s="3" t="str">
        <f>HYPERLINK("http://mystore1.ru/price_items/search?utf8=%E2%9C%93&amp;oem=8537BCLVRU","8537BCLVRU")</f>
        <v>8537BCLVRU</v>
      </c>
      <c r="B10026" s="1" t="s">
        <v>19040</v>
      </c>
      <c r="C10026" s="9" t="s">
        <v>18991</v>
      </c>
      <c r="D10026" s="14" t="s">
        <v>19041</v>
      </c>
      <c r="E10026" s="9" t="s">
        <v>30</v>
      </c>
    </row>
    <row r="10027" spans="1:5" ht="15" customHeight="1" outlineLevel="2" x14ac:dyDescent="0.25">
      <c r="A10027" s="3" t="str">
        <f>HYPERLINK("http://mystore1.ru/price_items/search?utf8=%E2%9C%93&amp;oem=8537BCLVU","8537BCLVU")</f>
        <v>8537BCLVU</v>
      </c>
      <c r="B10027" s="1" t="s">
        <v>19042</v>
      </c>
      <c r="C10027" s="9" t="s">
        <v>18991</v>
      </c>
      <c r="D10027" s="14" t="s">
        <v>19043</v>
      </c>
      <c r="E10027" s="9" t="s">
        <v>30</v>
      </c>
    </row>
    <row r="10028" spans="1:5" ht="15" customHeight="1" outlineLevel="2" x14ac:dyDescent="0.25">
      <c r="A10028" s="3" t="str">
        <f>HYPERLINK("http://mystore1.ru/price_items/search?utf8=%E2%9C%93&amp;oem=8537BGNV","8537BGNV")</f>
        <v>8537BGNV</v>
      </c>
      <c r="B10028" s="1" t="s">
        <v>19044</v>
      </c>
      <c r="C10028" s="9" t="s">
        <v>18991</v>
      </c>
      <c r="D10028" s="14" t="s">
        <v>19045</v>
      </c>
      <c r="E10028" s="9" t="s">
        <v>30</v>
      </c>
    </row>
    <row r="10029" spans="1:5" ht="15" customHeight="1" outlineLevel="2" x14ac:dyDescent="0.25">
      <c r="A10029" s="3" t="str">
        <f>HYPERLINK("http://mystore1.ru/price_items/search?utf8=%E2%9C%93&amp;oem=8537BGNVBL","8537BGNVBL")</f>
        <v>8537BGNVBL</v>
      </c>
      <c r="B10029" s="1" t="s">
        <v>19046</v>
      </c>
      <c r="C10029" s="9" t="s">
        <v>18991</v>
      </c>
      <c r="D10029" s="14" t="s">
        <v>19047</v>
      </c>
      <c r="E10029" s="9" t="s">
        <v>30</v>
      </c>
    </row>
    <row r="10030" spans="1:5" ht="15" customHeight="1" outlineLevel="2" x14ac:dyDescent="0.25">
      <c r="A10030" s="3" t="str">
        <f>HYPERLINK("http://mystore1.ru/price_items/search?utf8=%E2%9C%93&amp;oem=8537BGNVL","8537BGNVL")</f>
        <v>8537BGNVL</v>
      </c>
      <c r="B10030" s="1" t="s">
        <v>19048</v>
      </c>
      <c r="C10030" s="9" t="s">
        <v>18991</v>
      </c>
      <c r="D10030" s="14" t="s">
        <v>19049</v>
      </c>
      <c r="E10030" s="9" t="s">
        <v>30</v>
      </c>
    </row>
    <row r="10031" spans="1:5" ht="15" customHeight="1" outlineLevel="2" x14ac:dyDescent="0.25">
      <c r="A10031" s="3" t="str">
        <f>HYPERLINK("http://mystore1.ru/price_items/search?utf8=%E2%9C%93&amp;oem=8537BGNVR","8537BGNVR")</f>
        <v>8537BGNVR</v>
      </c>
      <c r="B10031" s="1" t="s">
        <v>19050</v>
      </c>
      <c r="C10031" s="9" t="s">
        <v>18991</v>
      </c>
      <c r="D10031" s="14" t="s">
        <v>19051</v>
      </c>
      <c r="E10031" s="9" t="s">
        <v>30</v>
      </c>
    </row>
    <row r="10032" spans="1:5" ht="15" customHeight="1" outlineLevel="2" x14ac:dyDescent="0.25">
      <c r="A10032" s="3" t="str">
        <f>HYPERLINK("http://mystore1.ru/price_items/search?utf8=%E2%9C%93&amp;oem=8537BSMV","8537BSMV")</f>
        <v>8537BSMV</v>
      </c>
      <c r="B10032" s="1" t="s">
        <v>19052</v>
      </c>
      <c r="C10032" s="9" t="s">
        <v>25</v>
      </c>
      <c r="D10032" s="14" t="s">
        <v>19053</v>
      </c>
      <c r="E10032" s="9" t="s">
        <v>27</v>
      </c>
    </row>
    <row r="10033" spans="1:5" ht="15" customHeight="1" outlineLevel="2" x14ac:dyDescent="0.25">
      <c r="A10033" s="3" t="str">
        <f>HYPERLINK("http://mystore1.ru/price_items/search?utf8=%E2%9C%93&amp;oem=8537FCLV3MQ","8537FCLV3MQ")</f>
        <v>8537FCLV3MQ</v>
      </c>
      <c r="B10033" s="1" t="s">
        <v>19054</v>
      </c>
      <c r="C10033" s="9" t="s">
        <v>18991</v>
      </c>
      <c r="D10033" s="14" t="s">
        <v>19055</v>
      </c>
      <c r="E10033" s="9" t="s">
        <v>11</v>
      </c>
    </row>
    <row r="10034" spans="1:5" ht="15" customHeight="1" outlineLevel="2" x14ac:dyDescent="0.25">
      <c r="A10034" s="3" t="str">
        <f>HYPERLINK("http://mystore1.ru/price_items/search?utf8=%E2%9C%93&amp;oem=8537FCLV3MQ1B","8537FCLV3MQ1B")</f>
        <v>8537FCLV3MQ1B</v>
      </c>
      <c r="B10034" s="1" t="s">
        <v>19056</v>
      </c>
      <c r="C10034" s="9" t="s">
        <v>18991</v>
      </c>
      <c r="D10034" s="14" t="s">
        <v>19057</v>
      </c>
      <c r="E10034" s="9" t="s">
        <v>11</v>
      </c>
    </row>
    <row r="10035" spans="1:5" ht="15" customHeight="1" outlineLevel="2" x14ac:dyDescent="0.25">
      <c r="A10035" s="3" t="str">
        <f>HYPERLINK("http://mystore1.ru/price_items/search?utf8=%E2%9C%93&amp;oem=8537FGNV3MQ","8537FGNV3MQ")</f>
        <v>8537FGNV3MQ</v>
      </c>
      <c r="B10035" s="1" t="s">
        <v>19058</v>
      </c>
      <c r="C10035" s="9" t="s">
        <v>18991</v>
      </c>
      <c r="D10035" s="14" t="s">
        <v>19059</v>
      </c>
      <c r="E10035" s="9" t="s">
        <v>11</v>
      </c>
    </row>
    <row r="10036" spans="1:5" ht="15" customHeight="1" outlineLevel="2" x14ac:dyDescent="0.25">
      <c r="A10036" s="3" t="str">
        <f>HYPERLINK("http://mystore1.ru/price_items/search?utf8=%E2%9C%93&amp;oem=8537FGNV3MQ1B","8537FGNV3MQ1B")</f>
        <v>8537FGNV3MQ1B</v>
      </c>
      <c r="B10036" s="1" t="s">
        <v>19060</v>
      </c>
      <c r="C10036" s="9" t="s">
        <v>18991</v>
      </c>
      <c r="D10036" s="14" t="s">
        <v>19061</v>
      </c>
      <c r="E10036" s="9" t="s">
        <v>11</v>
      </c>
    </row>
    <row r="10037" spans="1:5" ht="15" customHeight="1" outlineLevel="2" x14ac:dyDescent="0.25">
      <c r="A10037" s="3" t="str">
        <f>HYPERLINK("http://mystore1.ru/price_items/search?utf8=%E2%9C%93&amp;oem=8537LCLV2FD","8537LCLV2FD")</f>
        <v>8537LCLV2FD</v>
      </c>
      <c r="B10037" s="1" t="s">
        <v>19062</v>
      </c>
      <c r="C10037" s="9" t="s">
        <v>18991</v>
      </c>
      <c r="D10037" s="14" t="s">
        <v>19063</v>
      </c>
      <c r="E10037" s="9" t="s">
        <v>11</v>
      </c>
    </row>
    <row r="10038" spans="1:5" ht="15" customHeight="1" outlineLevel="2" x14ac:dyDescent="0.25">
      <c r="A10038" s="3" t="str">
        <f>HYPERLINK("http://mystore1.ru/price_items/search?utf8=%E2%9C%93&amp;oem=8537LCLV2RQ","8537LCLV2RQ")</f>
        <v>8537LCLV2RQ</v>
      </c>
      <c r="B10038" s="1" t="s">
        <v>19064</v>
      </c>
      <c r="C10038" s="9" t="s">
        <v>18991</v>
      </c>
      <c r="D10038" s="14" t="s">
        <v>19065</v>
      </c>
      <c r="E10038" s="9" t="s">
        <v>11</v>
      </c>
    </row>
    <row r="10039" spans="1:5" ht="15" customHeight="1" outlineLevel="2" x14ac:dyDescent="0.25">
      <c r="A10039" s="3" t="str">
        <f>HYPERLINK("http://mystore1.ru/price_items/search?utf8=%E2%9C%93&amp;oem=8537LCLV2RQ1J","8537LCLV2RQ1J")</f>
        <v>8537LCLV2RQ1J</v>
      </c>
      <c r="B10039" s="1" t="s">
        <v>19066</v>
      </c>
      <c r="C10039" s="9" t="s">
        <v>18991</v>
      </c>
      <c r="D10039" s="14" t="s">
        <v>19067</v>
      </c>
      <c r="E10039" s="9" t="s">
        <v>11</v>
      </c>
    </row>
    <row r="10040" spans="1:5" ht="15" customHeight="1" outlineLevel="2" x14ac:dyDescent="0.25">
      <c r="A10040" s="3" t="str">
        <f>HYPERLINK("http://mystore1.ru/price_items/search?utf8=%E2%9C%93&amp;oem=8537LCLV4MQ","8537LCLV4MQ")</f>
        <v>8537LCLV4MQ</v>
      </c>
      <c r="B10040" s="1" t="s">
        <v>19068</v>
      </c>
      <c r="C10040" s="9" t="s">
        <v>18991</v>
      </c>
      <c r="D10040" s="14" t="s">
        <v>19069</v>
      </c>
      <c r="E10040" s="9" t="s">
        <v>11</v>
      </c>
    </row>
    <row r="10041" spans="1:5" ht="15" customHeight="1" outlineLevel="2" x14ac:dyDescent="0.25">
      <c r="A10041" s="3" t="str">
        <f>HYPERLINK("http://mystore1.ru/price_items/search?utf8=%E2%9C%93&amp;oem=8537LGNV2FD","8537LGNV2FD")</f>
        <v>8537LGNV2FD</v>
      </c>
      <c r="B10041" s="1" t="s">
        <v>19070</v>
      </c>
      <c r="C10041" s="9" t="s">
        <v>18991</v>
      </c>
      <c r="D10041" s="14" t="s">
        <v>19071</v>
      </c>
      <c r="E10041" s="9" t="s">
        <v>11</v>
      </c>
    </row>
    <row r="10042" spans="1:5" ht="15" customHeight="1" outlineLevel="2" x14ac:dyDescent="0.25">
      <c r="A10042" s="3" t="str">
        <f>HYPERLINK("http://mystore1.ru/price_items/search?utf8=%E2%9C%93&amp;oem=8537LGNV2RQ","8537LGNV2RQ")</f>
        <v>8537LGNV2RQ</v>
      </c>
      <c r="B10042" s="1" t="s">
        <v>19072</v>
      </c>
      <c r="C10042" s="9" t="s">
        <v>18991</v>
      </c>
      <c r="D10042" s="14" t="s">
        <v>19073</v>
      </c>
      <c r="E10042" s="9" t="s">
        <v>11</v>
      </c>
    </row>
    <row r="10043" spans="1:5" ht="15" customHeight="1" outlineLevel="2" x14ac:dyDescent="0.25">
      <c r="A10043" s="3" t="str">
        <f>HYPERLINK("http://mystore1.ru/price_items/search?utf8=%E2%9C%93&amp;oem=8537LGNV2RQ1J","8537LGNV2RQ1J")</f>
        <v>8537LGNV2RQ1J</v>
      </c>
      <c r="B10043" s="1" t="s">
        <v>19074</v>
      </c>
      <c r="C10043" s="9" t="s">
        <v>18991</v>
      </c>
      <c r="D10043" s="14" t="s">
        <v>19075</v>
      </c>
      <c r="E10043" s="9" t="s">
        <v>11</v>
      </c>
    </row>
    <row r="10044" spans="1:5" ht="15" customHeight="1" outlineLevel="2" x14ac:dyDescent="0.25">
      <c r="A10044" s="3" t="str">
        <f>HYPERLINK("http://mystore1.ru/price_items/search?utf8=%E2%9C%93&amp;oem=8537RCLV2FD","8537RCLV2FD")</f>
        <v>8537RCLV2FD</v>
      </c>
      <c r="B10044" s="1" t="s">
        <v>19076</v>
      </c>
      <c r="C10044" s="9" t="s">
        <v>18991</v>
      </c>
      <c r="D10044" s="14" t="s">
        <v>19077</v>
      </c>
      <c r="E10044" s="9" t="s">
        <v>11</v>
      </c>
    </row>
    <row r="10045" spans="1:5" ht="15" customHeight="1" outlineLevel="2" x14ac:dyDescent="0.25">
      <c r="A10045" s="3" t="str">
        <f>HYPERLINK("http://mystore1.ru/price_items/search?utf8=%E2%9C%93&amp;oem=8537RCLV2RQ","8537RCLV2RQ")</f>
        <v>8537RCLV2RQ</v>
      </c>
      <c r="B10045" s="1" t="s">
        <v>19078</v>
      </c>
      <c r="C10045" s="9" t="s">
        <v>18991</v>
      </c>
      <c r="D10045" s="14" t="s">
        <v>19079</v>
      </c>
      <c r="E10045" s="9" t="s">
        <v>11</v>
      </c>
    </row>
    <row r="10046" spans="1:5" ht="15" customHeight="1" outlineLevel="2" x14ac:dyDescent="0.25">
      <c r="A10046" s="3" t="str">
        <f>HYPERLINK("http://mystore1.ru/price_items/search?utf8=%E2%9C%93&amp;oem=8537RCLV2RQ1J","8537RCLV2RQ1J")</f>
        <v>8537RCLV2RQ1J</v>
      </c>
      <c r="B10046" s="1" t="s">
        <v>19080</v>
      </c>
      <c r="C10046" s="9" t="s">
        <v>18991</v>
      </c>
      <c r="D10046" s="14" t="s">
        <v>19079</v>
      </c>
      <c r="E10046" s="9" t="s">
        <v>11</v>
      </c>
    </row>
    <row r="10047" spans="1:5" ht="15" customHeight="1" outlineLevel="2" x14ac:dyDescent="0.25">
      <c r="A10047" s="3" t="str">
        <f>HYPERLINK("http://mystore1.ru/price_items/search?utf8=%E2%9C%93&amp;oem=8537RGNV2FD","8537RGNV2FD")</f>
        <v>8537RGNV2FD</v>
      </c>
      <c r="B10047" s="1" t="s">
        <v>19081</v>
      </c>
      <c r="C10047" s="9" t="s">
        <v>18991</v>
      </c>
      <c r="D10047" s="14" t="s">
        <v>19082</v>
      </c>
      <c r="E10047" s="9" t="s">
        <v>11</v>
      </c>
    </row>
    <row r="10048" spans="1:5" ht="15" customHeight="1" outlineLevel="2" x14ac:dyDescent="0.25">
      <c r="A10048" s="3" t="str">
        <f>HYPERLINK("http://mystore1.ru/price_items/search?utf8=%E2%9C%93&amp;oem=8537RGNV2RQ","8537RGNV2RQ")</f>
        <v>8537RGNV2RQ</v>
      </c>
      <c r="B10048" s="1" t="s">
        <v>19083</v>
      </c>
      <c r="C10048" s="9" t="s">
        <v>18991</v>
      </c>
      <c r="D10048" s="14" t="s">
        <v>19084</v>
      </c>
      <c r="E10048" s="9" t="s">
        <v>11</v>
      </c>
    </row>
    <row r="10049" spans="1:5" ht="15" customHeight="1" outlineLevel="2" x14ac:dyDescent="0.25">
      <c r="A10049" s="3" t="str">
        <f>HYPERLINK("http://mystore1.ru/price_items/search?utf8=%E2%9C%93&amp;oem=8537RGNV2RQ1J","8537RGNV2RQ1J")</f>
        <v>8537RGNV2RQ1J</v>
      </c>
      <c r="B10049" s="1" t="s">
        <v>19085</v>
      </c>
      <c r="C10049" s="9" t="s">
        <v>18991</v>
      </c>
      <c r="D10049" s="14" t="s">
        <v>19086</v>
      </c>
      <c r="E10049" s="9" t="s">
        <v>11</v>
      </c>
    </row>
    <row r="10050" spans="1:5" outlineLevel="1" x14ac:dyDescent="0.25">
      <c r="A10050" s="2"/>
      <c r="B10050" s="6" t="s">
        <v>19087</v>
      </c>
      <c r="C10050" s="7"/>
      <c r="D10050" s="8"/>
      <c r="E10050" s="8"/>
    </row>
    <row r="10051" spans="1:5" ht="15" customHeight="1" outlineLevel="2" x14ac:dyDescent="0.25">
      <c r="A10051" s="3" t="str">
        <f>HYPERLINK("http://mystore1.ru/price_items/search?utf8=%E2%9C%93&amp;oem=8579AGSAVZ1B","8579AGSAVZ1B")</f>
        <v>8579AGSAVZ1B</v>
      </c>
      <c r="B10051" s="1" t="s">
        <v>19088</v>
      </c>
      <c r="C10051" s="9" t="s">
        <v>1408</v>
      </c>
      <c r="D10051" s="14" t="s">
        <v>19089</v>
      </c>
      <c r="E10051" s="9" t="s">
        <v>8</v>
      </c>
    </row>
    <row r="10052" spans="1:5" ht="15" customHeight="1" outlineLevel="2" x14ac:dyDescent="0.25">
      <c r="A10052" s="3" t="str">
        <f>HYPERLINK("http://mystore1.ru/price_items/search?utf8=%E2%9C%93&amp;oem=8579AGSMVZ1B","8579AGSMVZ1B")</f>
        <v>8579AGSMVZ1B</v>
      </c>
      <c r="B10052" s="1" t="s">
        <v>19090</v>
      </c>
      <c r="C10052" s="9" t="s">
        <v>1408</v>
      </c>
      <c r="D10052" s="14" t="s">
        <v>19091</v>
      </c>
      <c r="E10052" s="9" t="s">
        <v>8</v>
      </c>
    </row>
    <row r="10053" spans="1:5" ht="15" customHeight="1" outlineLevel="2" x14ac:dyDescent="0.25">
      <c r="A10053" s="3" t="str">
        <f>HYPERLINK("http://mystore1.ru/price_items/search?utf8=%E2%9C%93&amp;oem=8579AGSAMVZ1B","8579AGSAMVZ1B")</f>
        <v>8579AGSAMVZ1B</v>
      </c>
      <c r="B10053" s="1" t="s">
        <v>19092</v>
      </c>
      <c r="C10053" s="9" t="s">
        <v>1408</v>
      </c>
      <c r="D10053" s="14" t="s">
        <v>19093</v>
      </c>
      <c r="E10053" s="9" t="s">
        <v>8</v>
      </c>
    </row>
    <row r="10054" spans="1:5" ht="15" customHeight="1" outlineLevel="2" x14ac:dyDescent="0.25">
      <c r="A10054" s="3" t="str">
        <f>HYPERLINK("http://mystore1.ru/price_items/search?utf8=%E2%9C%93&amp;oem=8579AGSGYAMVZ1B","8579AGSGYAMVZ1B")</f>
        <v>8579AGSGYAMVZ1B</v>
      </c>
      <c r="B10054" s="1" t="s">
        <v>19094</v>
      </c>
      <c r="C10054" s="9" t="s">
        <v>1408</v>
      </c>
      <c r="D10054" s="14" t="s">
        <v>19095</v>
      </c>
      <c r="E10054" s="9" t="s">
        <v>8</v>
      </c>
    </row>
    <row r="10055" spans="1:5" ht="15" customHeight="1" outlineLevel="2" x14ac:dyDescent="0.25">
      <c r="A10055" s="3" t="str">
        <f>HYPERLINK("http://mystore1.ru/price_items/search?utf8=%E2%9C%93&amp;oem=8579AGSGYAVZ","8579AGSGYAVZ")</f>
        <v>8579AGSGYAVZ</v>
      </c>
      <c r="B10055" s="1" t="s">
        <v>19096</v>
      </c>
      <c r="C10055" s="9" t="s">
        <v>1408</v>
      </c>
      <c r="D10055" s="14" t="s">
        <v>19097</v>
      </c>
      <c r="E10055" s="9" t="s">
        <v>8</v>
      </c>
    </row>
    <row r="10056" spans="1:5" ht="15" customHeight="1" outlineLevel="2" x14ac:dyDescent="0.25">
      <c r="A10056" s="3" t="str">
        <f>HYPERLINK("http://mystore1.ru/price_items/search?utf8=%E2%9C%93&amp;oem=8579AGSGYAVZ1B","8579AGSGYAVZ1B")</f>
        <v>8579AGSGYAVZ1B</v>
      </c>
      <c r="B10056" s="1" t="s">
        <v>19098</v>
      </c>
      <c r="C10056" s="9" t="s">
        <v>1408</v>
      </c>
      <c r="D10056" s="14" t="s">
        <v>19099</v>
      </c>
      <c r="E10056" s="9" t="s">
        <v>8</v>
      </c>
    </row>
    <row r="10057" spans="1:5" ht="15" customHeight="1" outlineLevel="2" x14ac:dyDescent="0.25">
      <c r="A10057" s="3" t="str">
        <f>HYPERLINK("http://mystore1.ru/price_items/search?utf8=%E2%9C%93&amp;oem=8579AGSGYMVZ1B","8579AGSGYMVZ1B")</f>
        <v>8579AGSGYMVZ1B</v>
      </c>
      <c r="B10057" s="1" t="s">
        <v>19100</v>
      </c>
      <c r="C10057" s="9" t="s">
        <v>1408</v>
      </c>
      <c r="D10057" s="14" t="s">
        <v>19101</v>
      </c>
      <c r="E10057" s="9" t="s">
        <v>8</v>
      </c>
    </row>
    <row r="10058" spans="1:5" ht="15" customHeight="1" outlineLevel="2" x14ac:dyDescent="0.25">
      <c r="A10058" s="3" t="str">
        <f>HYPERLINK("http://mystore1.ru/price_items/search?utf8=%E2%9C%93&amp;oem=8579AGSGYVZ1B","8579AGSGYVZ1B")</f>
        <v>8579AGSGYVZ1B</v>
      </c>
      <c r="B10058" s="1" t="s">
        <v>19102</v>
      </c>
      <c r="C10058" s="9" t="s">
        <v>1408</v>
      </c>
      <c r="D10058" s="14" t="s">
        <v>19103</v>
      </c>
      <c r="E10058" s="9" t="s">
        <v>8</v>
      </c>
    </row>
    <row r="10059" spans="1:5" ht="15" customHeight="1" outlineLevel="2" x14ac:dyDescent="0.25">
      <c r="A10059" s="3" t="str">
        <f>HYPERLINK("http://mystore1.ru/price_items/search?utf8=%E2%9C%93&amp;oem=8579BGSVL","8579BGSVL")</f>
        <v>8579BGSVL</v>
      </c>
      <c r="B10059" s="1" t="s">
        <v>19104</v>
      </c>
      <c r="C10059" s="9" t="s">
        <v>1408</v>
      </c>
      <c r="D10059" s="14" t="s">
        <v>19105</v>
      </c>
      <c r="E10059" s="9" t="s">
        <v>30</v>
      </c>
    </row>
    <row r="10060" spans="1:5" ht="15" customHeight="1" outlineLevel="2" x14ac:dyDescent="0.25">
      <c r="A10060" s="3" t="str">
        <f>HYPERLINK("http://mystore1.ru/price_items/search?utf8=%E2%9C%93&amp;oem=8579BGSVR","8579BGSVR")</f>
        <v>8579BGSVR</v>
      </c>
      <c r="B10060" s="1" t="s">
        <v>19106</v>
      </c>
      <c r="C10060" s="9" t="s">
        <v>1408</v>
      </c>
      <c r="D10060" s="14" t="s">
        <v>19107</v>
      </c>
      <c r="E10060" s="9" t="s">
        <v>30</v>
      </c>
    </row>
    <row r="10061" spans="1:5" ht="15" customHeight="1" outlineLevel="2" x14ac:dyDescent="0.25">
      <c r="A10061" s="3" t="str">
        <f>HYPERLINK("http://mystore1.ru/price_items/search?utf8=%E2%9C%93&amp;oem=8579BGSVI","8579BGSVI")</f>
        <v>8579BGSVI</v>
      </c>
      <c r="B10061" s="1" t="s">
        <v>19108</v>
      </c>
      <c r="C10061" s="9" t="s">
        <v>1408</v>
      </c>
      <c r="D10061" s="14" t="s">
        <v>19109</v>
      </c>
      <c r="E10061" s="9" t="s">
        <v>30</v>
      </c>
    </row>
    <row r="10062" spans="1:5" ht="15" customHeight="1" outlineLevel="2" x14ac:dyDescent="0.25">
      <c r="A10062" s="3" t="str">
        <f>HYPERLINK("http://mystore1.ru/price_items/search?utf8=%E2%9C%93&amp;oem=8579BGSV1H","8579BGSV1H")</f>
        <v>8579BGSV1H</v>
      </c>
      <c r="B10062" s="1" t="s">
        <v>19110</v>
      </c>
      <c r="C10062" s="9" t="s">
        <v>1408</v>
      </c>
      <c r="D10062" s="14" t="s">
        <v>19109</v>
      </c>
      <c r="E10062" s="9" t="s">
        <v>30</v>
      </c>
    </row>
    <row r="10063" spans="1:5" ht="15" customHeight="1" outlineLevel="2" x14ac:dyDescent="0.25">
      <c r="A10063" s="3" t="str">
        <f>HYPERLINK("http://mystore1.ru/price_items/search?utf8=%E2%9C%93&amp;oem=8579LGSV2FD","8579LGSV2FD")</f>
        <v>8579LGSV2FD</v>
      </c>
      <c r="B10063" s="1" t="s">
        <v>19111</v>
      </c>
      <c r="C10063" s="9" t="s">
        <v>1408</v>
      </c>
      <c r="D10063" s="14" t="s">
        <v>19112</v>
      </c>
      <c r="E10063" s="9" t="s">
        <v>11</v>
      </c>
    </row>
    <row r="10064" spans="1:5" ht="15" customHeight="1" outlineLevel="2" x14ac:dyDescent="0.25">
      <c r="A10064" s="3" t="str">
        <f>HYPERLINK("http://mystore1.ru/price_items/search?utf8=%E2%9C%93&amp;oem=8579LGSV2MQ","8579LGSV2MQ")</f>
        <v>8579LGSV2MQ</v>
      </c>
      <c r="B10064" s="1" t="s">
        <v>19113</v>
      </c>
      <c r="C10064" s="9" t="s">
        <v>1408</v>
      </c>
      <c r="D10064" s="14" t="s">
        <v>19114</v>
      </c>
      <c r="E10064" s="9" t="s">
        <v>11</v>
      </c>
    </row>
    <row r="10065" spans="1:5" ht="15" customHeight="1" outlineLevel="2" x14ac:dyDescent="0.25">
      <c r="A10065" s="3" t="str">
        <f>HYPERLINK("http://mystore1.ru/price_items/search?utf8=%E2%9C%93&amp;oem=8579LGSV4RD","8579LGSV4RD")</f>
        <v>8579LGSV4RD</v>
      </c>
      <c r="B10065" s="1" t="s">
        <v>19115</v>
      </c>
      <c r="C10065" s="9" t="s">
        <v>1408</v>
      </c>
      <c r="D10065" s="14" t="s">
        <v>19116</v>
      </c>
      <c r="E10065" s="9" t="s">
        <v>11</v>
      </c>
    </row>
    <row r="10066" spans="1:5" ht="15" customHeight="1" outlineLevel="2" x14ac:dyDescent="0.25">
      <c r="A10066" s="3" t="str">
        <f>HYPERLINK("http://mystore1.ru/price_items/search?utf8=%E2%9C%93&amp;oem=8579LGSV4RQ","8579LGSV4RQ")</f>
        <v>8579LGSV4RQ</v>
      </c>
      <c r="B10066" s="1" t="s">
        <v>19117</v>
      </c>
      <c r="C10066" s="9" t="s">
        <v>1408</v>
      </c>
      <c r="D10066" s="14" t="s">
        <v>19118</v>
      </c>
      <c r="E10066" s="9" t="s">
        <v>11</v>
      </c>
    </row>
    <row r="10067" spans="1:5" ht="15" customHeight="1" outlineLevel="2" x14ac:dyDescent="0.25">
      <c r="A10067" s="3" t="str">
        <f>HYPERLINK("http://mystore1.ru/price_items/search?utf8=%E2%9C%93&amp;oem=8579LGSV4RQW1J","8579LGSV4RQW1J")</f>
        <v>8579LGSV4RQW1J</v>
      </c>
      <c r="B10067" s="1" t="s">
        <v>19119</v>
      </c>
      <c r="C10067" s="9" t="s">
        <v>1408</v>
      </c>
      <c r="D10067" s="14" t="s">
        <v>19120</v>
      </c>
      <c r="E10067" s="9" t="s">
        <v>11</v>
      </c>
    </row>
    <row r="10068" spans="1:5" ht="15" customHeight="1" outlineLevel="2" x14ac:dyDescent="0.25">
      <c r="A10068" s="3" t="str">
        <f>HYPERLINK("http://mystore1.ru/price_items/search?utf8=%E2%9C%93&amp;oem=8579LGPV4RQW1J","8579LGPV4RQW1J")</f>
        <v>8579LGPV4RQW1J</v>
      </c>
      <c r="B10068" s="1" t="s">
        <v>19121</v>
      </c>
      <c r="C10068" s="9" t="s">
        <v>1408</v>
      </c>
      <c r="D10068" s="14" t="s">
        <v>19122</v>
      </c>
      <c r="E10068" s="9" t="s">
        <v>11</v>
      </c>
    </row>
    <row r="10069" spans="1:5" ht="15" customHeight="1" outlineLevel="2" x14ac:dyDescent="0.25">
      <c r="A10069" s="3" t="str">
        <f>HYPERLINK("http://mystore1.ru/price_items/search?utf8=%E2%9C%93&amp;oem=8579RGSV2FD","8579RGSV2FD")</f>
        <v>8579RGSV2FD</v>
      </c>
      <c r="B10069" s="1" t="s">
        <v>19123</v>
      </c>
      <c r="C10069" s="9" t="s">
        <v>1408</v>
      </c>
      <c r="D10069" s="14" t="s">
        <v>19124</v>
      </c>
      <c r="E10069" s="9" t="s">
        <v>11</v>
      </c>
    </row>
    <row r="10070" spans="1:5" ht="15" customHeight="1" outlineLevel="2" x14ac:dyDescent="0.25">
      <c r="A10070" s="3" t="str">
        <f>HYPERLINK("http://mystore1.ru/price_items/search?utf8=%E2%9C%93&amp;oem=8579RGSV2MQ","8579RGSV2MQ")</f>
        <v>8579RGSV2MQ</v>
      </c>
      <c r="B10070" s="1" t="s">
        <v>19125</v>
      </c>
      <c r="C10070" s="9" t="s">
        <v>1408</v>
      </c>
      <c r="D10070" s="14" t="s">
        <v>19126</v>
      </c>
      <c r="E10070" s="9" t="s">
        <v>11</v>
      </c>
    </row>
    <row r="10071" spans="1:5" ht="15" customHeight="1" outlineLevel="2" x14ac:dyDescent="0.25">
      <c r="A10071" s="3" t="str">
        <f>HYPERLINK("http://mystore1.ru/price_items/search?utf8=%E2%9C%93&amp;oem=8579RGSV4RD","8579RGSV4RD")</f>
        <v>8579RGSV4RD</v>
      </c>
      <c r="B10071" s="1" t="s">
        <v>19127</v>
      </c>
      <c r="C10071" s="9" t="s">
        <v>1408</v>
      </c>
      <c r="D10071" s="14" t="s">
        <v>19128</v>
      </c>
      <c r="E10071" s="9" t="s">
        <v>11</v>
      </c>
    </row>
    <row r="10072" spans="1:5" ht="15" customHeight="1" outlineLevel="2" x14ac:dyDescent="0.25">
      <c r="A10072" s="3" t="str">
        <f>HYPERLINK("http://mystore1.ru/price_items/search?utf8=%E2%9C%93&amp;oem=8579RGSV4RQ","8579RGSV4RQ")</f>
        <v>8579RGSV4RQ</v>
      </c>
      <c r="B10072" s="1" t="s">
        <v>19129</v>
      </c>
      <c r="C10072" s="9" t="s">
        <v>1408</v>
      </c>
      <c r="D10072" s="14" t="s">
        <v>19130</v>
      </c>
      <c r="E10072" s="9" t="s">
        <v>11</v>
      </c>
    </row>
    <row r="10073" spans="1:5" ht="15" customHeight="1" outlineLevel="2" x14ac:dyDescent="0.25">
      <c r="A10073" s="3" t="str">
        <f>HYPERLINK("http://mystore1.ru/price_items/search?utf8=%E2%9C%93&amp;oem=8579RGSV4RQW1J","8579RGSV4RQW1J")</f>
        <v>8579RGSV4RQW1J</v>
      </c>
      <c r="B10073" s="1" t="s">
        <v>19131</v>
      </c>
      <c r="C10073" s="9" t="s">
        <v>1408</v>
      </c>
      <c r="D10073" s="14" t="s">
        <v>19132</v>
      </c>
      <c r="E10073" s="9" t="s">
        <v>11</v>
      </c>
    </row>
    <row r="10074" spans="1:5" ht="15" customHeight="1" outlineLevel="2" x14ac:dyDescent="0.25">
      <c r="A10074" s="3" t="str">
        <f>HYPERLINK("http://mystore1.ru/price_items/search?utf8=%E2%9C%93&amp;oem=8579RGPV4RQW1J","8579RGPV4RQW1J")</f>
        <v>8579RGPV4RQW1J</v>
      </c>
      <c r="B10074" s="1" t="s">
        <v>19133</v>
      </c>
      <c r="C10074" s="9" t="s">
        <v>1408</v>
      </c>
      <c r="D10074" s="14" t="s">
        <v>19134</v>
      </c>
      <c r="E10074" s="9" t="s">
        <v>11</v>
      </c>
    </row>
    <row r="10075" spans="1:5" outlineLevel="1" x14ac:dyDescent="0.25">
      <c r="A10075" s="2"/>
      <c r="B10075" s="6" t="s">
        <v>19135</v>
      </c>
      <c r="C10075" s="8"/>
      <c r="D10075" s="8"/>
      <c r="E10075" s="8"/>
    </row>
    <row r="10076" spans="1:5" ht="15" customHeight="1" outlineLevel="2" x14ac:dyDescent="0.25">
      <c r="A10076" s="3" t="str">
        <f>HYPERLINK("http://mystore1.ru/price_items/search?utf8=%E2%9C%93&amp;oem=8576AGSGYHMVZ1B","8576AGSGYHMVZ1B")</f>
        <v>8576AGSGYHMVZ1B</v>
      </c>
      <c r="B10076" s="1" t="s">
        <v>19136</v>
      </c>
      <c r="C10076" s="9" t="s">
        <v>4252</v>
      </c>
      <c r="D10076" s="14" t="s">
        <v>19137</v>
      </c>
      <c r="E10076" s="9" t="s">
        <v>8</v>
      </c>
    </row>
    <row r="10077" spans="1:5" ht="15" customHeight="1" outlineLevel="2" x14ac:dyDescent="0.25">
      <c r="A10077" s="3" t="str">
        <f>HYPERLINK("http://mystore1.ru/price_items/search?utf8=%E2%9C%93&amp;oem=8576AGSGYHVZ","8576AGSGYHVZ")</f>
        <v>8576AGSGYHVZ</v>
      </c>
      <c r="B10077" s="1" t="s">
        <v>19138</v>
      </c>
      <c r="C10077" s="9" t="s">
        <v>4252</v>
      </c>
      <c r="D10077" s="14" t="s">
        <v>19139</v>
      </c>
      <c r="E10077" s="9" t="s">
        <v>8</v>
      </c>
    </row>
    <row r="10078" spans="1:5" ht="15" customHeight="1" outlineLevel="2" x14ac:dyDescent="0.25">
      <c r="A10078" s="3" t="str">
        <f>HYPERLINK("http://mystore1.ru/price_items/search?utf8=%E2%9C%93&amp;oem=8576AGSGYMVZ","8576AGSGYMVZ")</f>
        <v>8576AGSGYMVZ</v>
      </c>
      <c r="B10078" s="1" t="s">
        <v>19140</v>
      </c>
      <c r="C10078" s="9" t="s">
        <v>4252</v>
      </c>
      <c r="D10078" s="14" t="s">
        <v>19141</v>
      </c>
      <c r="E10078" s="9" t="s">
        <v>8</v>
      </c>
    </row>
    <row r="10079" spans="1:5" ht="15" customHeight="1" outlineLevel="2" x14ac:dyDescent="0.25">
      <c r="A10079" s="3" t="str">
        <f>HYPERLINK("http://mystore1.ru/price_items/search?utf8=%E2%9C%93&amp;oem=8576AGSGYMVZ1B","8576AGSGYMVZ1B")</f>
        <v>8576AGSGYMVZ1B</v>
      </c>
      <c r="B10079" s="1" t="s">
        <v>19142</v>
      </c>
      <c r="C10079" s="9" t="s">
        <v>4252</v>
      </c>
      <c r="D10079" s="14" t="s">
        <v>19143</v>
      </c>
      <c r="E10079" s="9" t="s">
        <v>8</v>
      </c>
    </row>
    <row r="10080" spans="1:5" ht="15" customHeight="1" outlineLevel="2" x14ac:dyDescent="0.25">
      <c r="A10080" s="3" t="str">
        <f>HYPERLINK("http://mystore1.ru/price_items/search?utf8=%E2%9C%93&amp;oem=8576AGSGYVZ","8576AGSGYVZ")</f>
        <v>8576AGSGYVZ</v>
      </c>
      <c r="B10080" s="1" t="s">
        <v>19144</v>
      </c>
      <c r="C10080" s="9" t="s">
        <v>4252</v>
      </c>
      <c r="D10080" s="14" t="s">
        <v>19145</v>
      </c>
      <c r="E10080" s="9" t="s">
        <v>8</v>
      </c>
    </row>
    <row r="10081" spans="1:5" ht="15" customHeight="1" outlineLevel="2" x14ac:dyDescent="0.25">
      <c r="A10081" s="3" t="str">
        <f>HYPERLINK("http://mystore1.ru/price_items/search?utf8=%E2%9C%93&amp;oem=8576BGDRAW","8576BGDRAW")</f>
        <v>8576BGDRAW</v>
      </c>
      <c r="B10081" s="1" t="s">
        <v>19146</v>
      </c>
      <c r="C10081" s="9" t="s">
        <v>4252</v>
      </c>
      <c r="D10081" s="14" t="s">
        <v>19147</v>
      </c>
      <c r="E10081" s="9" t="s">
        <v>30</v>
      </c>
    </row>
    <row r="10082" spans="1:5" ht="15" customHeight="1" outlineLevel="2" x14ac:dyDescent="0.25">
      <c r="A10082" s="3" t="str">
        <f>HYPERLINK("http://mystore1.ru/price_items/search?utf8=%E2%9C%93&amp;oem=8576BGSRAW","8576BGSRAW")</f>
        <v>8576BGSRAW</v>
      </c>
      <c r="B10082" s="1" t="s">
        <v>19148</v>
      </c>
      <c r="C10082" s="9" t="s">
        <v>4252</v>
      </c>
      <c r="D10082" s="14" t="s">
        <v>19149</v>
      </c>
      <c r="E10082" s="9" t="s">
        <v>30</v>
      </c>
    </row>
    <row r="10083" spans="1:5" ht="15" customHeight="1" outlineLevel="2" x14ac:dyDescent="0.25">
      <c r="A10083" s="3" t="str">
        <f>HYPERLINK("http://mystore1.ru/price_items/search?utf8=%E2%9C%93&amp;oem=8576LGSR5FD","8576LGSR5FD")</f>
        <v>8576LGSR5FD</v>
      </c>
      <c r="B10083" s="1" t="s">
        <v>19150</v>
      </c>
      <c r="C10083" s="9" t="s">
        <v>4252</v>
      </c>
      <c r="D10083" s="14" t="s">
        <v>19151</v>
      </c>
      <c r="E10083" s="9" t="s">
        <v>11</v>
      </c>
    </row>
    <row r="10084" spans="1:5" ht="15" customHeight="1" outlineLevel="2" x14ac:dyDescent="0.25">
      <c r="A10084" s="3" t="str">
        <f>HYPERLINK("http://mystore1.ru/price_items/search?utf8=%E2%9C%93&amp;oem=8576LGSR5RD","8576LGSR5RD")</f>
        <v>8576LGSR5RD</v>
      </c>
      <c r="B10084" s="1" t="s">
        <v>19152</v>
      </c>
      <c r="C10084" s="9" t="s">
        <v>4252</v>
      </c>
      <c r="D10084" s="14" t="s">
        <v>19153</v>
      </c>
      <c r="E10084" s="9" t="s">
        <v>11</v>
      </c>
    </row>
    <row r="10085" spans="1:5" ht="15" customHeight="1" outlineLevel="2" x14ac:dyDescent="0.25">
      <c r="A10085" s="3" t="str">
        <f>HYPERLINK("http://mystore1.ru/price_items/search?utf8=%E2%9C%93&amp;oem=8576LGSR5RQAZ","8576LGSR5RQAZ")</f>
        <v>8576LGSR5RQAZ</v>
      </c>
      <c r="B10085" s="1" t="s">
        <v>19154</v>
      </c>
      <c r="C10085" s="9" t="s">
        <v>4252</v>
      </c>
      <c r="D10085" s="14" t="s">
        <v>19155</v>
      </c>
      <c r="E10085" s="9" t="s">
        <v>11</v>
      </c>
    </row>
    <row r="10086" spans="1:5" ht="15" customHeight="1" outlineLevel="2" x14ac:dyDescent="0.25">
      <c r="A10086" s="3" t="str">
        <f>HYPERLINK("http://mystore1.ru/price_items/search?utf8=%E2%9C%93&amp;oem=8576LGSR5RQAZ1D","8576LGSR5RQAZ1D")</f>
        <v>8576LGSR5RQAZ1D</v>
      </c>
      <c r="B10086" s="1" t="s">
        <v>19156</v>
      </c>
      <c r="C10086" s="9" t="s">
        <v>4252</v>
      </c>
      <c r="D10086" s="14" t="s">
        <v>19157</v>
      </c>
      <c r="E10086" s="9" t="s">
        <v>11</v>
      </c>
    </row>
    <row r="10087" spans="1:5" ht="15" customHeight="1" outlineLevel="2" x14ac:dyDescent="0.25">
      <c r="A10087" s="3" t="str">
        <f>HYPERLINK("http://mystore1.ru/price_items/search?utf8=%E2%9C%93&amp;oem=8576RGSR5FD","8576RGSR5FD")</f>
        <v>8576RGSR5FD</v>
      </c>
      <c r="B10087" s="1" t="s">
        <v>19158</v>
      </c>
      <c r="C10087" s="9" t="s">
        <v>4252</v>
      </c>
      <c r="D10087" s="14" t="s">
        <v>19159</v>
      </c>
      <c r="E10087" s="9" t="s">
        <v>11</v>
      </c>
    </row>
    <row r="10088" spans="1:5" ht="15" customHeight="1" outlineLevel="2" x14ac:dyDescent="0.25">
      <c r="A10088" s="3" t="str">
        <f>HYPERLINK("http://mystore1.ru/price_items/search?utf8=%E2%9C%93&amp;oem=8576RGSR5RD","8576RGSR5RD")</f>
        <v>8576RGSR5RD</v>
      </c>
      <c r="B10088" s="1" t="s">
        <v>19160</v>
      </c>
      <c r="C10088" s="9" t="s">
        <v>4252</v>
      </c>
      <c r="D10088" s="14" t="s">
        <v>19161</v>
      </c>
      <c r="E10088" s="9" t="s">
        <v>11</v>
      </c>
    </row>
    <row r="10089" spans="1:5" ht="15" customHeight="1" outlineLevel="2" x14ac:dyDescent="0.25">
      <c r="A10089" s="3" t="str">
        <f>HYPERLINK("http://mystore1.ru/price_items/search?utf8=%E2%9C%93&amp;oem=8576RGSR5RQAZ","8576RGSR5RQAZ")</f>
        <v>8576RGSR5RQAZ</v>
      </c>
      <c r="B10089" s="1" t="s">
        <v>19162</v>
      </c>
      <c r="C10089" s="9" t="s">
        <v>4252</v>
      </c>
      <c r="D10089" s="14" t="s">
        <v>19163</v>
      </c>
      <c r="E10089" s="9" t="s">
        <v>11</v>
      </c>
    </row>
    <row r="10090" spans="1:5" ht="15" customHeight="1" outlineLevel="2" x14ac:dyDescent="0.25">
      <c r="A10090" s="3" t="str">
        <f>HYPERLINK("http://mystore1.ru/price_items/search?utf8=%E2%9C%93&amp;oem=8576RGSR5RQAZ1D","8576RGSR5RQAZ1D")</f>
        <v>8576RGSR5RQAZ1D</v>
      </c>
      <c r="B10090" s="1" t="s">
        <v>19164</v>
      </c>
      <c r="C10090" s="9" t="s">
        <v>4252</v>
      </c>
      <c r="D10090" s="14" t="s">
        <v>19165</v>
      </c>
      <c r="E10090" s="9" t="s">
        <v>11</v>
      </c>
    </row>
    <row r="10091" spans="1:5" outlineLevel="1" x14ac:dyDescent="0.25">
      <c r="A10091" s="2"/>
      <c r="B10091" s="6" t="s">
        <v>19166</v>
      </c>
      <c r="C10091" s="8"/>
      <c r="D10091" s="8"/>
      <c r="E10091" s="8"/>
    </row>
    <row r="10092" spans="1:5" outlineLevel="2" x14ac:dyDescent="0.25">
      <c r="A10092" s="3" t="str">
        <f>HYPERLINK("http://mystore1.ru/price_items/search?utf8=%E2%9C%93&amp;oem=8606AGSMVWZ1B","8606AGSMVWZ1B")</f>
        <v>8606AGSMVWZ1B</v>
      </c>
      <c r="B10092" s="1" t="s">
        <v>19167</v>
      </c>
      <c r="C10092" s="9" t="s">
        <v>601</v>
      </c>
      <c r="D10092" s="14" t="s">
        <v>19168</v>
      </c>
      <c r="E10092" s="9" t="s">
        <v>8</v>
      </c>
    </row>
    <row r="10093" spans="1:5" outlineLevel="2" x14ac:dyDescent="0.25">
      <c r="A10093" s="3" t="str">
        <f>HYPERLINK("http://mystore1.ru/price_items/search?utf8=%E2%9C%93&amp;oem=8606AGAHMVWZ","8606AGAHMVWZ")</f>
        <v>8606AGAHMVWZ</v>
      </c>
      <c r="B10093" s="1" t="s">
        <v>19169</v>
      </c>
      <c r="C10093" s="9" t="s">
        <v>601</v>
      </c>
      <c r="D10093" s="14" t="s">
        <v>19170</v>
      </c>
      <c r="E10093" s="9" t="s">
        <v>8</v>
      </c>
    </row>
    <row r="10094" spans="1:5" outlineLevel="2" x14ac:dyDescent="0.25">
      <c r="A10094" s="3" t="str">
        <f>HYPERLINK("http://mystore1.ru/price_items/search?utf8=%E2%9C%93&amp;oem=8606AGACMVWZ1B","8606AGACMVWZ1B")</f>
        <v>8606AGACMVWZ1B</v>
      </c>
      <c r="B10094" s="1" t="s">
        <v>19171</v>
      </c>
      <c r="C10094" s="9" t="s">
        <v>601</v>
      </c>
      <c r="D10094" s="14" t="s">
        <v>19172</v>
      </c>
      <c r="E10094" s="9" t="s">
        <v>8</v>
      </c>
    </row>
    <row r="10095" spans="1:5" outlineLevel="2" x14ac:dyDescent="0.25">
      <c r="A10095" s="3" t="str">
        <f>HYPERLINK("http://mystore1.ru/price_items/search?utf8=%E2%9C%93&amp;oem=8606AGAMVWZ","8606AGAMVWZ")</f>
        <v>8606AGAMVWZ</v>
      </c>
      <c r="B10095" s="1" t="s">
        <v>19173</v>
      </c>
      <c r="C10095" s="9" t="s">
        <v>601</v>
      </c>
      <c r="D10095" s="14" t="s">
        <v>19174</v>
      </c>
      <c r="E10095" s="9" t="s">
        <v>8</v>
      </c>
    </row>
    <row r="10096" spans="1:5" outlineLevel="2" x14ac:dyDescent="0.25">
      <c r="A10096" s="3" t="str">
        <f>HYPERLINK("http://mystore1.ru/price_items/search?utf8=%E2%9C%93&amp;oem=8606LGSR5FD","8606LGSR5FD")</f>
        <v>8606LGSR5FD</v>
      </c>
      <c r="B10096" s="1" t="s">
        <v>19175</v>
      </c>
      <c r="C10096" s="9" t="s">
        <v>601</v>
      </c>
      <c r="D10096" s="14" t="s">
        <v>19176</v>
      </c>
      <c r="E10096" s="9" t="s">
        <v>11</v>
      </c>
    </row>
    <row r="10097" spans="1:5" outlineLevel="2" x14ac:dyDescent="0.25">
      <c r="A10097" s="3" t="str">
        <f>HYPERLINK("http://mystore1.ru/price_items/search?utf8=%E2%9C%93&amp;oem=8606RGSR5FD","8606RGSR5FD")</f>
        <v>8606RGSR5FD</v>
      </c>
      <c r="B10097" s="1" t="s">
        <v>19177</v>
      </c>
      <c r="C10097" s="9" t="s">
        <v>601</v>
      </c>
      <c r="D10097" s="14" t="s">
        <v>19178</v>
      </c>
      <c r="E10097" s="9" t="s">
        <v>11</v>
      </c>
    </row>
    <row r="10098" spans="1:5" x14ac:dyDescent="0.25">
      <c r="A10098" s="61" t="s">
        <v>19179</v>
      </c>
      <c r="B10098" s="61"/>
      <c r="C10098" s="61"/>
      <c r="D10098" s="61"/>
      <c r="E10098" s="61"/>
    </row>
    <row r="10099" spans="1:5" outlineLevel="1" x14ac:dyDescent="0.25">
      <c r="A10099" s="2"/>
      <c r="B10099" s="6" t="s">
        <v>19180</v>
      </c>
      <c r="C10099" s="8"/>
      <c r="D10099" s="8"/>
      <c r="E10099" s="8"/>
    </row>
    <row r="10100" spans="1:5" ht="15" customHeight="1" outlineLevel="2" x14ac:dyDescent="0.25">
      <c r="A10100" s="3" t="str">
        <f>HYPERLINK("http://mystore1.ru/price_items/search?utf8=%E2%9C%93&amp;oem=8810ACL","8810ACL")</f>
        <v>8810ACL</v>
      </c>
      <c r="B10100" s="1" t="s">
        <v>19181</v>
      </c>
      <c r="C10100" s="9" t="s">
        <v>5331</v>
      </c>
      <c r="D10100" s="14" t="s">
        <v>19182</v>
      </c>
      <c r="E10100" s="9" t="s">
        <v>8</v>
      </c>
    </row>
    <row r="10101" spans="1:5" ht="15" customHeight="1" outlineLevel="2" x14ac:dyDescent="0.25">
      <c r="A10101" s="3" t="str">
        <f>HYPERLINK("http://mystore1.ru/price_items/search?utf8=%E2%9C%93&amp;oem=8810AGN","8810AGN")</f>
        <v>8810AGN</v>
      </c>
      <c r="B10101" s="1" t="s">
        <v>19183</v>
      </c>
      <c r="C10101" s="9" t="s">
        <v>5331</v>
      </c>
      <c r="D10101" s="14" t="s">
        <v>19184</v>
      </c>
      <c r="E10101" s="9" t="s">
        <v>8</v>
      </c>
    </row>
    <row r="10102" spans="1:5" ht="15" customHeight="1" outlineLevel="2" x14ac:dyDescent="0.25">
      <c r="A10102" s="3" t="str">
        <f>HYPERLINK("http://mystore1.ru/price_items/search?utf8=%E2%9C%93&amp;oem=8810AGNBL","8810AGNBL")</f>
        <v>8810AGNBL</v>
      </c>
      <c r="B10102" s="1" t="s">
        <v>19185</v>
      </c>
      <c r="C10102" s="9" t="s">
        <v>5331</v>
      </c>
      <c r="D10102" s="14" t="s">
        <v>19186</v>
      </c>
      <c r="E10102" s="9" t="s">
        <v>8</v>
      </c>
    </row>
    <row r="10103" spans="1:5" ht="15" customHeight="1" outlineLevel="2" x14ac:dyDescent="0.25">
      <c r="A10103" s="3" t="str">
        <f>HYPERLINK("http://mystore1.ru/price_items/search?utf8=%E2%9C%93&amp;oem=8810AKCS","8810AKCS")</f>
        <v>8810AKCS</v>
      </c>
      <c r="B10103" s="1" t="s">
        <v>19187</v>
      </c>
      <c r="C10103" s="9" t="s">
        <v>25</v>
      </c>
      <c r="D10103" s="14" t="s">
        <v>19188</v>
      </c>
      <c r="E10103" s="9" t="s">
        <v>27</v>
      </c>
    </row>
    <row r="10104" spans="1:5" ht="15" customHeight="1" outlineLevel="2" x14ac:dyDescent="0.25">
      <c r="A10104" s="3" t="str">
        <f>HYPERLINK("http://mystore1.ru/price_items/search?utf8=%E2%9C%93&amp;oem=8810BGNEB","8810BGNEB")</f>
        <v>8810BGNEB</v>
      </c>
      <c r="B10104" s="1" t="s">
        <v>19189</v>
      </c>
      <c r="C10104" s="9" t="s">
        <v>5331</v>
      </c>
      <c r="D10104" s="14" t="s">
        <v>19190</v>
      </c>
      <c r="E10104" s="9" t="s">
        <v>30</v>
      </c>
    </row>
    <row r="10105" spans="1:5" ht="15" customHeight="1" outlineLevel="2" x14ac:dyDescent="0.25">
      <c r="A10105" s="3" t="str">
        <f>HYPERLINK("http://mystore1.ru/price_items/search?utf8=%E2%9C%93&amp;oem=8810BGNEZ","8810BGNEZ")</f>
        <v>8810BGNEZ</v>
      </c>
      <c r="B10105" s="1" t="s">
        <v>19191</v>
      </c>
      <c r="C10105" s="9" t="s">
        <v>4310</v>
      </c>
      <c r="D10105" s="14" t="s">
        <v>19192</v>
      </c>
      <c r="E10105" s="9" t="s">
        <v>30</v>
      </c>
    </row>
    <row r="10106" spans="1:5" ht="15" customHeight="1" outlineLevel="2" x14ac:dyDescent="0.25">
      <c r="A10106" s="3" t="str">
        <f>HYPERLINK("http://mystore1.ru/price_items/search?utf8=%E2%9C%93&amp;oem=8810LGNS4FD","8810LGNS4FD")</f>
        <v>8810LGNS4FD</v>
      </c>
      <c r="B10106" s="1" t="s">
        <v>19193</v>
      </c>
      <c r="C10106" s="9" t="s">
        <v>5331</v>
      </c>
      <c r="D10106" s="14" t="s">
        <v>19194</v>
      </c>
      <c r="E10106" s="9" t="s">
        <v>11</v>
      </c>
    </row>
    <row r="10107" spans="1:5" ht="15" customHeight="1" outlineLevel="2" x14ac:dyDescent="0.25">
      <c r="A10107" s="3" t="str">
        <f>HYPERLINK("http://mystore1.ru/price_items/search?utf8=%E2%9C%93&amp;oem=8810RGNS4FD","8810RGNS4FD")</f>
        <v>8810RGNS4FD</v>
      </c>
      <c r="B10107" s="1" t="s">
        <v>19195</v>
      </c>
      <c r="C10107" s="9" t="s">
        <v>5331</v>
      </c>
      <c r="D10107" s="14" t="s">
        <v>19196</v>
      </c>
      <c r="E10107" s="9" t="s">
        <v>11</v>
      </c>
    </row>
    <row r="10108" spans="1:5" outlineLevel="1" x14ac:dyDescent="0.25">
      <c r="A10108" s="2"/>
      <c r="B10108" s="6" t="s">
        <v>19197</v>
      </c>
      <c r="C10108" s="8"/>
      <c r="D10108" s="8"/>
      <c r="E10108" s="8"/>
    </row>
    <row r="10109" spans="1:5" ht="15" customHeight="1" outlineLevel="2" x14ac:dyDescent="0.25">
      <c r="A10109" s="3" t="str">
        <f>HYPERLINK("http://mystore1.ru/price_items/search?utf8=%E2%9C%93&amp;oem=8807ACL","8807ACL")</f>
        <v>8807ACL</v>
      </c>
      <c r="B10109" s="1" t="s">
        <v>19198</v>
      </c>
      <c r="C10109" s="9" t="s">
        <v>19199</v>
      </c>
      <c r="D10109" s="14" t="s">
        <v>19200</v>
      </c>
      <c r="E10109" s="9" t="s">
        <v>8</v>
      </c>
    </row>
    <row r="10110" spans="1:5" ht="15" customHeight="1" outlineLevel="2" x14ac:dyDescent="0.25">
      <c r="A10110" s="3" t="str">
        <f>HYPERLINK("http://mystore1.ru/price_items/search?utf8=%E2%9C%93&amp;oem=8807AGNBL1C","8807AGNBL1C")</f>
        <v>8807AGNBL1C</v>
      </c>
      <c r="B10110" s="1" t="s">
        <v>19201</v>
      </c>
      <c r="C10110" s="9" t="s">
        <v>19199</v>
      </c>
      <c r="D10110" s="14" t="s">
        <v>19202</v>
      </c>
      <c r="E10110" s="9" t="s">
        <v>8</v>
      </c>
    </row>
    <row r="10111" spans="1:5" ht="15" customHeight="1" outlineLevel="2" x14ac:dyDescent="0.25">
      <c r="A10111" s="3" t="str">
        <f>HYPERLINK("http://mystore1.ru/price_items/search?utf8=%E2%9C%93&amp;oem=8807BGNS","8807BGNS")</f>
        <v>8807BGNS</v>
      </c>
      <c r="B10111" s="1" t="s">
        <v>19203</v>
      </c>
      <c r="C10111" s="9" t="s">
        <v>19204</v>
      </c>
      <c r="D10111" s="14" t="s">
        <v>19205</v>
      </c>
      <c r="E10111" s="9" t="s">
        <v>30</v>
      </c>
    </row>
    <row r="10112" spans="1:5" ht="15" customHeight="1" outlineLevel="2" x14ac:dyDescent="0.25">
      <c r="A10112" s="3" t="str">
        <f>HYPERLINK("http://mystore1.ru/price_items/search?utf8=%E2%9C%93&amp;oem=8807LCLH5FD1J","8807LCLH5FD1J")</f>
        <v>8807LCLH5FD1J</v>
      </c>
      <c r="B10112" s="1" t="s">
        <v>19206</v>
      </c>
      <c r="C10112" s="9" t="s">
        <v>19204</v>
      </c>
      <c r="D10112" s="14" t="s">
        <v>19207</v>
      </c>
      <c r="E10112" s="9" t="s">
        <v>11</v>
      </c>
    </row>
    <row r="10113" spans="1:5" ht="15" customHeight="1" outlineLevel="2" x14ac:dyDescent="0.25">
      <c r="A10113" s="3" t="str">
        <f>HYPERLINK("http://mystore1.ru/price_items/search?utf8=%E2%9C%93&amp;oem=8807LCLH5RV","8807LCLH5RV")</f>
        <v>8807LCLH5RV</v>
      </c>
      <c r="B10113" s="1" t="s">
        <v>19208</v>
      </c>
      <c r="C10113" s="9" t="s">
        <v>19204</v>
      </c>
      <c r="D10113" s="14" t="s">
        <v>19209</v>
      </c>
      <c r="E10113" s="9" t="s">
        <v>11</v>
      </c>
    </row>
    <row r="10114" spans="1:5" ht="15" customHeight="1" outlineLevel="2" x14ac:dyDescent="0.25">
      <c r="A10114" s="3" t="str">
        <f>HYPERLINK("http://mystore1.ru/price_items/search?utf8=%E2%9C%93&amp;oem=8807LGNH5FD1J","8807LGNH5FD1J")</f>
        <v>8807LGNH5FD1J</v>
      </c>
      <c r="B10114" s="1" t="s">
        <v>19210</v>
      </c>
      <c r="C10114" s="9" t="s">
        <v>19204</v>
      </c>
      <c r="D10114" s="14" t="s">
        <v>19211</v>
      </c>
      <c r="E10114" s="9" t="s">
        <v>11</v>
      </c>
    </row>
    <row r="10115" spans="1:5" ht="15" customHeight="1" outlineLevel="2" x14ac:dyDescent="0.25">
      <c r="A10115" s="3" t="str">
        <f>HYPERLINK("http://mystore1.ru/price_items/search?utf8=%E2%9C%93&amp;oem=8807LGNH5RV","8807LGNH5RV")</f>
        <v>8807LGNH5RV</v>
      </c>
      <c r="B10115" s="1" t="s">
        <v>19212</v>
      </c>
      <c r="C10115" s="9" t="s">
        <v>19204</v>
      </c>
      <c r="D10115" s="14" t="s">
        <v>19213</v>
      </c>
      <c r="E10115" s="9" t="s">
        <v>11</v>
      </c>
    </row>
    <row r="10116" spans="1:5" ht="15" customHeight="1" outlineLevel="2" x14ac:dyDescent="0.25">
      <c r="A10116" s="3" t="str">
        <f>HYPERLINK("http://mystore1.ru/price_items/search?utf8=%E2%9C%93&amp;oem=8807RCLH5RV","8807RCLH5RV")</f>
        <v>8807RCLH5RV</v>
      </c>
      <c r="B10116" s="1" t="s">
        <v>19214</v>
      </c>
      <c r="C10116" s="9" t="s">
        <v>19204</v>
      </c>
      <c r="D10116" s="14" t="s">
        <v>19215</v>
      </c>
      <c r="E10116" s="9" t="s">
        <v>11</v>
      </c>
    </row>
    <row r="10117" spans="1:5" ht="15" customHeight="1" outlineLevel="2" x14ac:dyDescent="0.25">
      <c r="A10117" s="3" t="str">
        <f>HYPERLINK("http://mystore1.ru/price_items/search?utf8=%E2%9C%93&amp;oem=8807RGNH5FD1J","8807RGNH5FD1J")</f>
        <v>8807RGNH5FD1J</v>
      </c>
      <c r="B10117" s="1" t="s">
        <v>19216</v>
      </c>
      <c r="C10117" s="9" t="s">
        <v>19204</v>
      </c>
      <c r="D10117" s="14" t="s">
        <v>19217</v>
      </c>
      <c r="E10117" s="9" t="s">
        <v>11</v>
      </c>
    </row>
    <row r="10118" spans="1:5" ht="15" customHeight="1" outlineLevel="2" x14ac:dyDescent="0.25">
      <c r="A10118" s="3" t="str">
        <f>HYPERLINK("http://mystore1.ru/price_items/search?utf8=%E2%9C%93&amp;oem=8807RGNH5RV","8807RGNH5RV")</f>
        <v>8807RGNH5RV</v>
      </c>
      <c r="B10118" s="1" t="s">
        <v>19218</v>
      </c>
      <c r="C10118" s="9" t="s">
        <v>19204</v>
      </c>
      <c r="D10118" s="14" t="s">
        <v>19219</v>
      </c>
      <c r="E10118" s="9" t="s">
        <v>11</v>
      </c>
    </row>
    <row r="10119" spans="1:5" outlineLevel="1" x14ac:dyDescent="0.25">
      <c r="A10119" s="2"/>
      <c r="B10119" s="6" t="s">
        <v>19220</v>
      </c>
      <c r="C10119" s="8"/>
      <c r="D10119" s="8"/>
      <c r="E10119" s="8"/>
    </row>
    <row r="10120" spans="1:5" ht="15" customHeight="1" outlineLevel="2" x14ac:dyDescent="0.25">
      <c r="A10120" s="3" t="str">
        <f>HYPERLINK("http://mystore1.ru/price_items/search?utf8=%E2%9C%93&amp;oem=8820ACL","8820ACL")</f>
        <v>8820ACL</v>
      </c>
      <c r="B10120" s="1" t="s">
        <v>19221</v>
      </c>
      <c r="C10120" s="9" t="s">
        <v>11465</v>
      </c>
      <c r="D10120" s="14" t="s">
        <v>19222</v>
      </c>
      <c r="E10120" s="9" t="s">
        <v>8</v>
      </c>
    </row>
    <row r="10121" spans="1:5" ht="15" customHeight="1" outlineLevel="2" x14ac:dyDescent="0.25">
      <c r="A10121" s="3" t="str">
        <f>HYPERLINK("http://mystore1.ru/price_items/search?utf8=%E2%9C%93&amp;oem=8820ACLV","8820ACLV")</f>
        <v>8820ACLV</v>
      </c>
      <c r="B10121" s="1" t="s">
        <v>19223</v>
      </c>
      <c r="C10121" s="9" t="s">
        <v>11465</v>
      </c>
      <c r="D10121" s="14" t="s">
        <v>19224</v>
      </c>
      <c r="E10121" s="9" t="s">
        <v>8</v>
      </c>
    </row>
    <row r="10122" spans="1:5" ht="15" customHeight="1" outlineLevel="2" x14ac:dyDescent="0.25">
      <c r="A10122" s="3" t="str">
        <f>HYPERLINK("http://mystore1.ru/price_items/search?utf8=%E2%9C%93&amp;oem=8820AGNBLV","8820AGNBLV")</f>
        <v>8820AGNBLV</v>
      </c>
      <c r="B10122" s="1" t="s">
        <v>19225</v>
      </c>
      <c r="C10122" s="9" t="s">
        <v>11465</v>
      </c>
      <c r="D10122" s="14" t="s">
        <v>19226</v>
      </c>
      <c r="E10122" s="9" t="s">
        <v>8</v>
      </c>
    </row>
    <row r="10123" spans="1:5" ht="15" customHeight="1" outlineLevel="2" x14ac:dyDescent="0.25">
      <c r="A10123" s="3" t="str">
        <f>HYPERLINK("http://mystore1.ru/price_items/search?utf8=%E2%9C%93&amp;oem=8820ASMHT","8820ASMHT")</f>
        <v>8820ASMHT</v>
      </c>
      <c r="B10123" s="1" t="s">
        <v>19227</v>
      </c>
      <c r="C10123" s="9" t="s">
        <v>25</v>
      </c>
      <c r="D10123" s="14" t="s">
        <v>19228</v>
      </c>
      <c r="E10123" s="9" t="s">
        <v>27</v>
      </c>
    </row>
    <row r="10124" spans="1:5" ht="15" customHeight="1" outlineLevel="2" x14ac:dyDescent="0.25">
      <c r="A10124" s="3" t="str">
        <f>HYPERLINK("http://mystore1.ru/price_items/search?utf8=%E2%9C%93&amp;oem=8820BGNHB","8820BGNHB")</f>
        <v>8820BGNHB</v>
      </c>
      <c r="B10124" s="1" t="s">
        <v>19229</v>
      </c>
      <c r="C10124" s="9" t="s">
        <v>11465</v>
      </c>
      <c r="D10124" s="14" t="s">
        <v>19230</v>
      </c>
      <c r="E10124" s="9" t="s">
        <v>30</v>
      </c>
    </row>
    <row r="10125" spans="1:5" ht="15" customHeight="1" outlineLevel="2" x14ac:dyDescent="0.25">
      <c r="A10125" s="3" t="str">
        <f>HYPERLINK("http://mystore1.ru/price_items/search?utf8=%E2%9C%93&amp;oem=8820BGNSB","8820BGNSB")</f>
        <v>8820BGNSB</v>
      </c>
      <c r="B10125" s="1" t="s">
        <v>19231</v>
      </c>
      <c r="C10125" s="9" t="s">
        <v>11465</v>
      </c>
      <c r="D10125" s="14" t="s">
        <v>19232</v>
      </c>
      <c r="E10125" s="9" t="s">
        <v>30</v>
      </c>
    </row>
    <row r="10126" spans="1:5" ht="15" customHeight="1" outlineLevel="2" x14ac:dyDescent="0.25">
      <c r="A10126" s="3" t="str">
        <f>HYPERLINK("http://mystore1.ru/price_items/search?utf8=%E2%9C%93&amp;oem=8820LGNH5FD","8820LGNH5FD")</f>
        <v>8820LGNH5FD</v>
      </c>
      <c r="B10126" s="1" t="s">
        <v>19233</v>
      </c>
      <c r="C10126" s="9" t="s">
        <v>11465</v>
      </c>
      <c r="D10126" s="14" t="s">
        <v>19234</v>
      </c>
      <c r="E10126" s="9" t="s">
        <v>11</v>
      </c>
    </row>
    <row r="10127" spans="1:5" ht="15" customHeight="1" outlineLevel="2" x14ac:dyDescent="0.25">
      <c r="A10127" s="3" t="str">
        <f>HYPERLINK("http://mystore1.ru/price_items/search?utf8=%E2%9C%93&amp;oem=8820LGNH5RD","8820LGNH5RD")</f>
        <v>8820LGNH5RD</v>
      </c>
      <c r="B10127" s="1" t="s">
        <v>19235</v>
      </c>
      <c r="C10127" s="9" t="s">
        <v>11465</v>
      </c>
      <c r="D10127" s="14" t="s">
        <v>19236</v>
      </c>
      <c r="E10127" s="9" t="s">
        <v>11</v>
      </c>
    </row>
    <row r="10128" spans="1:5" ht="15" customHeight="1" outlineLevel="2" x14ac:dyDescent="0.25">
      <c r="A10128" s="3" t="str">
        <f>HYPERLINK("http://mystore1.ru/price_items/search?utf8=%E2%9C%93&amp;oem=8820RGNH5FD","8820RGNH5FD")</f>
        <v>8820RGNH5FD</v>
      </c>
      <c r="B10128" s="1" t="s">
        <v>19237</v>
      </c>
      <c r="C10128" s="9" t="s">
        <v>11465</v>
      </c>
      <c r="D10128" s="14" t="s">
        <v>19238</v>
      </c>
      <c r="E10128" s="9" t="s">
        <v>11</v>
      </c>
    </row>
    <row r="10129" spans="1:5" ht="15" customHeight="1" outlineLevel="2" x14ac:dyDescent="0.25">
      <c r="A10129" s="3" t="str">
        <f>HYPERLINK("http://mystore1.ru/price_items/search?utf8=%E2%9C%93&amp;oem=8820RGNH5RD","8820RGNH5RD")</f>
        <v>8820RGNH5RD</v>
      </c>
      <c r="B10129" s="1" t="s">
        <v>19239</v>
      </c>
      <c r="C10129" s="9" t="s">
        <v>11465</v>
      </c>
      <c r="D10129" s="14" t="s">
        <v>19240</v>
      </c>
      <c r="E10129" s="9" t="s">
        <v>11</v>
      </c>
    </row>
    <row r="10130" spans="1:5" outlineLevel="1" x14ac:dyDescent="0.25">
      <c r="A10130" s="2"/>
      <c r="B10130" s="6" t="s">
        <v>19241</v>
      </c>
      <c r="C10130" s="8"/>
      <c r="D10130" s="8"/>
      <c r="E10130" s="8"/>
    </row>
    <row r="10131" spans="1:5" ht="15" customHeight="1" outlineLevel="2" x14ac:dyDescent="0.25">
      <c r="A10131" s="3" t="str">
        <f>HYPERLINK("http://mystore1.ru/price_items/search?utf8=%E2%9C%93&amp;oem=8819AGNBL","8819AGNBL")</f>
        <v>8819AGNBL</v>
      </c>
      <c r="B10131" s="1" t="s">
        <v>19242</v>
      </c>
      <c r="C10131" s="9" t="s">
        <v>1108</v>
      </c>
      <c r="D10131" s="14" t="s">
        <v>19243</v>
      </c>
      <c r="E10131" s="9" t="s">
        <v>8</v>
      </c>
    </row>
    <row r="10132" spans="1:5" ht="15" customHeight="1" outlineLevel="2" x14ac:dyDescent="0.25">
      <c r="A10132" s="3" t="str">
        <f>HYPERLINK("http://mystore1.ru/price_items/search?utf8=%E2%9C%93&amp;oem=8819LGNC2FD","8819LGNC2FD")</f>
        <v>8819LGNC2FD</v>
      </c>
      <c r="B10132" s="1" t="s">
        <v>19244</v>
      </c>
      <c r="C10132" s="9" t="s">
        <v>1108</v>
      </c>
      <c r="D10132" s="14" t="s">
        <v>19245</v>
      </c>
      <c r="E10132" s="9" t="s">
        <v>11</v>
      </c>
    </row>
    <row r="10133" spans="1:5" outlineLevel="1" x14ac:dyDescent="0.25">
      <c r="A10133" s="2"/>
      <c r="B10133" s="6" t="s">
        <v>19246</v>
      </c>
      <c r="C10133" s="8"/>
      <c r="D10133" s="8"/>
      <c r="E10133" s="8"/>
    </row>
    <row r="10134" spans="1:5" ht="15" customHeight="1" outlineLevel="2" x14ac:dyDescent="0.25">
      <c r="A10134" s="3" t="str">
        <f>HYPERLINK("http://mystore1.ru/price_items/search?utf8=%E2%9C%93&amp;oem=8830ACL","8830ACL")</f>
        <v>8830ACL</v>
      </c>
      <c r="B10134" s="1" t="s">
        <v>19247</v>
      </c>
      <c r="C10134" s="9" t="s">
        <v>8057</v>
      </c>
      <c r="D10134" s="14" t="s">
        <v>19248</v>
      </c>
      <c r="E10134" s="9" t="s">
        <v>8</v>
      </c>
    </row>
    <row r="10135" spans="1:5" outlineLevel="1" x14ac:dyDescent="0.25">
      <c r="A10135" s="2"/>
      <c r="B10135" s="6" t="s">
        <v>19249</v>
      </c>
      <c r="C10135" s="8"/>
      <c r="D10135" s="8"/>
      <c r="E10135" s="8"/>
    </row>
    <row r="10136" spans="1:5" ht="15" customHeight="1" outlineLevel="2" x14ac:dyDescent="0.25">
      <c r="A10136" s="3" t="str">
        <f>HYPERLINK("http://mystore1.ru/price_items/search?utf8=%E2%9C%93&amp;oem=8812AGNBL","8812AGNBL")</f>
        <v>8812AGNBL</v>
      </c>
      <c r="B10136" s="1" t="s">
        <v>19250</v>
      </c>
      <c r="C10136" s="9" t="s">
        <v>6</v>
      </c>
      <c r="D10136" s="14" t="s">
        <v>19251</v>
      </c>
      <c r="E10136" s="9" t="s">
        <v>8</v>
      </c>
    </row>
    <row r="10137" spans="1:5" ht="15" customHeight="1" outlineLevel="2" x14ac:dyDescent="0.25">
      <c r="A10137" s="3" t="str">
        <f>HYPERLINK("http://mystore1.ru/price_items/search?utf8=%E2%9C%93&amp;oem=8812AKCS","8812AKCS")</f>
        <v>8812AKCS</v>
      </c>
      <c r="B10137" s="1" t="s">
        <v>19252</v>
      </c>
      <c r="C10137" s="9" t="s">
        <v>25</v>
      </c>
      <c r="D10137" s="14" t="s">
        <v>19253</v>
      </c>
      <c r="E10137" s="9" t="s">
        <v>27</v>
      </c>
    </row>
    <row r="10138" spans="1:5" ht="15" customHeight="1" outlineLevel="2" x14ac:dyDescent="0.25">
      <c r="A10138" s="3" t="str">
        <f>HYPERLINK("http://mystore1.ru/price_items/search?utf8=%E2%9C%93&amp;oem=8812BGNE","8812BGNE")</f>
        <v>8812BGNE</v>
      </c>
      <c r="B10138" s="1" t="s">
        <v>19254</v>
      </c>
      <c r="C10138" s="9" t="s">
        <v>6</v>
      </c>
      <c r="D10138" s="14" t="s">
        <v>19255</v>
      </c>
      <c r="E10138" s="9" t="s">
        <v>30</v>
      </c>
    </row>
    <row r="10139" spans="1:5" ht="15" customHeight="1" outlineLevel="2" x14ac:dyDescent="0.25">
      <c r="A10139" s="3" t="str">
        <f>HYPERLINK("http://mystore1.ru/price_items/search?utf8=%E2%9C%93&amp;oem=8812LGNE5RQ","8812LGNE5RQ")</f>
        <v>8812LGNE5RQ</v>
      </c>
      <c r="B10139" s="1" t="s">
        <v>19256</v>
      </c>
      <c r="C10139" s="9" t="s">
        <v>6</v>
      </c>
      <c r="D10139" s="14" t="s">
        <v>19257</v>
      </c>
      <c r="E10139" s="9" t="s">
        <v>11</v>
      </c>
    </row>
    <row r="10140" spans="1:5" ht="15" customHeight="1" outlineLevel="2" x14ac:dyDescent="0.25">
      <c r="A10140" s="3" t="str">
        <f>HYPERLINK("http://mystore1.ru/price_items/search?utf8=%E2%9C%93&amp;oem=8812LGNS4FD","8812LGNS4FD")</f>
        <v>8812LGNS4FD</v>
      </c>
      <c r="B10140" s="1" t="s">
        <v>19258</v>
      </c>
      <c r="C10140" s="9" t="s">
        <v>6</v>
      </c>
      <c r="D10140" s="14" t="s">
        <v>19259</v>
      </c>
      <c r="E10140" s="9" t="s">
        <v>11</v>
      </c>
    </row>
    <row r="10141" spans="1:5" ht="15" customHeight="1" outlineLevel="2" x14ac:dyDescent="0.25">
      <c r="A10141" s="3" t="str">
        <f>HYPERLINK("http://mystore1.ru/price_items/search?utf8=%E2%9C%93&amp;oem=8812LGNS4RD","8812LGNS4RD")</f>
        <v>8812LGNS4RD</v>
      </c>
      <c r="B10141" s="1" t="s">
        <v>19260</v>
      </c>
      <c r="C10141" s="9" t="s">
        <v>6</v>
      </c>
      <c r="D10141" s="14" t="s">
        <v>19261</v>
      </c>
      <c r="E10141" s="9" t="s">
        <v>11</v>
      </c>
    </row>
    <row r="10142" spans="1:5" ht="15" customHeight="1" outlineLevel="2" x14ac:dyDescent="0.25">
      <c r="A10142" s="3" t="str">
        <f>HYPERLINK("http://mystore1.ru/price_items/search?utf8=%E2%9C%93&amp;oem=8812LGNS4RV","8812LGNS4RV")</f>
        <v>8812LGNS4RV</v>
      </c>
      <c r="B10142" s="1" t="s">
        <v>19262</v>
      </c>
      <c r="C10142" s="9" t="s">
        <v>6</v>
      </c>
      <c r="D10142" s="14" t="s">
        <v>19263</v>
      </c>
      <c r="E10142" s="9" t="s">
        <v>11</v>
      </c>
    </row>
    <row r="10143" spans="1:5" ht="15" customHeight="1" outlineLevel="2" x14ac:dyDescent="0.25">
      <c r="A10143" s="3" t="str">
        <f>HYPERLINK("http://mystore1.ru/price_items/search?utf8=%E2%9C%93&amp;oem=8812RGNE5RQ","8812RGNE5RQ")</f>
        <v>8812RGNE5RQ</v>
      </c>
      <c r="B10143" s="1" t="s">
        <v>19264</v>
      </c>
      <c r="C10143" s="9" t="s">
        <v>6</v>
      </c>
      <c r="D10143" s="14" t="s">
        <v>19265</v>
      </c>
      <c r="E10143" s="9" t="s">
        <v>11</v>
      </c>
    </row>
    <row r="10144" spans="1:5" ht="15" customHeight="1" outlineLevel="2" x14ac:dyDescent="0.25">
      <c r="A10144" s="3" t="str">
        <f>HYPERLINK("http://mystore1.ru/price_items/search?utf8=%E2%9C%93&amp;oem=8812RGNS4FD","8812RGNS4FD")</f>
        <v>8812RGNS4FD</v>
      </c>
      <c r="B10144" s="1" t="s">
        <v>19266</v>
      </c>
      <c r="C10144" s="9" t="s">
        <v>6</v>
      </c>
      <c r="D10144" s="14" t="s">
        <v>19267</v>
      </c>
      <c r="E10144" s="9" t="s">
        <v>11</v>
      </c>
    </row>
    <row r="10145" spans="1:5" ht="15" customHeight="1" outlineLevel="2" x14ac:dyDescent="0.25">
      <c r="A10145" s="3" t="str">
        <f>HYPERLINK("http://mystore1.ru/price_items/search?utf8=%E2%9C%93&amp;oem=8812RGNS4RD","8812RGNS4RD")</f>
        <v>8812RGNS4RD</v>
      </c>
      <c r="B10145" s="1" t="s">
        <v>19268</v>
      </c>
      <c r="C10145" s="9" t="s">
        <v>6</v>
      </c>
      <c r="D10145" s="14" t="s">
        <v>19269</v>
      </c>
      <c r="E10145" s="9" t="s">
        <v>11</v>
      </c>
    </row>
    <row r="10146" spans="1:5" ht="15" customHeight="1" outlineLevel="2" x14ac:dyDescent="0.25">
      <c r="A10146" s="3" t="str">
        <f>HYPERLINK("http://mystore1.ru/price_items/search?utf8=%E2%9C%93&amp;oem=8812RGNS4RV","8812RGNS4RV")</f>
        <v>8812RGNS4RV</v>
      </c>
      <c r="B10146" s="1" t="s">
        <v>19270</v>
      </c>
      <c r="C10146" s="9" t="s">
        <v>6</v>
      </c>
      <c r="D10146" s="14" t="s">
        <v>19271</v>
      </c>
      <c r="E10146" s="9" t="s">
        <v>11</v>
      </c>
    </row>
    <row r="10147" spans="1:5" outlineLevel="1" x14ac:dyDescent="0.25">
      <c r="A10147" s="2"/>
      <c r="B10147" s="6" t="s">
        <v>19272</v>
      </c>
      <c r="C10147" s="8"/>
      <c r="D10147" s="8"/>
      <c r="E10147" s="8"/>
    </row>
    <row r="10148" spans="1:5" ht="15" customHeight="1" outlineLevel="2" x14ac:dyDescent="0.25">
      <c r="A10148" s="3" t="str">
        <f>HYPERLINK("http://mystore1.ru/price_items/search?utf8=%E2%9C%93&amp;oem=8818AGNBL","8818AGNBL")</f>
        <v>8818AGNBL</v>
      </c>
      <c r="B10148" s="1" t="s">
        <v>19273</v>
      </c>
      <c r="C10148" s="9" t="s">
        <v>11817</v>
      </c>
      <c r="D10148" s="14" t="s">
        <v>19274</v>
      </c>
      <c r="E10148" s="9" t="s">
        <v>8</v>
      </c>
    </row>
    <row r="10149" spans="1:5" ht="15" customHeight="1" outlineLevel="2" x14ac:dyDescent="0.25">
      <c r="A10149" s="3" t="str">
        <f>HYPERLINK("http://mystore1.ru/price_items/search?utf8=%E2%9C%93&amp;oem=8818LGNS4FD","8818LGNS4FD")</f>
        <v>8818LGNS4FD</v>
      </c>
      <c r="B10149" s="1" t="s">
        <v>19275</v>
      </c>
      <c r="C10149" s="9" t="s">
        <v>8707</v>
      </c>
      <c r="D10149" s="14" t="s">
        <v>19276</v>
      </c>
      <c r="E10149" s="9" t="s">
        <v>11</v>
      </c>
    </row>
    <row r="10150" spans="1:5" ht="15" customHeight="1" outlineLevel="2" x14ac:dyDescent="0.25">
      <c r="A10150" s="3" t="str">
        <f>HYPERLINK("http://mystore1.ru/price_items/search?utf8=%E2%9C%93&amp;oem=8818LGNS4RD","8818LGNS4RD")</f>
        <v>8818LGNS4RD</v>
      </c>
      <c r="B10150" s="1" t="s">
        <v>19277</v>
      </c>
      <c r="C10150" s="9" t="s">
        <v>8707</v>
      </c>
      <c r="D10150" s="14" t="s">
        <v>19278</v>
      </c>
      <c r="E10150" s="9" t="s">
        <v>11</v>
      </c>
    </row>
    <row r="10151" spans="1:5" ht="15" customHeight="1" outlineLevel="2" x14ac:dyDescent="0.25">
      <c r="A10151" s="3" t="str">
        <f>HYPERLINK("http://mystore1.ru/price_items/search?utf8=%E2%9C%93&amp;oem=8818LGNS4RV","8818LGNS4RV")</f>
        <v>8818LGNS4RV</v>
      </c>
      <c r="B10151" s="1" t="s">
        <v>19279</v>
      </c>
      <c r="C10151" s="9" t="s">
        <v>8707</v>
      </c>
      <c r="D10151" s="14" t="s">
        <v>19280</v>
      </c>
      <c r="E10151" s="9" t="s">
        <v>11</v>
      </c>
    </row>
    <row r="10152" spans="1:5" ht="15" customHeight="1" outlineLevel="2" x14ac:dyDescent="0.25">
      <c r="A10152" s="3" t="str">
        <f>HYPERLINK("http://mystore1.ru/price_items/search?utf8=%E2%9C%93&amp;oem=8818RGNS4FD","8818RGNS4FD")</f>
        <v>8818RGNS4FD</v>
      </c>
      <c r="B10152" s="1" t="s">
        <v>19281</v>
      </c>
      <c r="C10152" s="9" t="s">
        <v>8707</v>
      </c>
      <c r="D10152" s="14" t="s">
        <v>19282</v>
      </c>
      <c r="E10152" s="9" t="s">
        <v>11</v>
      </c>
    </row>
    <row r="10153" spans="1:5" ht="15" customHeight="1" outlineLevel="2" x14ac:dyDescent="0.25">
      <c r="A10153" s="3" t="str">
        <f>HYPERLINK("http://mystore1.ru/price_items/search?utf8=%E2%9C%93&amp;oem=8818RGNS4RD","8818RGNS4RD")</f>
        <v>8818RGNS4RD</v>
      </c>
      <c r="B10153" s="1" t="s">
        <v>19283</v>
      </c>
      <c r="C10153" s="9" t="s">
        <v>8707</v>
      </c>
      <c r="D10153" s="14" t="s">
        <v>19284</v>
      </c>
      <c r="E10153" s="9" t="s">
        <v>11</v>
      </c>
    </row>
    <row r="10154" spans="1:5" ht="15" customHeight="1" outlineLevel="2" x14ac:dyDescent="0.25">
      <c r="A10154" s="3" t="str">
        <f>HYPERLINK("http://mystore1.ru/price_items/search?utf8=%E2%9C%93&amp;oem=8818RGNS4RV","8818RGNS4RV")</f>
        <v>8818RGNS4RV</v>
      </c>
      <c r="B10154" s="1" t="s">
        <v>19285</v>
      </c>
      <c r="C10154" s="9" t="s">
        <v>8707</v>
      </c>
      <c r="D10154" s="14" t="s">
        <v>19286</v>
      </c>
      <c r="E10154" s="9" t="s">
        <v>11</v>
      </c>
    </row>
    <row r="10155" spans="1:5" outlineLevel="1" x14ac:dyDescent="0.25">
      <c r="A10155" s="2"/>
      <c r="B10155" s="6" t="s">
        <v>19287</v>
      </c>
      <c r="C10155" s="8"/>
      <c r="D10155" s="8"/>
      <c r="E10155" s="8"/>
    </row>
    <row r="10156" spans="1:5" ht="15" customHeight="1" outlineLevel="2" x14ac:dyDescent="0.25">
      <c r="A10156" s="3" t="str">
        <f>HYPERLINK("http://mystore1.ru/price_items/search?utf8=%E2%9C%93&amp;oem=8822AGNBL","8822AGNBL")</f>
        <v>8822AGNBL</v>
      </c>
      <c r="B10156" s="1" t="s">
        <v>19288</v>
      </c>
      <c r="C10156" s="9" t="s">
        <v>5911</v>
      </c>
      <c r="D10156" s="14" t="s">
        <v>19289</v>
      </c>
      <c r="E10156" s="9" t="s">
        <v>8</v>
      </c>
    </row>
    <row r="10157" spans="1:5" ht="15" customHeight="1" outlineLevel="2" x14ac:dyDescent="0.25">
      <c r="A10157" s="3" t="str">
        <f>HYPERLINK("http://mystore1.ru/price_items/search?utf8=%E2%9C%93&amp;oem=8822AGNGN","8822AGNGN")</f>
        <v>8822AGNGN</v>
      </c>
      <c r="B10157" s="1" t="s">
        <v>19290</v>
      </c>
      <c r="C10157" s="9" t="s">
        <v>5911</v>
      </c>
      <c r="D10157" s="14" t="s">
        <v>19291</v>
      </c>
      <c r="E10157" s="9" t="s">
        <v>8</v>
      </c>
    </row>
    <row r="10158" spans="1:5" ht="15" customHeight="1" outlineLevel="2" x14ac:dyDescent="0.25">
      <c r="A10158" s="3" t="str">
        <f>HYPERLINK("http://mystore1.ru/price_items/search?utf8=%E2%9C%93&amp;oem=8822ASMST","8822ASMST")</f>
        <v>8822ASMST</v>
      </c>
      <c r="B10158" s="1" t="s">
        <v>19292</v>
      </c>
      <c r="C10158" s="9" t="s">
        <v>25</v>
      </c>
      <c r="D10158" s="14" t="s">
        <v>19293</v>
      </c>
      <c r="E10158" s="9" t="s">
        <v>27</v>
      </c>
    </row>
    <row r="10159" spans="1:5" ht="15" customHeight="1" outlineLevel="2" x14ac:dyDescent="0.25">
      <c r="A10159" s="3" t="str">
        <f>HYPERLINK("http://mystore1.ru/price_items/search?utf8=%E2%9C%93&amp;oem=8822BGNEW","8822BGNEW")</f>
        <v>8822BGNEW</v>
      </c>
      <c r="B10159" s="1" t="s">
        <v>19294</v>
      </c>
      <c r="C10159" s="9" t="s">
        <v>5911</v>
      </c>
      <c r="D10159" s="14" t="s">
        <v>19295</v>
      </c>
      <c r="E10159" s="9" t="s">
        <v>30</v>
      </c>
    </row>
    <row r="10160" spans="1:5" ht="15" customHeight="1" outlineLevel="2" x14ac:dyDescent="0.25">
      <c r="A10160" s="3" t="str">
        <f>HYPERLINK("http://mystore1.ru/price_items/search?utf8=%E2%9C%93&amp;oem=8822LGNS4FDW","8822LGNS4FDW")</f>
        <v>8822LGNS4FDW</v>
      </c>
      <c r="B10160" s="1" t="s">
        <v>19296</v>
      </c>
      <c r="C10160" s="9" t="s">
        <v>5911</v>
      </c>
      <c r="D10160" s="14" t="s">
        <v>19297</v>
      </c>
      <c r="E10160" s="9" t="s">
        <v>11</v>
      </c>
    </row>
    <row r="10161" spans="1:5" ht="15" customHeight="1" outlineLevel="2" x14ac:dyDescent="0.25">
      <c r="A10161" s="3" t="str">
        <f>HYPERLINK("http://mystore1.ru/price_items/search?utf8=%E2%9C%93&amp;oem=8822LGNS4RDW","8822LGNS4RDW")</f>
        <v>8822LGNS4RDW</v>
      </c>
      <c r="B10161" s="1" t="s">
        <v>19298</v>
      </c>
      <c r="C10161" s="9" t="s">
        <v>5911</v>
      </c>
      <c r="D10161" s="14" t="s">
        <v>19299</v>
      </c>
      <c r="E10161" s="9" t="s">
        <v>11</v>
      </c>
    </row>
    <row r="10162" spans="1:5" ht="15" customHeight="1" outlineLevel="2" x14ac:dyDescent="0.25">
      <c r="A10162" s="3" t="str">
        <f>HYPERLINK("http://mystore1.ru/price_items/search?utf8=%E2%9C%93&amp;oem=8822RGNS4FDW","8822RGNS4FDW")</f>
        <v>8822RGNS4FDW</v>
      </c>
      <c r="B10162" s="1" t="s">
        <v>19300</v>
      </c>
      <c r="C10162" s="9" t="s">
        <v>5911</v>
      </c>
      <c r="D10162" s="14" t="s">
        <v>19301</v>
      </c>
      <c r="E10162" s="9" t="s">
        <v>11</v>
      </c>
    </row>
    <row r="10163" spans="1:5" ht="15" customHeight="1" outlineLevel="2" x14ac:dyDescent="0.25">
      <c r="A10163" s="3" t="str">
        <f>HYPERLINK("http://mystore1.ru/price_items/search?utf8=%E2%9C%93&amp;oem=8822RGNS4RDW","8822RGNS4RDW")</f>
        <v>8822RGNS4RDW</v>
      </c>
      <c r="B10163" s="1" t="s">
        <v>19302</v>
      </c>
      <c r="C10163" s="9" t="s">
        <v>5911</v>
      </c>
      <c r="D10163" s="14" t="s">
        <v>19303</v>
      </c>
      <c r="E10163" s="9" t="s">
        <v>11</v>
      </c>
    </row>
    <row r="10164" spans="1:5" ht="15" customHeight="1" outlineLevel="2" x14ac:dyDescent="0.25">
      <c r="A10164" s="3" t="str">
        <f>HYPERLINK("http://mystore1.ru/price_items/search?utf8=%E2%9C%93&amp;oem=8822RGNS4RQ","8822RGNS4RQ")</f>
        <v>8822RGNS4RQ</v>
      </c>
      <c r="B10164" s="1" t="s">
        <v>19304</v>
      </c>
      <c r="C10164" s="9" t="s">
        <v>5911</v>
      </c>
      <c r="D10164" s="14" t="s">
        <v>19305</v>
      </c>
      <c r="E10164" s="9" t="s">
        <v>11</v>
      </c>
    </row>
    <row r="10165" spans="1:5" outlineLevel="1" x14ac:dyDescent="0.25">
      <c r="A10165" s="2"/>
      <c r="B10165" s="6" t="s">
        <v>19306</v>
      </c>
      <c r="C10165" s="8"/>
      <c r="D10165" s="8"/>
      <c r="E10165" s="8"/>
    </row>
    <row r="10166" spans="1:5" ht="15" customHeight="1" outlineLevel="2" x14ac:dyDescent="0.25">
      <c r="A10166" s="3" t="str">
        <f>HYPERLINK("http://mystore1.ru/price_items/search?utf8=%E2%9C%93&amp;oem=8821AGNBL","8821AGNBL")</f>
        <v>8821AGNBL</v>
      </c>
      <c r="B10166" s="1" t="s">
        <v>19307</v>
      </c>
      <c r="C10166" s="9" t="s">
        <v>307</v>
      </c>
      <c r="D10166" s="14" t="s">
        <v>19308</v>
      </c>
      <c r="E10166" s="9" t="s">
        <v>8</v>
      </c>
    </row>
    <row r="10167" spans="1:5" ht="15" customHeight="1" outlineLevel="2" x14ac:dyDescent="0.25">
      <c r="A10167" s="3" t="str">
        <f>HYPERLINK("http://mystore1.ru/price_items/search?utf8=%E2%9C%93&amp;oem=8821AGNBL1B","8821AGNBL1B")</f>
        <v>8821AGNBL1B</v>
      </c>
      <c r="B10167" s="1" t="s">
        <v>19309</v>
      </c>
      <c r="C10167" s="9" t="s">
        <v>307</v>
      </c>
      <c r="D10167" s="14" t="s">
        <v>19310</v>
      </c>
      <c r="E10167" s="9" t="s">
        <v>8</v>
      </c>
    </row>
    <row r="10168" spans="1:5" outlineLevel="1" x14ac:dyDescent="0.25">
      <c r="A10168" s="2"/>
      <c r="B10168" s="6" t="s">
        <v>19311</v>
      </c>
      <c r="C10168" s="8"/>
      <c r="D10168" s="8"/>
      <c r="E10168" s="8"/>
    </row>
    <row r="10169" spans="1:5" ht="15" customHeight="1" outlineLevel="2" x14ac:dyDescent="0.25">
      <c r="A10169" s="3" t="str">
        <f>HYPERLINK("http://mystore1.ru/price_items/search?utf8=%E2%9C%93&amp;oem=8833AGSMVZ1R","8833AGSMVZ1R")</f>
        <v>8833AGSMVZ1R</v>
      </c>
      <c r="B10169" s="1" t="s">
        <v>19312</v>
      </c>
      <c r="C10169" s="9" t="s">
        <v>6108</v>
      </c>
      <c r="D10169" s="14" t="s">
        <v>19313</v>
      </c>
      <c r="E10169" s="9" t="s">
        <v>8</v>
      </c>
    </row>
    <row r="10170" spans="1:5" ht="15" customHeight="1" outlineLevel="2" x14ac:dyDescent="0.25">
      <c r="A10170" s="3" t="str">
        <f>HYPERLINK("http://mystore1.ru/price_items/search?utf8=%E2%9C%93&amp;oem=8833AGSVZ1M","8833AGSVZ1M")</f>
        <v>8833AGSVZ1M</v>
      </c>
      <c r="B10170" s="1" t="s">
        <v>19314</v>
      </c>
      <c r="C10170" s="9" t="s">
        <v>6108</v>
      </c>
      <c r="D10170" s="14" t="s">
        <v>19315</v>
      </c>
      <c r="E10170" s="9" t="s">
        <v>8</v>
      </c>
    </row>
    <row r="10171" spans="1:5" ht="15" customHeight="1" outlineLevel="2" x14ac:dyDescent="0.25">
      <c r="A10171" s="3" t="str">
        <f>HYPERLINK("http://mystore1.ru/price_items/search?utf8=%E2%9C%93&amp;oem=8833LGST2FD","8833LGST2FD")</f>
        <v>8833LGST2FD</v>
      </c>
      <c r="B10171" s="1" t="s">
        <v>19316</v>
      </c>
      <c r="C10171" s="9" t="s">
        <v>6108</v>
      </c>
      <c r="D10171" s="14" t="s">
        <v>19317</v>
      </c>
      <c r="E10171" s="9" t="s">
        <v>11</v>
      </c>
    </row>
    <row r="10172" spans="1:5" ht="15" customHeight="1" outlineLevel="2" x14ac:dyDescent="0.25">
      <c r="A10172" s="3" t="str">
        <f>HYPERLINK("http://mystore1.ru/price_items/search?utf8=%E2%9C%93&amp;oem=8833RGST2FD","8833RGST2FD")</f>
        <v>8833RGST2FD</v>
      </c>
      <c r="B10172" s="1" t="s">
        <v>19318</v>
      </c>
      <c r="C10172" s="9" t="s">
        <v>6108</v>
      </c>
      <c r="D10172" s="14" t="s">
        <v>19319</v>
      </c>
      <c r="E10172" s="9" t="s">
        <v>11</v>
      </c>
    </row>
    <row r="10173" spans="1:5" outlineLevel="1" x14ac:dyDescent="0.25">
      <c r="A10173" s="2"/>
      <c r="B10173" s="6" t="s">
        <v>19320</v>
      </c>
      <c r="C10173" s="8"/>
      <c r="D10173" s="8"/>
      <c r="E10173" s="8"/>
    </row>
    <row r="10174" spans="1:5" ht="15" customHeight="1" outlineLevel="2" x14ac:dyDescent="0.25">
      <c r="A10174" s="3" t="str">
        <f>HYPERLINK("http://mystore1.ru/price_items/search?utf8=%E2%9C%93&amp;oem=8808ACL","8808ACL")</f>
        <v>8808ACL</v>
      </c>
      <c r="B10174" s="1" t="s">
        <v>19321</v>
      </c>
      <c r="C10174" s="9" t="s">
        <v>19322</v>
      </c>
      <c r="D10174" s="14" t="s">
        <v>19323</v>
      </c>
      <c r="E10174" s="9" t="s">
        <v>8</v>
      </c>
    </row>
    <row r="10175" spans="1:5" outlineLevel="1" x14ac:dyDescent="0.25">
      <c r="A10175" s="2"/>
      <c r="B10175" s="6" t="s">
        <v>19324</v>
      </c>
      <c r="C10175" s="8"/>
      <c r="D10175" s="8"/>
      <c r="E10175" s="8"/>
    </row>
    <row r="10176" spans="1:5" ht="15" customHeight="1" outlineLevel="2" x14ac:dyDescent="0.25">
      <c r="A10176" s="3" t="str">
        <f>HYPERLINK("http://mystore1.ru/price_items/search?utf8=%E2%9C%93&amp;oem=8824AGN1R","8824AGN1R")</f>
        <v>8824AGN1R</v>
      </c>
      <c r="B10176" s="1" t="s">
        <v>19325</v>
      </c>
      <c r="C10176" s="9" t="s">
        <v>420</v>
      </c>
      <c r="D10176" s="14" t="s">
        <v>19326</v>
      </c>
      <c r="E10176" s="9" t="s">
        <v>8</v>
      </c>
    </row>
    <row r="10177" spans="1:5" ht="15" customHeight="1" outlineLevel="2" x14ac:dyDescent="0.25">
      <c r="A10177" s="3" t="str">
        <f>HYPERLINK("http://mystore1.ru/price_items/search?utf8=%E2%9C%93&amp;oem=8824AGNBL1R","8824AGNBL1R")</f>
        <v>8824AGNBL1R</v>
      </c>
      <c r="B10177" s="1" t="s">
        <v>19327</v>
      </c>
      <c r="C10177" s="9" t="s">
        <v>420</v>
      </c>
      <c r="D10177" s="14" t="s">
        <v>19328</v>
      </c>
      <c r="E10177" s="9" t="s">
        <v>8</v>
      </c>
    </row>
    <row r="10178" spans="1:5" ht="15" customHeight="1" outlineLevel="2" x14ac:dyDescent="0.25">
      <c r="A10178" s="3" t="str">
        <f>HYPERLINK("http://mystore1.ru/price_items/search?utf8=%E2%9C%93&amp;oem=8824AGNBLV2R","8824AGNBLV2R")</f>
        <v>8824AGNBLV2R</v>
      </c>
      <c r="B10178" s="1" t="s">
        <v>19329</v>
      </c>
      <c r="C10178" s="9" t="s">
        <v>1154</v>
      </c>
      <c r="D10178" s="14" t="s">
        <v>19330</v>
      </c>
      <c r="E10178" s="9" t="s">
        <v>8</v>
      </c>
    </row>
    <row r="10179" spans="1:5" ht="15" customHeight="1" outlineLevel="2" x14ac:dyDescent="0.25">
      <c r="A10179" s="3" t="str">
        <f>HYPERLINK("http://mystore1.ru/price_items/search?utf8=%E2%9C%93&amp;oem=8824AGNBLV3R","8824AGNBLV3R")</f>
        <v>8824AGNBLV3R</v>
      </c>
      <c r="B10179" s="1" t="s">
        <v>19331</v>
      </c>
      <c r="C10179" s="9" t="s">
        <v>9574</v>
      </c>
      <c r="D10179" s="14" t="s">
        <v>19332</v>
      </c>
      <c r="E10179" s="9" t="s">
        <v>8</v>
      </c>
    </row>
    <row r="10180" spans="1:5" ht="15" customHeight="1" outlineLevel="2" x14ac:dyDescent="0.25">
      <c r="A10180" s="3" t="str">
        <f>HYPERLINK("http://mystore1.ru/price_items/search?utf8=%E2%9C%93&amp;oem=8824AGNV2R","8824AGNV2R")</f>
        <v>8824AGNV2R</v>
      </c>
      <c r="B10180" s="1" t="s">
        <v>19333</v>
      </c>
      <c r="C10180" s="9" t="s">
        <v>1154</v>
      </c>
      <c r="D10180" s="14" t="s">
        <v>19334</v>
      </c>
      <c r="E10180" s="9" t="s">
        <v>8</v>
      </c>
    </row>
    <row r="10181" spans="1:5" ht="15" customHeight="1" outlineLevel="2" x14ac:dyDescent="0.25">
      <c r="A10181" s="3" t="str">
        <f>HYPERLINK("http://mystore1.ru/price_items/search?utf8=%E2%9C%93&amp;oem=8824AGNV3R","8824AGNV3R")</f>
        <v>8824AGNV3R</v>
      </c>
      <c r="B10181" s="1" t="s">
        <v>19335</v>
      </c>
      <c r="C10181" s="9" t="s">
        <v>1171</v>
      </c>
      <c r="D10181" s="14" t="s">
        <v>19336</v>
      </c>
      <c r="E10181" s="9" t="s">
        <v>8</v>
      </c>
    </row>
    <row r="10182" spans="1:5" ht="15" customHeight="1" outlineLevel="2" x14ac:dyDescent="0.25">
      <c r="A10182" s="3" t="str">
        <f>HYPERLINK("http://mystore1.ru/price_items/search?utf8=%E2%9C%93&amp;oem=8824AKCS","8824AKCS")</f>
        <v>8824AKCS</v>
      </c>
      <c r="B10182" s="1" t="s">
        <v>19337</v>
      </c>
      <c r="C10182" s="9" t="s">
        <v>25</v>
      </c>
      <c r="D10182" s="14" t="s">
        <v>19338</v>
      </c>
      <c r="E10182" s="9" t="s">
        <v>27</v>
      </c>
    </row>
    <row r="10183" spans="1:5" ht="15" customHeight="1" outlineLevel="2" x14ac:dyDescent="0.25">
      <c r="A10183" s="3" t="str">
        <f>HYPERLINK("http://mystore1.ru/price_items/search?utf8=%E2%9C%93&amp;oem=8824AKKS1G","8824AKKS1G")</f>
        <v>8824AKKS1G</v>
      </c>
      <c r="B10183" s="1" t="s">
        <v>19339</v>
      </c>
      <c r="C10183" s="9" t="s">
        <v>25</v>
      </c>
      <c r="D10183" s="14" t="s">
        <v>19340</v>
      </c>
      <c r="E10183" s="9" t="s">
        <v>27</v>
      </c>
    </row>
    <row r="10184" spans="1:5" ht="15" customHeight="1" outlineLevel="2" x14ac:dyDescent="0.25">
      <c r="A10184" s="3" t="str">
        <f>HYPERLINK("http://mystore1.ru/price_items/search?utf8=%E2%9C%93&amp;oem=8824ASMST","8824ASMST")</f>
        <v>8824ASMST</v>
      </c>
      <c r="B10184" s="1" t="s">
        <v>19341</v>
      </c>
      <c r="C10184" s="9" t="s">
        <v>25</v>
      </c>
      <c r="D10184" s="14" t="s">
        <v>19342</v>
      </c>
      <c r="E10184" s="9" t="s">
        <v>27</v>
      </c>
    </row>
    <row r="10185" spans="1:5" ht="15" customHeight="1" outlineLevel="2" x14ac:dyDescent="0.25">
      <c r="A10185" s="3" t="str">
        <f>HYPERLINK("http://mystore1.ru/price_items/search?utf8=%E2%9C%93&amp;oem=8824BGNSB","8824BGNSB")</f>
        <v>8824BGNSB</v>
      </c>
      <c r="B10185" s="1" t="s">
        <v>19343</v>
      </c>
      <c r="C10185" s="9" t="s">
        <v>3218</v>
      </c>
      <c r="D10185" s="14" t="s">
        <v>19344</v>
      </c>
      <c r="E10185" s="9" t="s">
        <v>30</v>
      </c>
    </row>
    <row r="10186" spans="1:5" ht="15" customHeight="1" outlineLevel="2" x14ac:dyDescent="0.25">
      <c r="A10186" s="3" t="str">
        <f>HYPERLINK("http://mystore1.ru/price_items/search?utf8=%E2%9C%93&amp;oem=8824LGNS4FD","8824LGNS4FD")</f>
        <v>8824LGNS4FD</v>
      </c>
      <c r="B10186" s="1" t="s">
        <v>19345</v>
      </c>
      <c r="C10186" s="9" t="s">
        <v>3218</v>
      </c>
      <c r="D10186" s="14" t="s">
        <v>19346</v>
      </c>
      <c r="E10186" s="9" t="s">
        <v>11</v>
      </c>
    </row>
    <row r="10187" spans="1:5" ht="15" customHeight="1" outlineLevel="2" x14ac:dyDescent="0.25">
      <c r="A10187" s="3" t="str">
        <f>HYPERLINK("http://mystore1.ru/price_items/search?utf8=%E2%9C%93&amp;oem=8824LGNS4RD","8824LGNS4RD")</f>
        <v>8824LGNS4RD</v>
      </c>
      <c r="B10187" s="1" t="s">
        <v>19347</v>
      </c>
      <c r="C10187" s="9" t="s">
        <v>3218</v>
      </c>
      <c r="D10187" s="14" t="s">
        <v>19348</v>
      </c>
      <c r="E10187" s="9" t="s">
        <v>11</v>
      </c>
    </row>
    <row r="10188" spans="1:5" ht="15" customHeight="1" outlineLevel="2" x14ac:dyDescent="0.25">
      <c r="A10188" s="3" t="str">
        <f>HYPERLINK("http://mystore1.ru/price_items/search?utf8=%E2%9C%93&amp;oem=8824RGNS4FD","8824RGNS4FD")</f>
        <v>8824RGNS4FD</v>
      </c>
      <c r="B10188" s="1" t="s">
        <v>19349</v>
      </c>
      <c r="C10188" s="9" t="s">
        <v>3218</v>
      </c>
      <c r="D10188" s="14" t="s">
        <v>19350</v>
      </c>
      <c r="E10188" s="9" t="s">
        <v>11</v>
      </c>
    </row>
    <row r="10189" spans="1:5" ht="15" customHeight="1" outlineLevel="2" x14ac:dyDescent="0.25">
      <c r="A10189" s="3" t="str">
        <f>HYPERLINK("http://mystore1.ru/price_items/search?utf8=%E2%9C%93&amp;oem=8824RGNS4RD","8824RGNS4RD")</f>
        <v>8824RGNS4RD</v>
      </c>
      <c r="B10189" s="1" t="s">
        <v>19351</v>
      </c>
      <c r="C10189" s="9" t="s">
        <v>3218</v>
      </c>
      <c r="D10189" s="14" t="s">
        <v>19352</v>
      </c>
      <c r="E10189" s="9" t="s">
        <v>11</v>
      </c>
    </row>
    <row r="10190" spans="1:5" outlineLevel="1" x14ac:dyDescent="0.25">
      <c r="A10190" s="2"/>
      <c r="B10190" s="6" t="s">
        <v>19353</v>
      </c>
      <c r="C10190" s="8"/>
      <c r="D10190" s="8"/>
      <c r="E10190" s="8"/>
    </row>
    <row r="10191" spans="1:5" ht="15" customHeight="1" outlineLevel="2" x14ac:dyDescent="0.25">
      <c r="A10191" s="3" t="str">
        <f>HYPERLINK("http://mystore1.ru/price_items/search?utf8=%E2%9C%93&amp;oem=8832AGSMVZ1R","8832AGSMVZ1R")</f>
        <v>8832AGSMVZ1R</v>
      </c>
      <c r="B10191" s="1" t="s">
        <v>19354</v>
      </c>
      <c r="C10191" s="9" t="s">
        <v>385</v>
      </c>
      <c r="D10191" s="14" t="s">
        <v>19355</v>
      </c>
      <c r="E10191" s="9" t="s">
        <v>8</v>
      </c>
    </row>
    <row r="10192" spans="1:5" ht="15" customHeight="1" outlineLevel="2" x14ac:dyDescent="0.25">
      <c r="A10192" s="3" t="str">
        <f>HYPERLINK("http://mystore1.ru/price_items/search?utf8=%E2%9C%93&amp;oem=8832AGSMVZ2R","8832AGSMVZ2R")</f>
        <v>8832AGSMVZ2R</v>
      </c>
      <c r="B10192" s="1" t="s">
        <v>19356</v>
      </c>
      <c r="C10192" s="9" t="s">
        <v>6175</v>
      </c>
      <c r="D10192" s="14" t="s">
        <v>19357</v>
      </c>
      <c r="E10192" s="9" t="s">
        <v>8</v>
      </c>
    </row>
    <row r="10193" spans="1:5" ht="15" customHeight="1" outlineLevel="2" x14ac:dyDescent="0.25">
      <c r="A10193" s="3" t="str">
        <f>HYPERLINK("http://mystore1.ru/price_items/search?utf8=%E2%9C%93&amp;oem=8832AGSVZ1M","8832AGSVZ1M")</f>
        <v>8832AGSVZ1M</v>
      </c>
      <c r="B10193" s="1" t="s">
        <v>19358</v>
      </c>
      <c r="C10193" s="9" t="s">
        <v>1590</v>
      </c>
      <c r="D10193" s="14" t="s">
        <v>19359</v>
      </c>
      <c r="E10193" s="9" t="s">
        <v>8</v>
      </c>
    </row>
    <row r="10194" spans="1:5" ht="15" customHeight="1" outlineLevel="2" x14ac:dyDescent="0.25">
      <c r="A10194" s="3" t="str">
        <f>HYPERLINK("http://mystore1.ru/price_items/search?utf8=%E2%9C%93&amp;oem=8832AGSBLMVZ2R","8832AGSBLMVZ2R")</f>
        <v>8832AGSBLMVZ2R</v>
      </c>
      <c r="B10194" s="1" t="s">
        <v>19360</v>
      </c>
      <c r="C10194" s="9" t="s">
        <v>385</v>
      </c>
      <c r="D10194" s="14" t="s">
        <v>19361</v>
      </c>
      <c r="E10194" s="9" t="s">
        <v>8</v>
      </c>
    </row>
    <row r="10195" spans="1:5" ht="15" customHeight="1" outlineLevel="2" x14ac:dyDescent="0.25">
      <c r="A10195" s="3" t="str">
        <f>HYPERLINK("http://mystore1.ru/price_items/search?utf8=%E2%9C%93&amp;oem=8832BGSEABI","8832BGSEABI")</f>
        <v>8832BGSEABI</v>
      </c>
      <c r="B10195" s="1" t="s">
        <v>19362</v>
      </c>
      <c r="C10195" s="9" t="s">
        <v>385</v>
      </c>
      <c r="D10195" s="14" t="s">
        <v>19363</v>
      </c>
      <c r="E10195" s="9" t="s">
        <v>30</v>
      </c>
    </row>
    <row r="10196" spans="1:5" ht="15" customHeight="1" outlineLevel="2" x14ac:dyDescent="0.25">
      <c r="A10196" s="3" t="str">
        <f>HYPERLINK("http://mystore1.ru/price_items/search?utf8=%E2%9C%93&amp;oem=8832BGSSABZ","8832BGSSABZ")</f>
        <v>8832BGSSABZ</v>
      </c>
      <c r="B10196" s="1" t="s">
        <v>19364</v>
      </c>
      <c r="C10196" s="9" t="s">
        <v>385</v>
      </c>
      <c r="D10196" s="14" t="s">
        <v>19365</v>
      </c>
      <c r="E10196" s="9" t="s">
        <v>30</v>
      </c>
    </row>
    <row r="10197" spans="1:5" ht="15" customHeight="1" outlineLevel="2" x14ac:dyDescent="0.25">
      <c r="A10197" s="3" t="str">
        <f>HYPERLINK("http://mystore1.ru/price_items/search?utf8=%E2%9C%93&amp;oem=8832LGSE5RD","8832LGSE5RD")</f>
        <v>8832LGSE5RD</v>
      </c>
      <c r="B10197" s="1" t="s">
        <v>19366</v>
      </c>
      <c r="C10197" s="9" t="s">
        <v>385</v>
      </c>
      <c r="D10197" s="14" t="s">
        <v>19367</v>
      </c>
      <c r="E10197" s="9" t="s">
        <v>11</v>
      </c>
    </row>
    <row r="10198" spans="1:5" ht="15" customHeight="1" outlineLevel="2" x14ac:dyDescent="0.25">
      <c r="A10198" s="3" t="str">
        <f>HYPERLINK("http://mystore1.ru/price_items/search?utf8=%E2%9C%93&amp;oem=8832LGSH3FD","8832LGSH3FD")</f>
        <v>8832LGSH3FD</v>
      </c>
      <c r="B10198" s="1" t="s">
        <v>19368</v>
      </c>
      <c r="C10198" s="9" t="s">
        <v>6175</v>
      </c>
      <c r="D10198" s="14" t="s">
        <v>19369</v>
      </c>
      <c r="E10198" s="9" t="s">
        <v>11</v>
      </c>
    </row>
    <row r="10199" spans="1:5" ht="15" customHeight="1" outlineLevel="2" x14ac:dyDescent="0.25">
      <c r="A10199" s="3" t="str">
        <f>HYPERLINK("http://mystore1.ru/price_items/search?utf8=%E2%9C%93&amp;oem=8832LGSH3FDKW","8832LGSH3FDKW")</f>
        <v>8832LGSH3FDKW</v>
      </c>
      <c r="B10199" s="1" t="s">
        <v>19370</v>
      </c>
      <c r="C10199" s="9" t="s">
        <v>6175</v>
      </c>
      <c r="D10199" s="14" t="s">
        <v>19371</v>
      </c>
      <c r="E10199" s="9" t="s">
        <v>11</v>
      </c>
    </row>
    <row r="10200" spans="1:5" ht="15" customHeight="1" outlineLevel="2" x14ac:dyDescent="0.25">
      <c r="A10200" s="3" t="str">
        <f>HYPERLINK("http://mystore1.ru/price_items/search?utf8=%E2%9C%93&amp;oem=8832LGSS4FD","8832LGSS4FD")</f>
        <v>8832LGSS4FD</v>
      </c>
      <c r="B10200" s="1" t="s">
        <v>19372</v>
      </c>
      <c r="C10200" s="9" t="s">
        <v>385</v>
      </c>
      <c r="D10200" s="14" t="s">
        <v>19373</v>
      </c>
      <c r="E10200" s="9" t="s">
        <v>11</v>
      </c>
    </row>
    <row r="10201" spans="1:5" ht="15" customHeight="1" outlineLevel="2" x14ac:dyDescent="0.25">
      <c r="A10201" s="3" t="str">
        <f>HYPERLINK("http://mystore1.ru/price_items/search?utf8=%E2%9C%93&amp;oem=8832LGSS4RD","8832LGSS4RD")</f>
        <v>8832LGSS4RD</v>
      </c>
      <c r="B10201" s="1" t="s">
        <v>19374</v>
      </c>
      <c r="C10201" s="9" t="s">
        <v>385</v>
      </c>
      <c r="D10201" s="14" t="s">
        <v>19367</v>
      </c>
      <c r="E10201" s="9" t="s">
        <v>11</v>
      </c>
    </row>
    <row r="10202" spans="1:5" ht="15" customHeight="1" outlineLevel="2" x14ac:dyDescent="0.25">
      <c r="A10202" s="3" t="str">
        <f>HYPERLINK("http://mystore1.ru/price_items/search?utf8=%E2%9C%93&amp;oem=8832RGSE5RD","8832RGSE5RD")</f>
        <v>8832RGSE5RD</v>
      </c>
      <c r="B10202" s="1" t="s">
        <v>19375</v>
      </c>
      <c r="C10202" s="9" t="s">
        <v>385</v>
      </c>
      <c r="D10202" s="14" t="s">
        <v>19376</v>
      </c>
      <c r="E10202" s="9" t="s">
        <v>11</v>
      </c>
    </row>
    <row r="10203" spans="1:5" ht="15" customHeight="1" outlineLevel="2" x14ac:dyDescent="0.25">
      <c r="A10203" s="3" t="str">
        <f>HYPERLINK("http://mystore1.ru/price_items/search?utf8=%E2%9C%93&amp;oem=8832RGSH3FD","8832RGSH3FD")</f>
        <v>8832RGSH3FD</v>
      </c>
      <c r="B10203" s="1" t="s">
        <v>19377</v>
      </c>
      <c r="C10203" s="9" t="s">
        <v>6175</v>
      </c>
      <c r="D10203" s="14" t="s">
        <v>19378</v>
      </c>
      <c r="E10203" s="9" t="s">
        <v>11</v>
      </c>
    </row>
    <row r="10204" spans="1:5" ht="15" customHeight="1" outlineLevel="2" x14ac:dyDescent="0.25">
      <c r="A10204" s="3" t="str">
        <f>HYPERLINK("http://mystore1.ru/price_items/search?utf8=%E2%9C%93&amp;oem=8832RGSH3FDKW","8832RGSH3FDKW")</f>
        <v>8832RGSH3FDKW</v>
      </c>
      <c r="B10204" s="1" t="s">
        <v>19379</v>
      </c>
      <c r="C10204" s="9" t="s">
        <v>6175</v>
      </c>
      <c r="D10204" s="14" t="s">
        <v>19380</v>
      </c>
      <c r="E10204" s="9" t="s">
        <v>11</v>
      </c>
    </row>
    <row r="10205" spans="1:5" ht="15" customHeight="1" outlineLevel="2" x14ac:dyDescent="0.25">
      <c r="A10205" s="3" t="str">
        <f>HYPERLINK("http://mystore1.ru/price_items/search?utf8=%E2%9C%93&amp;oem=8832RGSS4FD","8832RGSS4FD")</f>
        <v>8832RGSS4FD</v>
      </c>
      <c r="B10205" s="1" t="s">
        <v>19381</v>
      </c>
      <c r="C10205" s="9" t="s">
        <v>385</v>
      </c>
      <c r="D10205" s="14" t="s">
        <v>19382</v>
      </c>
      <c r="E10205" s="9" t="s">
        <v>11</v>
      </c>
    </row>
    <row r="10206" spans="1:5" ht="15" customHeight="1" outlineLevel="2" x14ac:dyDescent="0.25">
      <c r="A10206" s="3" t="str">
        <f>HYPERLINK("http://mystore1.ru/price_items/search?utf8=%E2%9C%93&amp;oem=8832RGSS4RD","8832RGSS4RD")</f>
        <v>8832RGSS4RD</v>
      </c>
      <c r="B10206" s="1" t="s">
        <v>19383</v>
      </c>
      <c r="C10206" s="9" t="s">
        <v>385</v>
      </c>
      <c r="D10206" s="14" t="s">
        <v>19376</v>
      </c>
      <c r="E10206" s="9" t="s">
        <v>11</v>
      </c>
    </row>
    <row r="10207" spans="1:5" outlineLevel="1" x14ac:dyDescent="0.25">
      <c r="A10207" s="2"/>
      <c r="B10207" s="6" t="s">
        <v>19384</v>
      </c>
      <c r="C10207" s="8"/>
      <c r="D10207" s="8"/>
      <c r="E10207" s="8"/>
    </row>
    <row r="10208" spans="1:5" ht="15" customHeight="1" outlineLevel="2" x14ac:dyDescent="0.25">
      <c r="A10208" s="3" t="str">
        <f>HYPERLINK("http://mystore1.ru/price_items/search?utf8=%E2%9C%93&amp;oem=8829AGSBLMW1M","8829AGSBLMW1M")</f>
        <v>8829AGSBLMW1M</v>
      </c>
      <c r="B10208" s="1" t="s">
        <v>19385</v>
      </c>
      <c r="C10208" s="9" t="s">
        <v>74</v>
      </c>
      <c r="D10208" s="14" t="s">
        <v>19386</v>
      </c>
      <c r="E10208" s="9" t="s">
        <v>8</v>
      </c>
    </row>
    <row r="10209" spans="1:5" ht="15" customHeight="1" outlineLevel="2" x14ac:dyDescent="0.25">
      <c r="A10209" s="3" t="str">
        <f>HYPERLINK("http://mystore1.ru/price_items/search?utf8=%E2%9C%93&amp;oem=8829AGSBLW1M","8829AGSBLW1M")</f>
        <v>8829AGSBLW1M</v>
      </c>
      <c r="B10209" s="1" t="s">
        <v>19387</v>
      </c>
      <c r="C10209" s="9" t="s">
        <v>74</v>
      </c>
      <c r="D10209" s="14" t="s">
        <v>19388</v>
      </c>
      <c r="E10209" s="9" t="s">
        <v>8</v>
      </c>
    </row>
    <row r="10210" spans="1:5" ht="15" customHeight="1" outlineLevel="2" x14ac:dyDescent="0.25">
      <c r="A10210" s="3" t="str">
        <f>HYPERLINK("http://mystore1.ru/price_items/search?utf8=%E2%9C%93&amp;oem=8829ASMET","8829ASMET")</f>
        <v>8829ASMET</v>
      </c>
      <c r="B10210" s="1" t="s">
        <v>19389</v>
      </c>
      <c r="C10210" s="9" t="s">
        <v>25</v>
      </c>
      <c r="D10210" s="14" t="s">
        <v>19390</v>
      </c>
      <c r="E10210" s="9" t="s">
        <v>27</v>
      </c>
    </row>
    <row r="10211" spans="1:5" ht="15" customHeight="1" outlineLevel="2" x14ac:dyDescent="0.25">
      <c r="A10211" s="3" t="str">
        <f>HYPERLINK("http://mystore1.ru/price_items/search?utf8=%E2%9C%93&amp;oem=8829BGSEBGW","8829BGSEBGW")</f>
        <v>8829BGSEBGW</v>
      </c>
      <c r="B10211" s="1" t="s">
        <v>19391</v>
      </c>
      <c r="C10211" s="9" t="s">
        <v>74</v>
      </c>
      <c r="D10211" s="14" t="s">
        <v>19392</v>
      </c>
      <c r="E10211" s="9" t="s">
        <v>30</v>
      </c>
    </row>
    <row r="10212" spans="1:5" ht="15" customHeight="1" outlineLevel="2" x14ac:dyDescent="0.25">
      <c r="A10212" s="3" t="str">
        <f>HYPERLINK("http://mystore1.ru/price_items/search?utf8=%E2%9C%93&amp;oem=8829BGSSABGW","8829BGSSABGW")</f>
        <v>8829BGSSABGW</v>
      </c>
      <c r="B10212" s="1" t="s">
        <v>19393</v>
      </c>
      <c r="C10212" s="9" t="s">
        <v>74</v>
      </c>
      <c r="D10212" s="14" t="s">
        <v>19394</v>
      </c>
      <c r="E10212" s="9" t="s">
        <v>30</v>
      </c>
    </row>
    <row r="10213" spans="1:5" ht="15" customHeight="1" outlineLevel="2" x14ac:dyDescent="0.25">
      <c r="A10213" s="3" t="str">
        <f>HYPERLINK("http://mystore1.ru/price_items/search?utf8=%E2%9C%93&amp;oem=8829BGSSABW","8829BGSSABW")</f>
        <v>8829BGSSABW</v>
      </c>
      <c r="B10213" s="1" t="s">
        <v>19395</v>
      </c>
      <c r="C10213" s="9" t="s">
        <v>74</v>
      </c>
      <c r="D10213" s="14" t="s">
        <v>19396</v>
      </c>
      <c r="E10213" s="9" t="s">
        <v>30</v>
      </c>
    </row>
    <row r="10214" spans="1:5" ht="15" customHeight="1" outlineLevel="2" x14ac:dyDescent="0.25">
      <c r="A10214" s="3" t="str">
        <f>HYPERLINK("http://mystore1.ru/price_items/search?utf8=%E2%9C%93&amp;oem=8829LGSE5FDW","8829LGSE5FDW")</f>
        <v>8829LGSE5FDW</v>
      </c>
      <c r="B10214" s="1" t="s">
        <v>19397</v>
      </c>
      <c r="C10214" s="9" t="s">
        <v>74</v>
      </c>
      <c r="D10214" s="14" t="s">
        <v>19398</v>
      </c>
      <c r="E10214" s="9" t="s">
        <v>11</v>
      </c>
    </row>
    <row r="10215" spans="1:5" ht="15" customHeight="1" outlineLevel="2" x14ac:dyDescent="0.25">
      <c r="A10215" s="3" t="str">
        <f>HYPERLINK("http://mystore1.ru/price_items/search?utf8=%E2%9C%93&amp;oem=8829LGSE5RDW","8829LGSE5RDW")</f>
        <v>8829LGSE5RDW</v>
      </c>
      <c r="B10215" s="1" t="s">
        <v>19399</v>
      </c>
      <c r="C10215" s="9" t="s">
        <v>74</v>
      </c>
      <c r="D10215" s="14" t="s">
        <v>19400</v>
      </c>
      <c r="E10215" s="9" t="s">
        <v>11</v>
      </c>
    </row>
    <row r="10216" spans="1:5" ht="15" customHeight="1" outlineLevel="2" x14ac:dyDescent="0.25">
      <c r="A10216" s="3" t="str">
        <f>HYPERLINK("http://mystore1.ru/price_items/search?utf8=%E2%9C%93&amp;oem=8829LGSS4RDW","8829LGSS4RDW")</f>
        <v>8829LGSS4RDW</v>
      </c>
      <c r="B10216" s="1" t="s">
        <v>19401</v>
      </c>
      <c r="C10216" s="9" t="s">
        <v>74</v>
      </c>
      <c r="D10216" s="14" t="s">
        <v>19400</v>
      </c>
      <c r="E10216" s="9" t="s">
        <v>11</v>
      </c>
    </row>
    <row r="10217" spans="1:5" ht="15" customHeight="1" outlineLevel="2" x14ac:dyDescent="0.25">
      <c r="A10217" s="3" t="str">
        <f>HYPERLINK("http://mystore1.ru/price_items/search?utf8=%E2%9C%93&amp;oem=8829RGSE5FDW","8829RGSE5FDW")</f>
        <v>8829RGSE5FDW</v>
      </c>
      <c r="B10217" s="1" t="s">
        <v>19402</v>
      </c>
      <c r="C10217" s="9" t="s">
        <v>74</v>
      </c>
      <c r="D10217" s="14" t="s">
        <v>19403</v>
      </c>
      <c r="E10217" s="9" t="s">
        <v>11</v>
      </c>
    </row>
    <row r="10218" spans="1:5" ht="15" customHeight="1" outlineLevel="2" x14ac:dyDescent="0.25">
      <c r="A10218" s="3" t="str">
        <f>HYPERLINK("http://mystore1.ru/price_items/search?utf8=%E2%9C%93&amp;oem=8829RGSE5RDW","8829RGSE5RDW")</f>
        <v>8829RGSE5RDW</v>
      </c>
      <c r="B10218" s="1" t="s">
        <v>19404</v>
      </c>
      <c r="C10218" s="9" t="s">
        <v>74</v>
      </c>
      <c r="D10218" s="14" t="s">
        <v>19405</v>
      </c>
      <c r="E10218" s="9" t="s">
        <v>11</v>
      </c>
    </row>
    <row r="10219" spans="1:5" ht="15" customHeight="1" outlineLevel="2" x14ac:dyDescent="0.25">
      <c r="A10219" s="3" t="str">
        <f>HYPERLINK("http://mystore1.ru/price_items/search?utf8=%E2%9C%93&amp;oem=8829RGSS4RDW","8829RGSS4RDW")</f>
        <v>8829RGSS4RDW</v>
      </c>
      <c r="B10219" s="1" t="s">
        <v>19406</v>
      </c>
      <c r="C10219" s="9" t="s">
        <v>74</v>
      </c>
      <c r="D10219" s="14" t="s">
        <v>19405</v>
      </c>
      <c r="E10219" s="9" t="s">
        <v>11</v>
      </c>
    </row>
    <row r="10220" spans="1:5" outlineLevel="1" x14ac:dyDescent="0.25">
      <c r="A10220" s="2"/>
      <c r="B10220" s="6" t="s">
        <v>19407</v>
      </c>
      <c r="C10220" s="8"/>
      <c r="D10220" s="8"/>
      <c r="E10220" s="8"/>
    </row>
    <row r="10221" spans="1:5" ht="15" customHeight="1" outlineLevel="2" x14ac:dyDescent="0.25">
      <c r="A10221" s="3" t="str">
        <f>HYPERLINK("http://mystore1.ru/price_items/search?utf8=%E2%9C%93&amp;oem=8827AGSBLW","8827AGSBLW")</f>
        <v>8827AGSBLW</v>
      </c>
      <c r="B10221" s="1" t="s">
        <v>19408</v>
      </c>
      <c r="C10221" s="9" t="s">
        <v>6602</v>
      </c>
      <c r="D10221" s="14" t="s">
        <v>19409</v>
      </c>
      <c r="E10221" s="9" t="s">
        <v>8</v>
      </c>
    </row>
    <row r="10222" spans="1:5" ht="15" customHeight="1" outlineLevel="2" x14ac:dyDescent="0.25">
      <c r="A10222" s="3" t="str">
        <f>HYPERLINK("http://mystore1.ru/price_items/search?utf8=%E2%9C%93&amp;oem=8827ASMST","8827ASMST")</f>
        <v>8827ASMST</v>
      </c>
      <c r="B10222" s="1" t="s">
        <v>19410</v>
      </c>
      <c r="C10222" s="9" t="s">
        <v>25</v>
      </c>
      <c r="D10222" s="14" t="s">
        <v>19411</v>
      </c>
      <c r="E10222" s="9" t="s">
        <v>27</v>
      </c>
    </row>
    <row r="10223" spans="1:5" ht="15" customHeight="1" outlineLevel="2" x14ac:dyDescent="0.25">
      <c r="A10223" s="3" t="str">
        <f>HYPERLINK("http://mystore1.ru/price_items/search?utf8=%E2%9C%93&amp;oem=8827BGNEBW","8827BGNEBW")</f>
        <v>8827BGNEBW</v>
      </c>
      <c r="B10223" s="1" t="s">
        <v>19412</v>
      </c>
      <c r="C10223" s="9" t="s">
        <v>6602</v>
      </c>
      <c r="D10223" s="14" t="s">
        <v>19413</v>
      </c>
      <c r="E10223" s="9" t="s">
        <v>30</v>
      </c>
    </row>
    <row r="10224" spans="1:5" ht="15" customHeight="1" outlineLevel="2" x14ac:dyDescent="0.25">
      <c r="A10224" s="3" t="str">
        <f>HYPERLINK("http://mystore1.ru/price_items/search?utf8=%E2%9C%93&amp;oem=8827BGNEBWX","8827BGNEBWX")</f>
        <v>8827BGNEBWX</v>
      </c>
      <c r="B10224" s="1" t="s">
        <v>19414</v>
      </c>
      <c r="C10224" s="9" t="s">
        <v>6602</v>
      </c>
      <c r="D10224" s="14" t="s">
        <v>19415</v>
      </c>
      <c r="E10224" s="9" t="s">
        <v>30</v>
      </c>
    </row>
    <row r="10225" spans="1:5" ht="15" customHeight="1" outlineLevel="2" x14ac:dyDescent="0.25">
      <c r="A10225" s="3" t="str">
        <f>HYPERLINK("http://mystore1.ru/price_items/search?utf8=%E2%9C%93&amp;oem=8827LGNS4FDW","8827LGNS4FDW")</f>
        <v>8827LGNS4FDW</v>
      </c>
      <c r="B10225" s="1" t="s">
        <v>19416</v>
      </c>
      <c r="C10225" s="9" t="s">
        <v>6602</v>
      </c>
      <c r="D10225" s="14" t="s">
        <v>19417</v>
      </c>
      <c r="E10225" s="9" t="s">
        <v>11</v>
      </c>
    </row>
    <row r="10226" spans="1:5" ht="15" customHeight="1" outlineLevel="2" x14ac:dyDescent="0.25">
      <c r="A10226" s="3" t="str">
        <f>HYPERLINK("http://mystore1.ru/price_items/search?utf8=%E2%9C%93&amp;oem=8827LGNS4RDW","8827LGNS4RDW")</f>
        <v>8827LGNS4RDW</v>
      </c>
      <c r="B10226" s="1" t="s">
        <v>19418</v>
      </c>
      <c r="C10226" s="9" t="s">
        <v>6602</v>
      </c>
      <c r="D10226" s="14" t="s">
        <v>19419</v>
      </c>
      <c r="E10226" s="9" t="s">
        <v>11</v>
      </c>
    </row>
    <row r="10227" spans="1:5" ht="15" customHeight="1" outlineLevel="2" x14ac:dyDescent="0.25">
      <c r="A10227" s="3" t="str">
        <f>HYPERLINK("http://mystore1.ru/price_items/search?utf8=%E2%9C%93&amp;oem=8827RGNS4FDW","8827RGNS4FDW")</f>
        <v>8827RGNS4FDW</v>
      </c>
      <c r="B10227" s="1" t="s">
        <v>19420</v>
      </c>
      <c r="C10227" s="9" t="s">
        <v>6602</v>
      </c>
      <c r="D10227" s="14" t="s">
        <v>19421</v>
      </c>
      <c r="E10227" s="9" t="s">
        <v>11</v>
      </c>
    </row>
    <row r="10228" spans="1:5" ht="15" customHeight="1" outlineLevel="2" x14ac:dyDescent="0.25">
      <c r="A10228" s="3" t="str">
        <f>HYPERLINK("http://mystore1.ru/price_items/search?utf8=%E2%9C%93&amp;oem=8827RGNS4RDW","8827RGNS4RDW")</f>
        <v>8827RGNS4RDW</v>
      </c>
      <c r="B10228" s="1" t="s">
        <v>19422</v>
      </c>
      <c r="C10228" s="9" t="s">
        <v>6602</v>
      </c>
      <c r="D10228" s="14" t="s">
        <v>19423</v>
      </c>
      <c r="E10228" s="9" t="s">
        <v>11</v>
      </c>
    </row>
    <row r="10229" spans="1:5" outlineLevel="1" x14ac:dyDescent="0.25">
      <c r="A10229" s="2"/>
      <c r="B10229" s="6" t="s">
        <v>19424</v>
      </c>
      <c r="C10229" s="8"/>
      <c r="D10229" s="8"/>
      <c r="E10229" s="8"/>
    </row>
    <row r="10230" spans="1:5" ht="15" customHeight="1" outlineLevel="2" x14ac:dyDescent="0.25">
      <c r="A10230" s="3" t="str">
        <f>HYPERLINK("http://mystore1.ru/price_items/search?utf8=%E2%9C%93&amp;oem=8828AGSBLW1M","8828AGSBLW1M")</f>
        <v>8828AGSBLW1M</v>
      </c>
      <c r="B10230" s="1" t="s">
        <v>19425</v>
      </c>
      <c r="C10230" s="9" t="s">
        <v>727</v>
      </c>
      <c r="D10230" s="14" t="s">
        <v>19426</v>
      </c>
      <c r="E10230" s="9" t="s">
        <v>8</v>
      </c>
    </row>
    <row r="10231" spans="1:5" ht="15" customHeight="1" outlineLevel="2" x14ac:dyDescent="0.25">
      <c r="A10231" s="3" t="str">
        <f>HYPERLINK("http://mystore1.ru/price_items/search?utf8=%E2%9C%93&amp;oem=8828AGSBLMW1R","8828AGSBLMW1R")</f>
        <v>8828AGSBLMW1R</v>
      </c>
      <c r="B10231" s="1" t="s">
        <v>19427</v>
      </c>
      <c r="C10231" s="9" t="s">
        <v>727</v>
      </c>
      <c r="D10231" s="14" t="s">
        <v>19428</v>
      </c>
      <c r="E10231" s="9" t="s">
        <v>8</v>
      </c>
    </row>
    <row r="10232" spans="1:5" ht="15" customHeight="1" outlineLevel="2" x14ac:dyDescent="0.25">
      <c r="A10232" s="3" t="str">
        <f>HYPERLINK("http://mystore1.ru/price_items/search?utf8=%E2%9C%93&amp;oem=8828AGNBLW","8828AGNBLW")</f>
        <v>8828AGNBLW</v>
      </c>
      <c r="B10232" s="1" t="s">
        <v>19429</v>
      </c>
      <c r="C10232" s="9" t="s">
        <v>727</v>
      </c>
      <c r="D10232" s="14" t="s">
        <v>19430</v>
      </c>
      <c r="E10232" s="9" t="s">
        <v>8</v>
      </c>
    </row>
    <row r="10233" spans="1:5" ht="15" customHeight="1" outlineLevel="2" x14ac:dyDescent="0.25">
      <c r="A10233" s="3" t="str">
        <f>HYPERLINK("http://mystore1.ru/price_items/search?utf8=%E2%9C%93&amp;oem=8828ASMST","8828ASMST")</f>
        <v>8828ASMST</v>
      </c>
      <c r="B10233" s="1" t="s">
        <v>19431</v>
      </c>
      <c r="C10233" s="9" t="s">
        <v>25</v>
      </c>
      <c r="D10233" s="14" t="s">
        <v>19432</v>
      </c>
      <c r="E10233" s="9" t="s">
        <v>27</v>
      </c>
    </row>
    <row r="10234" spans="1:5" ht="15" customHeight="1" outlineLevel="2" x14ac:dyDescent="0.25">
      <c r="A10234" s="3" t="str">
        <f>HYPERLINK("http://mystore1.ru/price_items/search?utf8=%E2%9C%93&amp;oem=8828LGSS4FDW","8828LGSS4FDW")</f>
        <v>8828LGSS4FDW</v>
      </c>
      <c r="B10234" s="1" t="s">
        <v>19433</v>
      </c>
      <c r="C10234" s="9" t="s">
        <v>727</v>
      </c>
      <c r="D10234" s="14" t="s">
        <v>19434</v>
      </c>
      <c r="E10234" s="9" t="s">
        <v>11</v>
      </c>
    </row>
    <row r="10235" spans="1:5" ht="15" customHeight="1" outlineLevel="2" x14ac:dyDescent="0.25">
      <c r="A10235" s="3" t="str">
        <f>HYPERLINK("http://mystore1.ru/price_items/search?utf8=%E2%9C%93&amp;oem=8828LGSS4RDW","8828LGSS4RDW")</f>
        <v>8828LGSS4RDW</v>
      </c>
      <c r="B10235" s="1" t="s">
        <v>19435</v>
      </c>
      <c r="C10235" s="9" t="s">
        <v>727</v>
      </c>
      <c r="D10235" s="14" t="s">
        <v>19436</v>
      </c>
      <c r="E10235" s="9" t="s">
        <v>11</v>
      </c>
    </row>
    <row r="10236" spans="1:5" ht="15" customHeight="1" outlineLevel="2" x14ac:dyDescent="0.25">
      <c r="A10236" s="3" t="str">
        <f>HYPERLINK("http://mystore1.ru/price_items/search?utf8=%E2%9C%93&amp;oem=8828RGSS4FDW","8828RGSS4FDW")</f>
        <v>8828RGSS4FDW</v>
      </c>
      <c r="B10236" s="1" t="s">
        <v>19437</v>
      </c>
      <c r="C10236" s="9" t="s">
        <v>727</v>
      </c>
      <c r="D10236" s="14" t="s">
        <v>19438</v>
      </c>
      <c r="E10236" s="9" t="s">
        <v>11</v>
      </c>
    </row>
    <row r="10237" spans="1:5" ht="15" customHeight="1" outlineLevel="2" x14ac:dyDescent="0.25">
      <c r="A10237" s="3" t="str">
        <f>HYPERLINK("http://mystore1.ru/price_items/search?utf8=%E2%9C%93&amp;oem=8828RGSS4RDW","8828RGSS4RDW")</f>
        <v>8828RGSS4RDW</v>
      </c>
      <c r="B10237" s="1" t="s">
        <v>19439</v>
      </c>
      <c r="C10237" s="9" t="s">
        <v>727</v>
      </c>
      <c r="D10237" s="14" t="s">
        <v>19440</v>
      </c>
      <c r="E10237" s="9" t="s">
        <v>11</v>
      </c>
    </row>
    <row r="10238" spans="1:5" outlineLevel="1" x14ac:dyDescent="0.25">
      <c r="A10238" s="2"/>
      <c r="B10238" s="6" t="s">
        <v>19441</v>
      </c>
      <c r="C10238" s="8"/>
      <c r="D10238" s="8"/>
      <c r="E10238" s="8"/>
    </row>
    <row r="10239" spans="1:5" ht="15" customHeight="1" outlineLevel="2" x14ac:dyDescent="0.25">
      <c r="A10239" s="3" t="str">
        <f>HYPERLINK("http://mystore1.ru/price_items/search?utf8=%E2%9C%93&amp;oem=8836AGSMVZ1R","8836AGSMVZ1R")</f>
        <v>8836AGSMVZ1R</v>
      </c>
      <c r="B10239" s="1" t="s">
        <v>19442</v>
      </c>
      <c r="C10239" s="9" t="s">
        <v>511</v>
      </c>
      <c r="D10239" s="14" t="s">
        <v>19443</v>
      </c>
      <c r="E10239" s="9" t="s">
        <v>8</v>
      </c>
    </row>
    <row r="10240" spans="1:5" ht="15" customHeight="1" outlineLevel="2" x14ac:dyDescent="0.25">
      <c r="A10240" s="3" t="str">
        <f>HYPERLINK("http://mystore1.ru/price_items/search?utf8=%E2%9C%93&amp;oem=8836AGSVZ1M","8836AGSVZ1M")</f>
        <v>8836AGSVZ1M</v>
      </c>
      <c r="B10240" s="1" t="s">
        <v>19444</v>
      </c>
      <c r="C10240" s="9" t="s">
        <v>511</v>
      </c>
      <c r="D10240" s="14" t="s">
        <v>19445</v>
      </c>
      <c r="E10240" s="9" t="s">
        <v>8</v>
      </c>
    </row>
    <row r="10241" spans="1:5" ht="15" customHeight="1" outlineLevel="2" x14ac:dyDescent="0.25">
      <c r="A10241" s="3" t="str">
        <f>HYPERLINK("http://mystore1.ru/price_items/search?utf8=%E2%9C%93&amp;oem=8836AGAMPVWZ1R","8836AGAMPVWZ1R")</f>
        <v>8836AGAMPVWZ1R</v>
      </c>
      <c r="B10241" s="1" t="s">
        <v>19446</v>
      </c>
      <c r="C10241" s="9" t="s">
        <v>369</v>
      </c>
      <c r="D10241" s="14" t="s">
        <v>19447</v>
      </c>
      <c r="E10241" s="9" t="s">
        <v>8</v>
      </c>
    </row>
    <row r="10242" spans="1:5" ht="15" customHeight="1" outlineLevel="2" x14ac:dyDescent="0.25">
      <c r="A10242" s="3" t="str">
        <f>HYPERLINK("http://mystore1.ru/price_items/search?utf8=%E2%9C%93&amp;oem=8836LGSS4FD","8836LGSS4FD")</f>
        <v>8836LGSS4FD</v>
      </c>
      <c r="B10242" s="1" t="s">
        <v>19448</v>
      </c>
      <c r="C10242" s="9" t="s">
        <v>511</v>
      </c>
      <c r="D10242" s="14" t="s">
        <v>19449</v>
      </c>
      <c r="E10242" s="9" t="s">
        <v>11</v>
      </c>
    </row>
    <row r="10243" spans="1:5" ht="15" customHeight="1" outlineLevel="2" x14ac:dyDescent="0.25">
      <c r="A10243" s="3" t="str">
        <f>HYPERLINK("http://mystore1.ru/price_items/search?utf8=%E2%9C%93&amp;oem=8836LGSS4RD","8836LGSS4RD")</f>
        <v>8836LGSS4RD</v>
      </c>
      <c r="B10243" s="1" t="s">
        <v>19450</v>
      </c>
      <c r="C10243" s="9" t="s">
        <v>511</v>
      </c>
      <c r="D10243" s="14" t="s">
        <v>19451</v>
      </c>
      <c r="E10243" s="9" t="s">
        <v>11</v>
      </c>
    </row>
    <row r="10244" spans="1:5" ht="15" customHeight="1" outlineLevel="2" x14ac:dyDescent="0.25">
      <c r="A10244" s="3" t="str">
        <f>HYPERLINK("http://mystore1.ru/price_items/search?utf8=%E2%9C%93&amp;oem=8836LGSE5RD","8836LGSE5RD")</f>
        <v>8836LGSE5RD</v>
      </c>
      <c r="B10244" s="1" t="s">
        <v>19452</v>
      </c>
      <c r="C10244" s="9" t="s">
        <v>511</v>
      </c>
      <c r="D10244" s="14" t="s">
        <v>19453</v>
      </c>
      <c r="E10244" s="9" t="s">
        <v>11</v>
      </c>
    </row>
    <row r="10245" spans="1:5" ht="15" customHeight="1" outlineLevel="2" x14ac:dyDescent="0.25">
      <c r="A10245" s="3" t="str">
        <f>HYPERLINK("http://mystore1.ru/price_items/search?utf8=%E2%9C%93&amp;oem=8836RGSS4FD","8836RGSS4FD")</f>
        <v>8836RGSS4FD</v>
      </c>
      <c r="B10245" s="1" t="s">
        <v>19454</v>
      </c>
      <c r="C10245" s="9" t="s">
        <v>511</v>
      </c>
      <c r="D10245" s="14" t="s">
        <v>19455</v>
      </c>
      <c r="E10245" s="9" t="s">
        <v>11</v>
      </c>
    </row>
    <row r="10246" spans="1:5" ht="15" customHeight="1" outlineLevel="2" x14ac:dyDescent="0.25">
      <c r="A10246" s="3" t="str">
        <f>HYPERLINK("http://mystore1.ru/price_items/search?utf8=%E2%9C%93&amp;oem=8836RGSS4RD","8836RGSS4RD")</f>
        <v>8836RGSS4RD</v>
      </c>
      <c r="B10246" s="1" t="s">
        <v>19456</v>
      </c>
      <c r="C10246" s="9" t="s">
        <v>511</v>
      </c>
      <c r="D10246" s="14" t="s">
        <v>19457</v>
      </c>
      <c r="E10246" s="9" t="s">
        <v>11</v>
      </c>
    </row>
    <row r="10247" spans="1:5" outlineLevel="1" x14ac:dyDescent="0.25">
      <c r="A10247" s="2"/>
      <c r="B10247" s="6" t="s">
        <v>19458</v>
      </c>
      <c r="C10247" s="8"/>
      <c r="D10247" s="8"/>
      <c r="E10247" s="8"/>
    </row>
    <row r="10248" spans="1:5" ht="15" customHeight="1" outlineLevel="2" x14ac:dyDescent="0.25">
      <c r="A10248" s="3" t="str">
        <f>HYPERLINK("http://mystore1.ru/price_items/search?utf8=%E2%9C%93&amp;oem=8840AGNMPVWZ1R","8840AGNMPVWZ1R")</f>
        <v>8840AGNMPVWZ1R</v>
      </c>
      <c r="B10248" s="1" t="s">
        <v>19459</v>
      </c>
      <c r="C10248" s="9" t="s">
        <v>642</v>
      </c>
      <c r="D10248" s="14" t="s">
        <v>19460</v>
      </c>
      <c r="E10248" s="9" t="s">
        <v>8</v>
      </c>
    </row>
    <row r="10249" spans="1:5" ht="15" customHeight="1" outlineLevel="2" x14ac:dyDescent="0.25">
      <c r="A10249" s="3" t="str">
        <f>HYPERLINK("http://mystore1.ru/price_items/search?utf8=%E2%9C%93&amp;oem=8840AGNPVWZ1M","8840AGNPVWZ1M")</f>
        <v>8840AGNPVWZ1M</v>
      </c>
      <c r="B10249" s="1" t="s">
        <v>19461</v>
      </c>
      <c r="C10249" s="9" t="s">
        <v>642</v>
      </c>
      <c r="D10249" s="14" t="s">
        <v>19462</v>
      </c>
      <c r="E10249" s="9" t="s">
        <v>8</v>
      </c>
    </row>
    <row r="10250" spans="1:5" ht="15" customHeight="1" outlineLevel="2" x14ac:dyDescent="0.25">
      <c r="A10250" s="3" t="str">
        <f>HYPERLINK("http://mystore1.ru/price_items/search?utf8=%E2%9C%93&amp;oem=8840AGNCMPVWZ2R","8840AGNCMPVWZ2R")</f>
        <v>8840AGNCMPVWZ2R</v>
      </c>
      <c r="B10250" s="1" t="s">
        <v>19463</v>
      </c>
      <c r="C10250" s="9" t="s">
        <v>642</v>
      </c>
      <c r="D10250" s="14" t="s">
        <v>19464</v>
      </c>
      <c r="E10250" s="9" t="s">
        <v>8</v>
      </c>
    </row>
    <row r="10251" spans="1:5" ht="15" customHeight="1" outlineLevel="2" x14ac:dyDescent="0.25">
      <c r="A10251" s="3" t="str">
        <f>HYPERLINK("http://mystore1.ru/price_items/search?utf8=%E2%9C%93&amp;oem=8840ACCBLMPVW1Z","8840ACCBLMPVW1Z")</f>
        <v>8840ACCBLMPVW1Z</v>
      </c>
      <c r="B10251" s="1" t="s">
        <v>19465</v>
      </c>
      <c r="C10251" s="9" t="s">
        <v>642</v>
      </c>
      <c r="D10251" s="14" t="s">
        <v>19466</v>
      </c>
      <c r="E10251" s="9" t="s">
        <v>8</v>
      </c>
    </row>
    <row r="10252" spans="1:5" ht="15" customHeight="1" outlineLevel="2" x14ac:dyDescent="0.25">
      <c r="A10252" s="3" t="str">
        <f>HYPERLINK("http://mystore1.ru/price_items/search?utf8=%E2%9C%93&amp;oem=8840BGSR","8840BGSR")</f>
        <v>8840BGSR</v>
      </c>
      <c r="B10252" s="1" t="s">
        <v>19467</v>
      </c>
      <c r="C10252" s="9" t="s">
        <v>642</v>
      </c>
      <c r="D10252" s="14" t="s">
        <v>19468</v>
      </c>
      <c r="E10252" s="9" t="s">
        <v>30</v>
      </c>
    </row>
    <row r="10253" spans="1:5" ht="15" customHeight="1" outlineLevel="2" x14ac:dyDescent="0.25">
      <c r="A10253" s="3" t="str">
        <f>HYPERLINK("http://mystore1.ru/price_items/search?utf8=%E2%9C%93&amp;oem=8840LGSR5FD","8840LGSR5FD")</f>
        <v>8840LGSR5FD</v>
      </c>
      <c r="B10253" s="1" t="s">
        <v>19469</v>
      </c>
      <c r="C10253" s="9" t="s">
        <v>642</v>
      </c>
      <c r="D10253" s="14" t="s">
        <v>19470</v>
      </c>
      <c r="E10253" s="9" t="s">
        <v>11</v>
      </c>
    </row>
    <row r="10254" spans="1:5" ht="15" customHeight="1" outlineLevel="2" x14ac:dyDescent="0.25">
      <c r="A10254" s="3" t="str">
        <f>HYPERLINK("http://mystore1.ru/price_items/search?utf8=%E2%9C%93&amp;oem=8840LGSR5RD","8840LGSR5RD")</f>
        <v>8840LGSR5RD</v>
      </c>
      <c r="B10254" s="1" t="s">
        <v>19471</v>
      </c>
      <c r="C10254" s="9" t="s">
        <v>642</v>
      </c>
      <c r="D10254" s="14" t="s">
        <v>19472</v>
      </c>
      <c r="E10254" s="9" t="s">
        <v>11</v>
      </c>
    </row>
    <row r="10255" spans="1:5" ht="15" customHeight="1" outlineLevel="2" x14ac:dyDescent="0.25">
      <c r="A10255" s="3" t="str">
        <f>HYPERLINK("http://mystore1.ru/price_items/search?utf8=%E2%9C%93&amp;oem=8840RGSR5FD","8840RGSR5FD")</f>
        <v>8840RGSR5FD</v>
      </c>
      <c r="B10255" s="1" t="s">
        <v>19473</v>
      </c>
      <c r="C10255" s="9" t="s">
        <v>642</v>
      </c>
      <c r="D10255" s="14" t="s">
        <v>19474</v>
      </c>
      <c r="E10255" s="9" t="s">
        <v>11</v>
      </c>
    </row>
    <row r="10256" spans="1:5" ht="15" customHeight="1" outlineLevel="2" x14ac:dyDescent="0.25">
      <c r="A10256" s="3" t="str">
        <f>HYPERLINK("http://mystore1.ru/price_items/search?utf8=%E2%9C%93&amp;oem=8840RGSR5RD","8840RGSR5RD")</f>
        <v>8840RGSR5RD</v>
      </c>
      <c r="B10256" s="1" t="s">
        <v>19475</v>
      </c>
      <c r="C10256" s="9" t="s">
        <v>642</v>
      </c>
      <c r="D10256" s="14" t="s">
        <v>19476</v>
      </c>
      <c r="E10256" s="9" t="s">
        <v>11</v>
      </c>
    </row>
    <row r="10257" spans="1:5" outlineLevel="1" x14ac:dyDescent="0.25">
      <c r="A10257" s="2"/>
      <c r="B10257" s="6" t="s">
        <v>19477</v>
      </c>
      <c r="C10257" s="8"/>
      <c r="D10257" s="8"/>
      <c r="E10257" s="8"/>
    </row>
    <row r="10258" spans="1:5" ht="15" customHeight="1" outlineLevel="2" x14ac:dyDescent="0.25">
      <c r="A10258" s="3" t="str">
        <f>HYPERLINK("http://mystore1.ru/price_items/search?utf8=%E2%9C%93&amp;oem=8831AGSBLMVZ1R","8831AGSBLMVZ1R")</f>
        <v>8831AGSBLMVZ1R</v>
      </c>
      <c r="B10258" s="1" t="s">
        <v>19478</v>
      </c>
      <c r="C10258" s="9" t="s">
        <v>1888</v>
      </c>
      <c r="D10258" s="14" t="s">
        <v>19479</v>
      </c>
      <c r="E10258" s="9" t="s">
        <v>8</v>
      </c>
    </row>
    <row r="10259" spans="1:5" ht="15" customHeight="1" outlineLevel="2" x14ac:dyDescent="0.25">
      <c r="A10259" s="3" t="str">
        <f>HYPERLINK("http://mystore1.ru/price_items/search?utf8=%E2%9C%93&amp;oem=8831AGSBLVZ1M","8831AGSBLVZ1M")</f>
        <v>8831AGSBLVZ1M</v>
      </c>
      <c r="B10259" s="1" t="s">
        <v>19480</v>
      </c>
      <c r="C10259" s="9" t="s">
        <v>1888</v>
      </c>
      <c r="D10259" s="14" t="s">
        <v>19481</v>
      </c>
      <c r="E10259" s="9" t="s">
        <v>8</v>
      </c>
    </row>
    <row r="10260" spans="1:5" ht="15" customHeight="1" outlineLevel="2" x14ac:dyDescent="0.25">
      <c r="A10260" s="3" t="str">
        <f>HYPERLINK("http://mystore1.ru/price_items/search?utf8=%E2%9C%93&amp;oem=8831BGSE","8831BGSE")</f>
        <v>8831BGSE</v>
      </c>
      <c r="B10260" s="1" t="s">
        <v>19482</v>
      </c>
      <c r="C10260" s="9" t="s">
        <v>1888</v>
      </c>
      <c r="D10260" s="14" t="s">
        <v>19483</v>
      </c>
      <c r="E10260" s="9" t="s">
        <v>30</v>
      </c>
    </row>
    <row r="10261" spans="1:5" ht="15" customHeight="1" outlineLevel="2" x14ac:dyDescent="0.25">
      <c r="A10261" s="3" t="str">
        <f>HYPERLINK("http://mystore1.ru/price_items/search?utf8=%E2%9C%93&amp;oem=8831BGPE","8831BGPE")</f>
        <v>8831BGPE</v>
      </c>
      <c r="B10261" s="1" t="s">
        <v>19484</v>
      </c>
      <c r="C10261" s="9" t="s">
        <v>1888</v>
      </c>
      <c r="D10261" s="14" t="s">
        <v>19483</v>
      </c>
      <c r="E10261" s="9" t="s">
        <v>30</v>
      </c>
    </row>
    <row r="10262" spans="1:5" outlineLevel="1" x14ac:dyDescent="0.25">
      <c r="A10262" s="2"/>
      <c r="B10262" s="6" t="s">
        <v>19485</v>
      </c>
      <c r="C10262" s="8"/>
      <c r="D10262" s="8"/>
      <c r="E10262" s="8"/>
    </row>
    <row r="10263" spans="1:5" ht="15" customHeight="1" outlineLevel="2" x14ac:dyDescent="0.25">
      <c r="A10263" s="3" t="str">
        <f>HYPERLINK("http://mystore1.ru/price_items/search?utf8=%E2%9C%93&amp;oem=8813ACL1A","8813ACL1A")</f>
        <v>8813ACL1A</v>
      </c>
      <c r="B10263" s="1" t="s">
        <v>19486</v>
      </c>
      <c r="C10263" s="9" t="s">
        <v>3326</v>
      </c>
      <c r="D10263" s="14" t="s">
        <v>19487</v>
      </c>
      <c r="E10263" s="9" t="s">
        <v>8</v>
      </c>
    </row>
    <row r="10264" spans="1:5" ht="15" customHeight="1" outlineLevel="2" x14ac:dyDescent="0.25">
      <c r="A10264" s="3" t="str">
        <f>HYPERLINK("http://mystore1.ru/price_items/search?utf8=%E2%9C%93&amp;oem=8813AGN","8813AGN")</f>
        <v>8813AGN</v>
      </c>
      <c r="B10264" s="1" t="s">
        <v>19488</v>
      </c>
      <c r="C10264" s="9" t="s">
        <v>3326</v>
      </c>
      <c r="D10264" s="14" t="s">
        <v>19489</v>
      </c>
      <c r="E10264" s="9" t="s">
        <v>8</v>
      </c>
    </row>
    <row r="10265" spans="1:5" ht="15" customHeight="1" outlineLevel="2" x14ac:dyDescent="0.25">
      <c r="A10265" s="3" t="str">
        <f>HYPERLINK("http://mystore1.ru/price_items/search?utf8=%E2%9C%93&amp;oem=8813AGN1A","8813AGN1A")</f>
        <v>8813AGN1A</v>
      </c>
      <c r="B10265" s="1" t="s">
        <v>19490</v>
      </c>
      <c r="C10265" s="9" t="s">
        <v>3326</v>
      </c>
      <c r="D10265" s="14" t="s">
        <v>19491</v>
      </c>
      <c r="E10265" s="9" t="s">
        <v>8</v>
      </c>
    </row>
    <row r="10266" spans="1:5" ht="15" customHeight="1" outlineLevel="2" x14ac:dyDescent="0.25">
      <c r="A10266" s="3" t="str">
        <f>HYPERLINK("http://mystore1.ru/price_items/search?utf8=%E2%9C%93&amp;oem=8813AGNGN1A","8813AGNGN1A")</f>
        <v>8813AGNGN1A</v>
      </c>
      <c r="B10266" s="1" t="s">
        <v>19492</v>
      </c>
      <c r="C10266" s="9" t="s">
        <v>3326</v>
      </c>
      <c r="D10266" s="14" t="s">
        <v>19493</v>
      </c>
      <c r="E10266" s="9" t="s">
        <v>8</v>
      </c>
    </row>
    <row r="10267" spans="1:5" ht="15" customHeight="1" outlineLevel="2" x14ac:dyDescent="0.25">
      <c r="A10267" s="3" t="str">
        <f>HYPERLINK("http://mystore1.ru/price_items/search?utf8=%E2%9C%93&amp;oem=8813ASRL","8813ASRL")</f>
        <v>8813ASRL</v>
      </c>
      <c r="B10267" s="1" t="s">
        <v>19494</v>
      </c>
      <c r="C10267" s="9" t="s">
        <v>25</v>
      </c>
      <c r="D10267" s="14" t="s">
        <v>19495</v>
      </c>
      <c r="E10267" s="9" t="s">
        <v>27</v>
      </c>
    </row>
    <row r="10268" spans="1:5" ht="15" customHeight="1" outlineLevel="2" x14ac:dyDescent="0.25">
      <c r="A10268" s="3" t="str">
        <f>HYPERLINK("http://mystore1.ru/price_items/search?utf8=%E2%9C%93&amp;oem=8813FCLL2FD","8813FCLL2FD")</f>
        <v>8813FCLL2FD</v>
      </c>
      <c r="B10268" s="1" t="s">
        <v>19496</v>
      </c>
      <c r="C10268" s="9" t="s">
        <v>3326</v>
      </c>
      <c r="D10268" s="14" t="s">
        <v>19497</v>
      </c>
      <c r="E10268" s="9" t="s">
        <v>11</v>
      </c>
    </row>
    <row r="10269" spans="1:5" outlineLevel="1" x14ac:dyDescent="0.25">
      <c r="A10269" s="2"/>
      <c r="B10269" s="6" t="s">
        <v>19498</v>
      </c>
      <c r="C10269" s="8"/>
      <c r="D10269" s="8"/>
      <c r="E10269" s="8"/>
    </row>
    <row r="10270" spans="1:5" ht="15" customHeight="1" outlineLevel="2" x14ac:dyDescent="0.25">
      <c r="A10270" s="3" t="str">
        <f>HYPERLINK("http://mystore1.ru/price_items/search?utf8=%E2%9C%93&amp;oem=8823ACL","8823ACL")</f>
        <v>8823ACL</v>
      </c>
      <c r="B10270" s="1" t="s">
        <v>19499</v>
      </c>
      <c r="C10270" s="9" t="s">
        <v>3420</v>
      </c>
      <c r="D10270" s="14" t="s">
        <v>19500</v>
      </c>
      <c r="E10270" s="9" t="s">
        <v>8</v>
      </c>
    </row>
    <row r="10271" spans="1:5" ht="15" customHeight="1" outlineLevel="2" x14ac:dyDescent="0.25">
      <c r="A10271" s="3" t="str">
        <f>HYPERLINK("http://mystore1.ru/price_items/search?utf8=%E2%9C%93&amp;oem=8823AGN","8823AGN")</f>
        <v>8823AGN</v>
      </c>
      <c r="B10271" s="1" t="s">
        <v>19501</v>
      </c>
      <c r="C10271" s="9" t="s">
        <v>3420</v>
      </c>
      <c r="D10271" s="14" t="s">
        <v>19502</v>
      </c>
      <c r="E10271" s="9" t="s">
        <v>8</v>
      </c>
    </row>
    <row r="10272" spans="1:5" ht="15" customHeight="1" outlineLevel="2" x14ac:dyDescent="0.25">
      <c r="A10272" s="3" t="str">
        <f>HYPERLINK("http://mystore1.ru/price_items/search?utf8=%E2%9C%93&amp;oem=8823AGN1B","8823AGN1B")</f>
        <v>8823AGN1B</v>
      </c>
      <c r="B10272" s="1" t="s">
        <v>19503</v>
      </c>
      <c r="C10272" s="9" t="s">
        <v>1403</v>
      </c>
      <c r="D10272" s="14" t="s">
        <v>19504</v>
      </c>
      <c r="E10272" s="9" t="s">
        <v>8</v>
      </c>
    </row>
    <row r="10273" spans="1:5" ht="15" customHeight="1" outlineLevel="2" x14ac:dyDescent="0.25">
      <c r="A10273" s="3" t="str">
        <f>HYPERLINK("http://mystore1.ru/price_items/search?utf8=%E2%9C%93&amp;oem=8823AGNBL","8823AGNBL")</f>
        <v>8823AGNBL</v>
      </c>
      <c r="B10273" s="1" t="s">
        <v>19505</v>
      </c>
      <c r="C10273" s="9" t="s">
        <v>3420</v>
      </c>
      <c r="D10273" s="14" t="s">
        <v>19506</v>
      </c>
      <c r="E10273" s="9" t="s">
        <v>8</v>
      </c>
    </row>
    <row r="10274" spans="1:5" ht="15" customHeight="1" outlineLevel="2" x14ac:dyDescent="0.25">
      <c r="A10274" s="3" t="str">
        <f>HYPERLINK("http://mystore1.ru/price_items/search?utf8=%E2%9C%93&amp;oem=8823ASRL","8823ASRL")</f>
        <v>8823ASRL</v>
      </c>
      <c r="B10274" s="1" t="s">
        <v>19507</v>
      </c>
      <c r="C10274" s="9" t="s">
        <v>25</v>
      </c>
      <c r="D10274" s="14" t="s">
        <v>19508</v>
      </c>
      <c r="E10274" s="9" t="s">
        <v>27</v>
      </c>
    </row>
    <row r="10275" spans="1:5" ht="15" customHeight="1" outlineLevel="2" x14ac:dyDescent="0.25">
      <c r="A10275" s="3" t="str">
        <f>HYPERLINK("http://mystore1.ru/price_items/search?utf8=%E2%9C%93&amp;oem=8823LCLL2FDW","8823LCLL2FDW")</f>
        <v>8823LCLL2FDW</v>
      </c>
      <c r="B10275" s="1" t="s">
        <v>19509</v>
      </c>
      <c r="C10275" s="9" t="s">
        <v>3420</v>
      </c>
      <c r="D10275" s="14" t="s">
        <v>19510</v>
      </c>
      <c r="E10275" s="9" t="s">
        <v>11</v>
      </c>
    </row>
    <row r="10276" spans="1:5" ht="15" customHeight="1" outlineLevel="2" x14ac:dyDescent="0.25">
      <c r="A10276" s="3" t="str">
        <f>HYPERLINK("http://mystore1.ru/price_items/search?utf8=%E2%9C%93&amp;oem=8823LGNL2FDW","8823LGNL2FDW")</f>
        <v>8823LGNL2FDW</v>
      </c>
      <c r="B10276" s="1" t="s">
        <v>19511</v>
      </c>
      <c r="C10276" s="9" t="s">
        <v>3420</v>
      </c>
      <c r="D10276" s="14" t="s">
        <v>19512</v>
      </c>
      <c r="E10276" s="9" t="s">
        <v>11</v>
      </c>
    </row>
    <row r="10277" spans="1:5" ht="15" customHeight="1" outlineLevel="2" x14ac:dyDescent="0.25">
      <c r="A10277" s="3" t="str">
        <f>HYPERLINK("http://mystore1.ru/price_items/search?utf8=%E2%9C%93&amp;oem=8823RCLL2FDW","8823RCLL2FDW")</f>
        <v>8823RCLL2FDW</v>
      </c>
      <c r="B10277" s="1" t="s">
        <v>19513</v>
      </c>
      <c r="C10277" s="9" t="s">
        <v>3420</v>
      </c>
      <c r="D10277" s="14" t="s">
        <v>19514</v>
      </c>
      <c r="E10277" s="9" t="s">
        <v>11</v>
      </c>
    </row>
    <row r="10278" spans="1:5" ht="15" customHeight="1" outlineLevel="2" x14ac:dyDescent="0.25">
      <c r="A10278" s="3" t="str">
        <f>HYPERLINK("http://mystore1.ru/price_items/search?utf8=%E2%9C%93&amp;oem=8823RGNL2FDW","8823RGNL2FDW")</f>
        <v>8823RGNL2FDW</v>
      </c>
      <c r="B10278" s="1" t="s">
        <v>19515</v>
      </c>
      <c r="C10278" s="9" t="s">
        <v>3420</v>
      </c>
      <c r="D10278" s="14" t="s">
        <v>19516</v>
      </c>
      <c r="E10278" s="9" t="s">
        <v>11</v>
      </c>
    </row>
    <row r="10279" spans="1:5" outlineLevel="1" x14ac:dyDescent="0.25">
      <c r="A10279" s="2"/>
      <c r="B10279" s="6" t="s">
        <v>19517</v>
      </c>
      <c r="C10279" s="8"/>
      <c r="D10279" s="8"/>
      <c r="E10279" s="8"/>
    </row>
    <row r="10280" spans="1:5" ht="15" customHeight="1" outlineLevel="2" x14ac:dyDescent="0.25">
      <c r="A10280" s="3" t="str">
        <f>HYPERLINK("http://mystore1.ru/price_items/search?utf8=%E2%9C%93&amp;oem=8816ACL","8816ACL")</f>
        <v>8816ACL</v>
      </c>
      <c r="B10280" s="1" t="s">
        <v>19518</v>
      </c>
      <c r="C10280" s="9" t="s">
        <v>738</v>
      </c>
      <c r="D10280" s="14" t="s">
        <v>19519</v>
      </c>
      <c r="E10280" s="9" t="s">
        <v>8</v>
      </c>
    </row>
    <row r="10281" spans="1:5" ht="15" customHeight="1" outlineLevel="2" x14ac:dyDescent="0.25">
      <c r="A10281" s="3" t="str">
        <f>HYPERLINK("http://mystore1.ru/price_items/search?utf8=%E2%9C%93&amp;oem=8816LCLL2FD","8816LCLL2FD")</f>
        <v>8816LCLL2FD</v>
      </c>
      <c r="B10281" s="1" t="s">
        <v>19520</v>
      </c>
      <c r="C10281" s="9" t="s">
        <v>738</v>
      </c>
      <c r="D10281" s="14" t="s">
        <v>19521</v>
      </c>
      <c r="E10281" s="9" t="s">
        <v>11</v>
      </c>
    </row>
    <row r="10282" spans="1:5" ht="15" customHeight="1" outlineLevel="2" x14ac:dyDescent="0.25">
      <c r="A10282" s="3" t="str">
        <f>HYPERLINK("http://mystore1.ru/price_items/search?utf8=%E2%9C%93&amp;oem=8816RCLL2FD","8816RCLL2FD")</f>
        <v>8816RCLL2FD</v>
      </c>
      <c r="B10282" s="1" t="s">
        <v>19522</v>
      </c>
      <c r="C10282" s="9" t="s">
        <v>738</v>
      </c>
      <c r="D10282" s="14" t="s">
        <v>19523</v>
      </c>
      <c r="E10282" s="9" t="s">
        <v>11</v>
      </c>
    </row>
    <row r="10283" spans="1:5" outlineLevel="1" x14ac:dyDescent="0.25">
      <c r="A10283" s="2"/>
      <c r="B10283" s="6" t="s">
        <v>19524</v>
      </c>
      <c r="C10283" s="8"/>
      <c r="D10283" s="8"/>
      <c r="E10283" s="8"/>
    </row>
    <row r="10284" spans="1:5" outlineLevel="2" x14ac:dyDescent="0.25">
      <c r="A10284" s="3" t="str">
        <f>HYPERLINK("http://mystore1.ru/price_items/search?utf8=%E2%9C%93&amp;oem=8814ACL1A","8814ACL1A")</f>
        <v>8814ACL1A</v>
      </c>
      <c r="B10284" s="1" t="s">
        <v>19525</v>
      </c>
      <c r="C10284" s="9" t="s">
        <v>3335</v>
      </c>
      <c r="D10284" s="14" t="s">
        <v>19526</v>
      </c>
      <c r="E10284" s="9" t="s">
        <v>8</v>
      </c>
    </row>
    <row r="10285" spans="1:5" outlineLevel="2" x14ac:dyDescent="0.25">
      <c r="A10285" s="3" t="str">
        <f>HYPERLINK("http://mystore1.ru/price_items/search?utf8=%E2%9C%93&amp;oem=8814AGN1A","8814AGN1A")</f>
        <v>8814AGN1A</v>
      </c>
      <c r="B10285" s="1" t="s">
        <v>19527</v>
      </c>
      <c r="C10285" s="9" t="s">
        <v>3335</v>
      </c>
      <c r="D10285" s="14" t="s">
        <v>19528</v>
      </c>
      <c r="E10285" s="9" t="s">
        <v>8</v>
      </c>
    </row>
    <row r="10286" spans="1:5" outlineLevel="2" x14ac:dyDescent="0.25">
      <c r="A10286" s="3" t="str">
        <f>HYPERLINK("http://mystore1.ru/price_items/search?utf8=%E2%9C%93&amp;oem=8814LCLL2FD","8814LCLL2FD")</f>
        <v>8814LCLL2FD</v>
      </c>
      <c r="B10286" s="1" t="s">
        <v>19529</v>
      </c>
      <c r="C10286" s="9" t="s">
        <v>3335</v>
      </c>
      <c r="D10286" s="14" t="s">
        <v>19530</v>
      </c>
      <c r="E10286" s="9" t="s">
        <v>11</v>
      </c>
    </row>
    <row r="10287" spans="1:5" outlineLevel="2" x14ac:dyDescent="0.25">
      <c r="A10287" s="3" t="str">
        <f>HYPERLINK("http://mystore1.ru/price_items/search?utf8=%E2%9C%93&amp;oem=8814RCLL2FD","8814RCLL2FD")</f>
        <v>8814RCLL2FD</v>
      </c>
      <c r="B10287" s="1" t="s">
        <v>19531</v>
      </c>
      <c r="C10287" s="9" t="s">
        <v>3335</v>
      </c>
      <c r="D10287" s="14" t="s">
        <v>19532</v>
      </c>
      <c r="E10287" s="9" t="s">
        <v>11</v>
      </c>
    </row>
    <row r="10288" spans="1:5" outlineLevel="2" x14ac:dyDescent="0.25">
      <c r="A10288" s="3" t="str">
        <f>HYPERLINK("http://mystore1.ru/price_items/search?utf8=%E2%9C%93&amp;oem=CN0835ACLGN","CN0835ACLGN")</f>
        <v>CN0835ACLGN</v>
      </c>
      <c r="B10288" s="1" t="s">
        <v>19533</v>
      </c>
      <c r="C10288" s="9" t="s">
        <v>3291</v>
      </c>
      <c r="D10288" s="14" t="s">
        <v>19534</v>
      </c>
      <c r="E10288" s="9" t="s">
        <v>8</v>
      </c>
    </row>
    <row r="10289" spans="1:5" outlineLevel="2" x14ac:dyDescent="0.25">
      <c r="A10289" s="3" t="str">
        <f>HYPERLINK("http://mystore1.ru/price_items/search?utf8=%E2%9C%93&amp;oem=NO EUROCODE","NO EUROCODE")</f>
        <v>NO EUROCODE</v>
      </c>
      <c r="B10289" s="1" t="s">
        <v>19535</v>
      </c>
      <c r="C10289" s="9" t="s">
        <v>25</v>
      </c>
      <c r="D10289" s="14" t="s">
        <v>19536</v>
      </c>
      <c r="E10289" s="9" t="s">
        <v>8</v>
      </c>
    </row>
    <row r="10290" spans="1:5" outlineLevel="2" x14ac:dyDescent="0.25">
      <c r="A10290" s="3" t="str">
        <f>HYPERLINK("http://mystore1.ru/price_items/search?utf8=%E2%9C%93&amp;oem=BUS-6534.106","BUS-6534.106")</f>
        <v>BUS-6534.106</v>
      </c>
      <c r="B10290" s="1" t="s">
        <v>19537</v>
      </c>
      <c r="C10290" s="9" t="s">
        <v>25</v>
      </c>
      <c r="D10290" s="14" t="s">
        <v>19538</v>
      </c>
      <c r="E10290" s="9" t="s">
        <v>8</v>
      </c>
    </row>
    <row r="10291" spans="1:5" outlineLevel="2" x14ac:dyDescent="0.25">
      <c r="A10291" s="3" t="str">
        <f>HYPERLINK("http://mystore1.ru/price_items/search?utf8=%E2%9C%93&amp;oem=CK08AGNU","CK08AGNU")</f>
        <v>CK08AGNU</v>
      </c>
      <c r="B10291" s="1" t="s">
        <v>19539</v>
      </c>
      <c r="C10291" s="9" t="s">
        <v>25</v>
      </c>
      <c r="D10291" s="14" t="s">
        <v>19540</v>
      </c>
      <c r="E10291" s="9" t="s">
        <v>8</v>
      </c>
    </row>
    <row r="10292" spans="1:5" outlineLevel="2" x14ac:dyDescent="0.25">
      <c r="A10292" s="3" t="str">
        <f>HYPERLINK("http://mystore1.ru/price_items/search?utf8=%E2%9C%93&amp;oem=SCAN0836.40","SCAN0836.40")</f>
        <v>SCAN0836.40</v>
      </c>
      <c r="B10292" s="1" t="s">
        <v>19541</v>
      </c>
      <c r="C10292" s="9" t="s">
        <v>25</v>
      </c>
      <c r="D10292" s="14" t="s">
        <v>19542</v>
      </c>
      <c r="E10292" s="9" t="s">
        <v>8</v>
      </c>
    </row>
  </sheetData>
  <sheetProtection selectLockedCells="1" selectUnlockedCells="1"/>
  <mergeCells count="76">
    <mergeCell ref="A831:E831"/>
    <mergeCell ref="A813:E813"/>
    <mergeCell ref="A380:E380"/>
    <mergeCell ref="A375:E375"/>
    <mergeCell ref="A8:E8"/>
    <mergeCell ref="A124:E124"/>
    <mergeCell ref="A127:E127"/>
    <mergeCell ref="A1095:E1095"/>
    <mergeCell ref="A1079:E1079"/>
    <mergeCell ref="A968:E968"/>
    <mergeCell ref="A843:E843"/>
    <mergeCell ref="A876:E876"/>
    <mergeCell ref="A1726:E1726"/>
    <mergeCell ref="A1706:E1706"/>
    <mergeCell ref="A1688:E1688"/>
    <mergeCell ref="A1658:E1658"/>
    <mergeCell ref="A1541:E1541"/>
    <mergeCell ref="A1864:E1864"/>
    <mergeCell ref="A1867:E1867"/>
    <mergeCell ref="A1848:E1848"/>
    <mergeCell ref="A1781:E1781"/>
    <mergeCell ref="A1758:E1758"/>
    <mergeCell ref="A1772:E1772"/>
    <mergeCell ref="A3321:E3321"/>
    <mergeCell ref="A2927:E2927"/>
    <mergeCell ref="A2930:E2930"/>
    <mergeCell ref="A2279:E2279"/>
    <mergeCell ref="A1870:E1870"/>
    <mergeCell ref="A3679:E3679"/>
    <mergeCell ref="A3650:E3650"/>
    <mergeCell ref="A3622:E3622"/>
    <mergeCell ref="A3617:E3617"/>
    <mergeCell ref="A3335:E3335"/>
    <mergeCell ref="A4125:E4125"/>
    <mergeCell ref="A4058:E4058"/>
    <mergeCell ref="A4062:E4062"/>
    <mergeCell ref="A3945:E3945"/>
    <mergeCell ref="A3706:E3706"/>
    <mergeCell ref="A4261:E4261"/>
    <mergeCell ref="A4264:E4264"/>
    <mergeCell ref="A4209:E4209"/>
    <mergeCell ref="A4212:E4212"/>
    <mergeCell ref="A4172:E4172"/>
    <mergeCell ref="A4180:E4180"/>
    <mergeCell ref="A5770:E5770"/>
    <mergeCell ref="A5775:E5775"/>
    <mergeCell ref="A5357:E5357"/>
    <mergeCell ref="A5367:E5367"/>
    <mergeCell ref="A4651:E4651"/>
    <mergeCell ref="A4693:E4693"/>
    <mergeCell ref="A7283:E7283"/>
    <mergeCell ref="A7288:E7288"/>
    <mergeCell ref="A6792:E6792"/>
    <mergeCell ref="A6789:E6789"/>
    <mergeCell ref="A6231:E6231"/>
    <mergeCell ref="A5:E5"/>
    <mergeCell ref="A6:E6"/>
    <mergeCell ref="A4:E4"/>
    <mergeCell ref="A10098:E10098"/>
    <mergeCell ref="A9444:E9444"/>
    <mergeCell ref="A8808:E8808"/>
    <mergeCell ref="A8585:E8585"/>
    <mergeCell ref="A8464:E8464"/>
    <mergeCell ref="A8402:E8402"/>
    <mergeCell ref="A8170:E8170"/>
    <mergeCell ref="A8036:E8036"/>
    <mergeCell ref="A8056:E8056"/>
    <mergeCell ref="A7993:E7993"/>
    <mergeCell ref="A7906:E7906"/>
    <mergeCell ref="A7312:E7312"/>
    <mergeCell ref="A7322:E7322"/>
    <mergeCell ref="B1:D1"/>
    <mergeCell ref="B2:D2"/>
    <mergeCell ref="B3:D3"/>
    <mergeCell ref="E1:E3"/>
    <mergeCell ref="A1:A3"/>
  </mergeCells>
  <pageMargins left="0.7" right="0.7" top="0.75" bottom="0.75" header="0.3" footer="0.3"/>
  <pageSetup paperSize="268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37" workbookViewId="0">
      <selection activeCell="B17" sqref="B17"/>
    </sheetView>
  </sheetViews>
  <sheetFormatPr defaultRowHeight="15" x14ac:dyDescent="0.25"/>
  <cols>
    <col min="1" max="1" width="37.28515625" bestFit="1" customWidth="1"/>
    <col min="2" max="2" width="42.7109375" bestFit="1" customWidth="1"/>
    <col min="3" max="3" width="76.85546875" bestFit="1" customWidth="1"/>
  </cols>
  <sheetData>
    <row r="1" spans="1:3" ht="15.75" x14ac:dyDescent="0.25">
      <c r="A1" s="45" t="s">
        <v>19543</v>
      </c>
      <c r="B1" s="46" t="s">
        <v>19544</v>
      </c>
      <c r="C1" s="38" t="s">
        <v>19695</v>
      </c>
    </row>
    <row r="2" spans="1:3" ht="15.75" thickBot="1" x14ac:dyDescent="0.3">
      <c r="A2" s="33" t="s">
        <v>19545</v>
      </c>
      <c r="B2" s="34"/>
      <c r="C2" s="39" t="s">
        <v>19546</v>
      </c>
    </row>
    <row r="3" spans="1:3" x14ac:dyDescent="0.25">
      <c r="A3" s="22" t="s">
        <v>19547</v>
      </c>
      <c r="B3" s="35" t="s">
        <v>19548</v>
      </c>
      <c r="C3" s="39" t="s">
        <v>19549</v>
      </c>
    </row>
    <row r="4" spans="1:3" x14ac:dyDescent="0.25">
      <c r="A4" s="23" t="s">
        <v>19550</v>
      </c>
      <c r="B4" s="36" t="s">
        <v>19551</v>
      </c>
      <c r="C4" s="40"/>
    </row>
    <row r="5" spans="1:3" x14ac:dyDescent="0.25">
      <c r="A5" s="23" t="s">
        <v>19553</v>
      </c>
      <c r="B5" s="36" t="s">
        <v>19554</v>
      </c>
      <c r="C5" s="41" t="s">
        <v>19552</v>
      </c>
    </row>
    <row r="6" spans="1:3" x14ac:dyDescent="0.25">
      <c r="A6" s="23" t="s">
        <v>19556</v>
      </c>
      <c r="B6" s="37" t="s">
        <v>19557</v>
      </c>
      <c r="C6" s="41" t="s">
        <v>19555</v>
      </c>
    </row>
    <row r="7" spans="1:3" x14ac:dyDescent="0.25">
      <c r="A7" s="23" t="s">
        <v>19559</v>
      </c>
      <c r="B7" s="37" t="s">
        <v>19560</v>
      </c>
      <c r="C7" s="40"/>
    </row>
    <row r="8" spans="1:3" x14ac:dyDescent="0.25">
      <c r="A8" s="23" t="s">
        <v>19562</v>
      </c>
      <c r="B8" s="37" t="s">
        <v>19563</v>
      </c>
      <c r="C8" s="42" t="s">
        <v>19558</v>
      </c>
    </row>
    <row r="9" spans="1:3" x14ac:dyDescent="0.25">
      <c r="A9" s="23" t="s">
        <v>19565</v>
      </c>
      <c r="B9" s="37" t="s">
        <v>19566</v>
      </c>
      <c r="C9" s="42" t="s">
        <v>19561</v>
      </c>
    </row>
    <row r="10" spans="1:3" x14ac:dyDescent="0.25">
      <c r="A10" s="23" t="s">
        <v>19568</v>
      </c>
      <c r="B10" s="37" t="s">
        <v>19569</v>
      </c>
      <c r="C10" s="40"/>
    </row>
    <row r="11" spans="1:3" x14ac:dyDescent="0.25">
      <c r="A11" s="23" t="s">
        <v>19570</v>
      </c>
      <c r="B11" s="37" t="s">
        <v>19571</v>
      </c>
      <c r="C11" s="43" t="s">
        <v>19564</v>
      </c>
    </row>
    <row r="12" spans="1:3" ht="15.75" thickBot="1" x14ac:dyDescent="0.3">
      <c r="A12" s="23" t="s">
        <v>19572</v>
      </c>
      <c r="B12" s="36" t="s">
        <v>19573</v>
      </c>
      <c r="C12" s="44" t="s">
        <v>19567</v>
      </c>
    </row>
    <row r="13" spans="1:3" x14ac:dyDescent="0.25">
      <c r="A13" s="23" t="s">
        <v>19574</v>
      </c>
      <c r="B13" s="19" t="s">
        <v>19575</v>
      </c>
      <c r="C13" s="5"/>
    </row>
    <row r="14" spans="1:3" x14ac:dyDescent="0.25">
      <c r="A14" s="23" t="s">
        <v>19576</v>
      </c>
      <c r="B14" s="19" t="s">
        <v>19577</v>
      </c>
      <c r="C14" s="5"/>
    </row>
    <row r="15" spans="1:3" ht="15.75" thickBot="1" x14ac:dyDescent="0.3">
      <c r="A15" s="24" t="s">
        <v>19578</v>
      </c>
      <c r="B15" s="21" t="s">
        <v>19579</v>
      </c>
      <c r="C15" s="5"/>
    </row>
    <row r="16" spans="1:3" ht="15.75" thickBot="1" x14ac:dyDescent="0.3">
      <c r="A16" s="15" t="s">
        <v>19580</v>
      </c>
      <c r="B16" s="17"/>
      <c r="C16" s="5"/>
    </row>
    <row r="17" spans="1:3" x14ac:dyDescent="0.25">
      <c r="A17" s="22" t="s">
        <v>19581</v>
      </c>
      <c r="B17" s="25" t="s">
        <v>19582</v>
      </c>
      <c r="C17" s="4"/>
    </row>
    <row r="18" spans="1:3" x14ac:dyDescent="0.25">
      <c r="A18" s="23" t="s">
        <v>19583</v>
      </c>
      <c r="B18" s="19" t="s">
        <v>19584</v>
      </c>
      <c r="C18" s="4"/>
    </row>
    <row r="19" spans="1:3" x14ac:dyDescent="0.25">
      <c r="A19" s="23" t="s">
        <v>19585</v>
      </c>
      <c r="B19" s="19" t="s">
        <v>19586</v>
      </c>
      <c r="C19" s="4"/>
    </row>
    <row r="20" spans="1:3" x14ac:dyDescent="0.25">
      <c r="A20" s="23" t="s">
        <v>19587</v>
      </c>
      <c r="B20" s="19" t="s">
        <v>19588</v>
      </c>
    </row>
    <row r="21" spans="1:3" x14ac:dyDescent="0.25">
      <c r="A21" s="23" t="s">
        <v>19589</v>
      </c>
      <c r="B21" s="19" t="s">
        <v>19590</v>
      </c>
    </row>
    <row r="22" spans="1:3" x14ac:dyDescent="0.25">
      <c r="A22" s="23" t="s">
        <v>19591</v>
      </c>
      <c r="B22" s="19" t="s">
        <v>19592</v>
      </c>
    </row>
    <row r="23" spans="1:3" x14ac:dyDescent="0.25">
      <c r="A23" s="23" t="s">
        <v>19593</v>
      </c>
      <c r="B23" s="19" t="s">
        <v>19594</v>
      </c>
    </row>
    <row r="24" spans="1:3" x14ac:dyDescent="0.25">
      <c r="A24" s="23" t="s">
        <v>19595</v>
      </c>
      <c r="B24" s="19" t="s">
        <v>19596</v>
      </c>
    </row>
    <row r="25" spans="1:3" x14ac:dyDescent="0.25">
      <c r="A25" s="23" t="s">
        <v>19597</v>
      </c>
      <c r="B25" s="19" t="s">
        <v>19598</v>
      </c>
    </row>
    <row r="26" spans="1:3" x14ac:dyDescent="0.25">
      <c r="A26" s="23" t="s">
        <v>19599</v>
      </c>
      <c r="B26" s="19" t="s">
        <v>19600</v>
      </c>
    </row>
    <row r="27" spans="1:3" x14ac:dyDescent="0.25">
      <c r="A27" s="23" t="s">
        <v>19601</v>
      </c>
      <c r="B27" s="20" t="s">
        <v>19602</v>
      </c>
    </row>
    <row r="28" spans="1:3" x14ac:dyDescent="0.25">
      <c r="A28" s="23" t="s">
        <v>19603</v>
      </c>
      <c r="B28" s="19" t="s">
        <v>19604</v>
      </c>
    </row>
    <row r="29" spans="1:3" ht="15.75" thickBot="1" x14ac:dyDescent="0.3">
      <c r="A29" s="24" t="s">
        <v>19605</v>
      </c>
      <c r="B29" s="21" t="s">
        <v>19606</v>
      </c>
    </row>
    <row r="30" spans="1:3" ht="15.75" thickBot="1" x14ac:dyDescent="0.3">
      <c r="A30" s="16" t="s">
        <v>19607</v>
      </c>
      <c r="B30" s="17"/>
    </row>
    <row r="31" spans="1:3" x14ac:dyDescent="0.25">
      <c r="A31" s="22" t="s">
        <v>19605</v>
      </c>
      <c r="B31" s="25" t="s">
        <v>19608</v>
      </c>
    </row>
    <row r="32" spans="1:3" x14ac:dyDescent="0.25">
      <c r="A32" s="23" t="s">
        <v>19609</v>
      </c>
      <c r="B32" s="20" t="s">
        <v>19610</v>
      </c>
    </row>
    <row r="33" spans="1:2" x14ac:dyDescent="0.25">
      <c r="A33" s="23" t="s">
        <v>19611</v>
      </c>
      <c r="B33" s="19" t="s">
        <v>19612</v>
      </c>
    </row>
    <row r="34" spans="1:2" x14ac:dyDescent="0.25">
      <c r="A34" s="23" t="s">
        <v>19613</v>
      </c>
      <c r="B34" s="19" t="s">
        <v>19614</v>
      </c>
    </row>
    <row r="35" spans="1:2" x14ac:dyDescent="0.25">
      <c r="A35" s="23" t="s">
        <v>19615</v>
      </c>
      <c r="B35" s="19" t="s">
        <v>19616</v>
      </c>
    </row>
    <row r="36" spans="1:2" x14ac:dyDescent="0.25">
      <c r="A36" s="23" t="s">
        <v>19617</v>
      </c>
      <c r="B36" s="19" t="s">
        <v>19618</v>
      </c>
    </row>
    <row r="37" spans="1:2" x14ac:dyDescent="0.25">
      <c r="A37" s="23" t="s">
        <v>19619</v>
      </c>
      <c r="B37" s="19" t="s">
        <v>19620</v>
      </c>
    </row>
    <row r="38" spans="1:2" x14ac:dyDescent="0.25">
      <c r="A38" s="23" t="s">
        <v>19621</v>
      </c>
      <c r="B38" s="19" t="s">
        <v>19622</v>
      </c>
    </row>
    <row r="39" spans="1:2" x14ac:dyDescent="0.25">
      <c r="A39" s="23" t="s">
        <v>19623</v>
      </c>
      <c r="B39" s="19" t="s">
        <v>19624</v>
      </c>
    </row>
    <row r="40" spans="1:2" ht="15.75" thickBot="1" x14ac:dyDescent="0.3">
      <c r="A40" s="24" t="s">
        <v>19625</v>
      </c>
      <c r="B40" s="21" t="s">
        <v>19626</v>
      </c>
    </row>
    <row r="41" spans="1:2" ht="15.75" thickBot="1" x14ac:dyDescent="0.3">
      <c r="A41" s="15" t="s">
        <v>19627</v>
      </c>
      <c r="B41" s="17"/>
    </row>
    <row r="42" spans="1:2" x14ac:dyDescent="0.25">
      <c r="A42" s="26" t="s">
        <v>19628</v>
      </c>
      <c r="B42" s="27" t="s">
        <v>19629</v>
      </c>
    </row>
    <row r="43" spans="1:2" x14ac:dyDescent="0.25">
      <c r="A43" s="23" t="s">
        <v>19630</v>
      </c>
      <c r="B43" s="28" t="s">
        <v>19631</v>
      </c>
    </row>
    <row r="44" spans="1:2" x14ac:dyDescent="0.25">
      <c r="A44" s="29" t="s">
        <v>19632</v>
      </c>
      <c r="B44" s="18" t="s">
        <v>19633</v>
      </c>
    </row>
    <row r="45" spans="1:2" x14ac:dyDescent="0.25">
      <c r="A45" s="23" t="s">
        <v>19634</v>
      </c>
      <c r="B45" s="19" t="s">
        <v>19635</v>
      </c>
    </row>
    <row r="46" spans="1:2" x14ac:dyDescent="0.25">
      <c r="A46" s="23" t="s">
        <v>19636</v>
      </c>
      <c r="B46" s="19" t="s">
        <v>19637</v>
      </c>
    </row>
    <row r="47" spans="1:2" x14ac:dyDescent="0.25">
      <c r="A47" s="30" t="s">
        <v>19638</v>
      </c>
      <c r="B47" s="19" t="s">
        <v>19639</v>
      </c>
    </row>
    <row r="48" spans="1:2" x14ac:dyDescent="0.25">
      <c r="A48" s="23" t="s">
        <v>19640</v>
      </c>
      <c r="B48" s="19" t="s">
        <v>19641</v>
      </c>
    </row>
    <row r="49" spans="1:2" x14ac:dyDescent="0.25">
      <c r="A49" s="23" t="s">
        <v>19642</v>
      </c>
      <c r="B49" s="19" t="s">
        <v>19643</v>
      </c>
    </row>
    <row r="50" spans="1:2" x14ac:dyDescent="0.25">
      <c r="A50" s="23" t="s">
        <v>19644</v>
      </c>
      <c r="B50" s="19" t="s">
        <v>19645</v>
      </c>
    </row>
    <row r="51" spans="1:2" x14ac:dyDescent="0.25">
      <c r="A51" s="23" t="s">
        <v>19646</v>
      </c>
      <c r="B51" s="19" t="s">
        <v>19647</v>
      </c>
    </row>
    <row r="52" spans="1:2" x14ac:dyDescent="0.25">
      <c r="A52" s="23" t="s">
        <v>19648</v>
      </c>
      <c r="B52" s="19" t="s">
        <v>19649</v>
      </c>
    </row>
    <row r="53" spans="1:2" x14ac:dyDescent="0.25">
      <c r="A53" s="23" t="s">
        <v>19650</v>
      </c>
      <c r="B53" s="19" t="s">
        <v>19651</v>
      </c>
    </row>
    <row r="54" spans="1:2" x14ac:dyDescent="0.25">
      <c r="A54" s="23" t="s">
        <v>19652</v>
      </c>
      <c r="B54" s="19" t="s">
        <v>19653</v>
      </c>
    </row>
    <row r="55" spans="1:2" x14ac:dyDescent="0.25">
      <c r="A55" s="23" t="s">
        <v>19654</v>
      </c>
      <c r="B55" s="19" t="s">
        <v>19655</v>
      </c>
    </row>
    <row r="56" spans="1:2" x14ac:dyDescent="0.25">
      <c r="A56" s="23" t="s">
        <v>19656</v>
      </c>
      <c r="B56" s="19" t="s">
        <v>19657</v>
      </c>
    </row>
    <row r="57" spans="1:2" x14ac:dyDescent="0.25">
      <c r="A57" s="23" t="s">
        <v>19658</v>
      </c>
      <c r="B57" s="19" t="s">
        <v>19659</v>
      </c>
    </row>
    <row r="58" spans="1:2" x14ac:dyDescent="0.25">
      <c r="A58" s="23" t="s">
        <v>19660</v>
      </c>
      <c r="B58" s="19" t="s">
        <v>19661</v>
      </c>
    </row>
    <row r="59" spans="1:2" x14ac:dyDescent="0.25">
      <c r="A59" s="23" t="s">
        <v>19662</v>
      </c>
      <c r="B59" s="19" t="s">
        <v>19663</v>
      </c>
    </row>
    <row r="60" spans="1:2" x14ac:dyDescent="0.25">
      <c r="A60" s="23" t="s">
        <v>19664</v>
      </c>
      <c r="B60" s="19" t="s">
        <v>19665</v>
      </c>
    </row>
    <row r="61" spans="1:2" x14ac:dyDescent="0.25">
      <c r="A61" s="23" t="s">
        <v>19666</v>
      </c>
      <c r="B61" s="19" t="s">
        <v>19667</v>
      </c>
    </row>
    <row r="62" spans="1:2" x14ac:dyDescent="0.25">
      <c r="A62" s="23" t="s">
        <v>19668</v>
      </c>
      <c r="B62" s="19" t="s">
        <v>19669</v>
      </c>
    </row>
    <row r="63" spans="1:2" x14ac:dyDescent="0.25">
      <c r="A63" s="23" t="s">
        <v>19670</v>
      </c>
      <c r="B63" s="19" t="s">
        <v>19671</v>
      </c>
    </row>
    <row r="64" spans="1:2" x14ac:dyDescent="0.25">
      <c r="A64" s="23" t="s">
        <v>19672</v>
      </c>
      <c r="B64" s="19" t="s">
        <v>19673</v>
      </c>
    </row>
    <row r="65" spans="1:2" x14ac:dyDescent="0.25">
      <c r="A65" s="23" t="s">
        <v>19674</v>
      </c>
      <c r="B65" s="19" t="s">
        <v>19675</v>
      </c>
    </row>
    <row r="66" spans="1:2" x14ac:dyDescent="0.25">
      <c r="A66" s="24" t="s">
        <v>19676</v>
      </c>
      <c r="B66" s="21" t="s">
        <v>19677</v>
      </c>
    </row>
    <row r="67" spans="1:2" x14ac:dyDescent="0.25">
      <c r="A67" s="24" t="s">
        <v>19678</v>
      </c>
      <c r="B67" s="21" t="s">
        <v>19679</v>
      </c>
    </row>
    <row r="68" spans="1:2" x14ac:dyDescent="0.25">
      <c r="A68" s="24" t="s">
        <v>19680</v>
      </c>
      <c r="B68" s="21" t="s">
        <v>19681</v>
      </c>
    </row>
    <row r="69" spans="1:2" x14ac:dyDescent="0.25">
      <c r="A69" s="24" t="s">
        <v>19682</v>
      </c>
      <c r="B69" s="21" t="s">
        <v>19683</v>
      </c>
    </row>
    <row r="70" spans="1:2" x14ac:dyDescent="0.25">
      <c r="A70" s="23" t="s">
        <v>19684</v>
      </c>
      <c r="B70" s="19" t="s">
        <v>19685</v>
      </c>
    </row>
    <row r="71" spans="1:2" x14ac:dyDescent="0.25">
      <c r="A71" s="24" t="s">
        <v>19686</v>
      </c>
      <c r="B71" s="21" t="s">
        <v>19687</v>
      </c>
    </row>
    <row r="72" spans="1:2" ht="15.75" thickBot="1" x14ac:dyDescent="0.3">
      <c r="A72" s="31" t="s">
        <v>19688</v>
      </c>
      <c r="B72" s="32" t="s">
        <v>19689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Каталог</vt:lpstr>
      <vt:lpstr>Сокращения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Жезлов</dc:creator>
  <cp:lastModifiedBy>StashevskI~</cp:lastModifiedBy>
  <dcterms:created xsi:type="dcterms:W3CDTF">2013-03-29T08:07:59Z</dcterms:created>
  <dcterms:modified xsi:type="dcterms:W3CDTF">2016-03-08T00:12:02Z</dcterms:modified>
</cp:coreProperties>
</file>